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Password="CC71" lockStructure="1"/>
  <bookViews>
    <workbookView xWindow="0" yWindow="0" windowWidth="15525" windowHeight="2940" activeTab="1"/>
  </bookViews>
  <sheets>
    <sheet name="InstructionsForm1A" sheetId="4" r:id="rId1"/>
    <sheet name="Jul" sheetId="1" r:id="rId2"/>
  </sheets>
  <definedNames>
    <definedName name="_xlnm._FilterDatabase" localSheetId="0" hidden="1">InstructionsForm1A!$B$2:$F$373</definedName>
    <definedName name="ART">Jul!$D$357</definedName>
    <definedName name="CXCA">Jul!$M$219</definedName>
    <definedName name="GEND_GBV">Jul!$D$283</definedName>
    <definedName name="HAART">Jul!$K$338</definedName>
    <definedName name="HIV_TEST">Jul!$F$22</definedName>
    <definedName name="HTS_SELF">Jul!$J$115</definedName>
    <definedName name="IPT">Jul!$D$188</definedName>
    <definedName name="PMTCT_TST">Jul!$K$302</definedName>
    <definedName name="PREP">Jul!$J$128</definedName>
    <definedName name="_xlnm.Print_Area" localSheetId="0">InstructionsForm1A!$B$1:$F$373</definedName>
    <definedName name="_xlnm.Print_Area" localSheetId="1">Jul!$A$1:$AJ$517</definedName>
    <definedName name="_xlnm.Print_Titles" localSheetId="1">Jul!$1:$6</definedName>
    <definedName name="TB">Jul!$D$436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26" i="4" l="1"/>
  <c r="AK283" i="1" l="1"/>
  <c r="AK287" i="1"/>
  <c r="AK286" i="1"/>
  <c r="AK293" i="1" l="1"/>
  <c r="AJ293" i="1"/>
  <c r="AN246" i="1" l="1"/>
  <c r="M141" i="1"/>
  <c r="AK188" i="1"/>
  <c r="AM509" i="1"/>
  <c r="AM514" i="1"/>
  <c r="AM479" i="1"/>
  <c r="AM474" i="1"/>
  <c r="AM469" i="1"/>
  <c r="AM464" i="1"/>
  <c r="AM459" i="1"/>
  <c r="AM454" i="1"/>
  <c r="AM484" i="1"/>
  <c r="AM489" i="1"/>
  <c r="AM494" i="1"/>
  <c r="AM499" i="1"/>
  <c r="AM504" i="1"/>
  <c r="AK387" i="1" l="1"/>
  <c r="AC371" i="1" l="1"/>
  <c r="AD371" i="1"/>
  <c r="AE371" i="1"/>
  <c r="AF371" i="1"/>
  <c r="AG371" i="1"/>
  <c r="AH371" i="1"/>
  <c r="AI371" i="1"/>
  <c r="AB371" i="1"/>
  <c r="E371" i="1"/>
  <c r="F371" i="1"/>
  <c r="G371" i="1"/>
  <c r="H371" i="1"/>
  <c r="I371" i="1"/>
  <c r="J371" i="1"/>
  <c r="K371" i="1"/>
  <c r="L371" i="1"/>
  <c r="M371" i="1"/>
  <c r="N371" i="1"/>
  <c r="O371" i="1"/>
  <c r="P371" i="1"/>
  <c r="Q371" i="1"/>
  <c r="R371" i="1"/>
  <c r="S371" i="1"/>
  <c r="T371" i="1"/>
  <c r="U371" i="1"/>
  <c r="V371" i="1"/>
  <c r="W371" i="1"/>
  <c r="X371" i="1"/>
  <c r="Y371" i="1"/>
  <c r="Z387" i="1"/>
  <c r="AA387" i="1" l="1"/>
  <c r="AJ387" i="1" s="1"/>
  <c r="AA386" i="1"/>
  <c r="Z386" i="1"/>
  <c r="AJ386" i="1" s="1"/>
  <c r="E369" i="1"/>
  <c r="F369" i="1"/>
  <c r="G369" i="1"/>
  <c r="H369" i="1"/>
  <c r="I369" i="1"/>
  <c r="J369" i="1"/>
  <c r="K369" i="1"/>
  <c r="L369" i="1"/>
  <c r="M369" i="1"/>
  <c r="N369" i="1"/>
  <c r="O369" i="1"/>
  <c r="P369" i="1"/>
  <c r="Q369" i="1"/>
  <c r="R369" i="1"/>
  <c r="S369" i="1"/>
  <c r="T369" i="1"/>
  <c r="U369" i="1"/>
  <c r="V369" i="1"/>
  <c r="W369" i="1"/>
  <c r="X369" i="1"/>
  <c r="Y369" i="1"/>
  <c r="Z369" i="1"/>
  <c r="AM368" i="1" s="1"/>
  <c r="AA369" i="1"/>
  <c r="D369" i="1"/>
  <c r="AJ368" i="1"/>
  <c r="AK368" i="1" s="1"/>
  <c r="AA57" i="1"/>
  <c r="Z57" i="1"/>
  <c r="AK369" i="1" l="1"/>
  <c r="AJ369" i="1"/>
  <c r="F56" i="1"/>
  <c r="AI56" i="1"/>
  <c r="AH56" i="1"/>
  <c r="AG56" i="1"/>
  <c r="AF56" i="1"/>
  <c r="AE56" i="1"/>
  <c r="AD56" i="1"/>
  <c r="AC56" i="1"/>
  <c r="AB56" i="1"/>
  <c r="Y56" i="1"/>
  <c r="X56" i="1"/>
  <c r="W56" i="1"/>
  <c r="V56" i="1"/>
  <c r="U56" i="1"/>
  <c r="T56" i="1"/>
  <c r="S56" i="1"/>
  <c r="R56" i="1"/>
  <c r="Q56" i="1"/>
  <c r="P56" i="1"/>
  <c r="O56" i="1"/>
  <c r="N56" i="1"/>
  <c r="M56" i="1"/>
  <c r="L56" i="1"/>
  <c r="K56" i="1"/>
  <c r="J56" i="1"/>
  <c r="I56" i="1"/>
  <c r="H56" i="1"/>
  <c r="G56" i="1"/>
  <c r="AJ30" i="1"/>
  <c r="AJ285" i="1" l="1"/>
  <c r="AJ284" i="1"/>
  <c r="AK284" i="1" l="1"/>
  <c r="AJ186" i="1"/>
  <c r="AJ202" i="1"/>
  <c r="AC29" i="1" l="1"/>
  <c r="AD29" i="1"/>
  <c r="AE29" i="1"/>
  <c r="AF29" i="1"/>
  <c r="AG29" i="1"/>
  <c r="AH29" i="1"/>
  <c r="AI29" i="1"/>
  <c r="AB29" i="1"/>
  <c r="M29" i="1"/>
  <c r="N29" i="1"/>
  <c r="O29" i="1"/>
  <c r="P29" i="1"/>
  <c r="Q29" i="1"/>
  <c r="R29" i="1"/>
  <c r="S29" i="1"/>
  <c r="T29" i="1"/>
  <c r="U29" i="1"/>
  <c r="V29" i="1"/>
  <c r="W29" i="1"/>
  <c r="X29" i="1"/>
  <c r="Y29" i="1"/>
  <c r="F29" i="1"/>
  <c r="G29" i="1"/>
  <c r="H29" i="1"/>
  <c r="I29" i="1"/>
  <c r="K29" i="1"/>
  <c r="L29" i="1"/>
  <c r="J29" i="1"/>
  <c r="AK288" i="1"/>
  <c r="AJ288" i="1"/>
  <c r="AK289" i="1" l="1"/>
  <c r="AK292" i="1"/>
  <c r="AJ282" i="1"/>
  <c r="AJ283" i="1"/>
  <c r="D443" i="1" l="1"/>
  <c r="E443" i="1"/>
  <c r="AK410" i="1" l="1"/>
  <c r="AK411" i="1"/>
  <c r="AK407" i="1"/>
  <c r="AK406" i="1"/>
  <c r="AC364" i="1" l="1"/>
  <c r="AD364" i="1"/>
  <c r="AE364" i="1"/>
  <c r="AF364" i="1"/>
  <c r="AG364" i="1"/>
  <c r="AH364" i="1"/>
  <c r="AI364" i="1"/>
  <c r="AB364" i="1"/>
  <c r="E364" i="1"/>
  <c r="F364" i="1"/>
  <c r="G364" i="1"/>
  <c r="H364" i="1"/>
  <c r="I364" i="1"/>
  <c r="J364" i="1"/>
  <c r="K364" i="1"/>
  <c r="L364" i="1"/>
  <c r="M364" i="1"/>
  <c r="N364" i="1"/>
  <c r="O364" i="1"/>
  <c r="P364" i="1"/>
  <c r="Q364" i="1"/>
  <c r="R364" i="1"/>
  <c r="S364" i="1"/>
  <c r="T364" i="1"/>
  <c r="U364" i="1"/>
  <c r="V364" i="1"/>
  <c r="W364" i="1"/>
  <c r="X364" i="1"/>
  <c r="Y364" i="1"/>
  <c r="Z500" i="1" l="1"/>
  <c r="AA503" i="1"/>
  <c r="AA38" i="1"/>
  <c r="AA223" i="1"/>
  <c r="AA224" i="1"/>
  <c r="AA225" i="1"/>
  <c r="AA226" i="1"/>
  <c r="AA227" i="1"/>
  <c r="AA228" i="1"/>
  <c r="AA229" i="1"/>
  <c r="AA231" i="1"/>
  <c r="AA232" i="1"/>
  <c r="AA233" i="1"/>
  <c r="AA234" i="1"/>
  <c r="AA235" i="1"/>
  <c r="AA236" i="1"/>
  <c r="AA237" i="1"/>
  <c r="AA239" i="1"/>
  <c r="AA240" i="1"/>
  <c r="AA241" i="1"/>
  <c r="AA242" i="1"/>
  <c r="Z399" i="1"/>
  <c r="AA399" i="1"/>
  <c r="Z400" i="1"/>
  <c r="AA400" i="1"/>
  <c r="Z401" i="1"/>
  <c r="AA401" i="1"/>
  <c r="AK177" i="1" l="1"/>
  <c r="Z364" i="1"/>
  <c r="AA364" i="1"/>
  <c r="AA365" i="1"/>
  <c r="D364" i="1"/>
  <c r="AK180" i="1"/>
  <c r="AK175" i="1"/>
  <c r="L132" i="1"/>
  <c r="N132" i="1"/>
  <c r="P132" i="1"/>
  <c r="R132" i="1"/>
  <c r="T132" i="1"/>
  <c r="V132" i="1"/>
  <c r="X132" i="1"/>
  <c r="Z132" i="1"/>
  <c r="J132" i="1"/>
  <c r="AK131" i="1"/>
  <c r="J116" i="1"/>
  <c r="AJ119" i="1" l="1"/>
  <c r="AJ120" i="1"/>
  <c r="AJ121" i="1"/>
  <c r="AJ142" i="1"/>
  <c r="AJ143" i="1"/>
  <c r="AJ144" i="1"/>
  <c r="AJ145" i="1"/>
  <c r="AJ146" i="1"/>
  <c r="AJ147" i="1"/>
  <c r="AJ148" i="1"/>
  <c r="AJ149" i="1"/>
  <c r="AJ164" i="1"/>
  <c r="AJ165" i="1"/>
  <c r="AJ166" i="1"/>
  <c r="AJ167" i="1"/>
  <c r="AJ168" i="1"/>
  <c r="AJ169" i="1"/>
  <c r="AJ170" i="1"/>
  <c r="AJ171" i="1"/>
  <c r="AJ172" i="1"/>
  <c r="AJ173" i="1"/>
  <c r="AJ174" i="1"/>
  <c r="AJ175" i="1"/>
  <c r="AJ176" i="1"/>
  <c r="AJ177" i="1"/>
  <c r="AJ178" i="1"/>
  <c r="AJ179" i="1"/>
  <c r="AJ180" i="1"/>
  <c r="AJ399" i="1" l="1"/>
  <c r="AJ400" i="1"/>
  <c r="AJ401" i="1"/>
  <c r="AA367" i="1"/>
  <c r="Z367" i="1"/>
  <c r="AA366" i="1"/>
  <c r="Z366" i="1"/>
  <c r="Z365" i="1"/>
  <c r="AJ365" i="1" s="1"/>
  <c r="AJ367" i="1" l="1"/>
  <c r="AJ366" i="1"/>
  <c r="AH441" i="1" l="1"/>
  <c r="AD441" i="1"/>
  <c r="AE441" i="1"/>
  <c r="AF441" i="1"/>
  <c r="AG441" i="1"/>
  <c r="AI441" i="1"/>
  <c r="AC441" i="1"/>
  <c r="AB441" i="1"/>
  <c r="G441" i="1"/>
  <c r="H441" i="1"/>
  <c r="I441" i="1"/>
  <c r="J441" i="1"/>
  <c r="K441" i="1"/>
  <c r="L441" i="1"/>
  <c r="M441" i="1"/>
  <c r="N441" i="1"/>
  <c r="O441" i="1"/>
  <c r="P441" i="1"/>
  <c r="Q441" i="1"/>
  <c r="R441" i="1"/>
  <c r="S441" i="1"/>
  <c r="T441" i="1"/>
  <c r="U441" i="1"/>
  <c r="V441" i="1"/>
  <c r="W441" i="1"/>
  <c r="X441" i="1"/>
  <c r="Y441" i="1"/>
  <c r="D441" i="1"/>
  <c r="E441" i="1"/>
  <c r="F441" i="1"/>
  <c r="F439" i="1"/>
  <c r="AA141" i="1" l="1"/>
  <c r="AA132" i="1" s="1"/>
  <c r="Y141" i="1"/>
  <c r="Y132" i="1" s="1"/>
  <c r="W141" i="1"/>
  <c r="W132" i="1" s="1"/>
  <c r="U141" i="1"/>
  <c r="U132" i="1" s="1"/>
  <c r="S141" i="1"/>
  <c r="S132" i="1" s="1"/>
  <c r="Q141" i="1"/>
  <c r="Q132" i="1" s="1"/>
  <c r="O141" i="1"/>
  <c r="O132" i="1" s="1"/>
  <c r="M132" i="1"/>
  <c r="K141" i="1"/>
  <c r="AJ141" i="1" l="1"/>
  <c r="D61" i="1"/>
  <c r="E61" i="1"/>
  <c r="AA55" i="1" l="1"/>
  <c r="Z55" i="1"/>
  <c r="AA54" i="1"/>
  <c r="AA56" i="1" s="1"/>
  <c r="Z54" i="1"/>
  <c r="Z56" i="1" s="1"/>
  <c r="AK57" i="1" s="1"/>
  <c r="AA53" i="1"/>
  <c r="Z53" i="1"/>
  <c r="AA50" i="1"/>
  <c r="Z50" i="1"/>
  <c r="AA49" i="1"/>
  <c r="Z49" i="1"/>
  <c r="AA48" i="1"/>
  <c r="Z48" i="1"/>
  <c r="AA47" i="1"/>
  <c r="Z47" i="1"/>
  <c r="AA44" i="1"/>
  <c r="Z44" i="1"/>
  <c r="AA43" i="1"/>
  <c r="Z43" i="1"/>
  <c r="Z38" i="1"/>
  <c r="AA37" i="1"/>
  <c r="Z37" i="1"/>
  <c r="AA36" i="1"/>
  <c r="Z36" i="1"/>
  <c r="AA35" i="1"/>
  <c r="Z35" i="1"/>
  <c r="Z33" i="1"/>
  <c r="AA33" i="1"/>
  <c r="Z34" i="1"/>
  <c r="AA34" i="1"/>
  <c r="AA32" i="1"/>
  <c r="Z32" i="1"/>
  <c r="AA31" i="1"/>
  <c r="Z31" i="1"/>
  <c r="AA28" i="1"/>
  <c r="Z28" i="1"/>
  <c r="AA27" i="1"/>
  <c r="AA29" i="1" s="1"/>
  <c r="Z27" i="1"/>
  <c r="Z23" i="1"/>
  <c r="AA23" i="1"/>
  <c r="Z24" i="1"/>
  <c r="AA24" i="1"/>
  <c r="Z25" i="1"/>
  <c r="AA25" i="1"/>
  <c r="AA22" i="1"/>
  <c r="Z22" i="1"/>
  <c r="AA511" i="1"/>
  <c r="AA510" i="1"/>
  <c r="AA509" i="1"/>
  <c r="AA508" i="1"/>
  <c r="AA506" i="1"/>
  <c r="AA505" i="1"/>
  <c r="AA504" i="1"/>
  <c r="AA501" i="1"/>
  <c r="Z501" i="1"/>
  <c r="AA500" i="1"/>
  <c r="AA499" i="1"/>
  <c r="Z499" i="1"/>
  <c r="AA498" i="1"/>
  <c r="Z498" i="1"/>
  <c r="AA496" i="1"/>
  <c r="Z496" i="1"/>
  <c r="AA495" i="1"/>
  <c r="Z495" i="1"/>
  <c r="AA494" i="1"/>
  <c r="Z494" i="1"/>
  <c r="AA493" i="1"/>
  <c r="Z493" i="1"/>
  <c r="AA491" i="1"/>
  <c r="Z491" i="1"/>
  <c r="AA490" i="1"/>
  <c r="Z490" i="1"/>
  <c r="AA489" i="1"/>
  <c r="Z489" i="1"/>
  <c r="AA488" i="1"/>
  <c r="Z488" i="1"/>
  <c r="AA486" i="1"/>
  <c r="Z486" i="1"/>
  <c r="AA485" i="1"/>
  <c r="Z485" i="1"/>
  <c r="AA484" i="1"/>
  <c r="Z484" i="1"/>
  <c r="AA483" i="1"/>
  <c r="Z483" i="1"/>
  <c r="AA481" i="1"/>
  <c r="Z481" i="1"/>
  <c r="AA480" i="1"/>
  <c r="Z480" i="1"/>
  <c r="AA479" i="1"/>
  <c r="Z479" i="1"/>
  <c r="AA478" i="1"/>
  <c r="Z478" i="1"/>
  <c r="AA476" i="1"/>
  <c r="Z476" i="1"/>
  <c r="AA475" i="1"/>
  <c r="Z475" i="1"/>
  <c r="AA474" i="1"/>
  <c r="Z474" i="1"/>
  <c r="AA473" i="1"/>
  <c r="Z473" i="1"/>
  <c r="AA471" i="1"/>
  <c r="Z471" i="1"/>
  <c r="AA470" i="1"/>
  <c r="Z470" i="1"/>
  <c r="AA469" i="1"/>
  <c r="Z469" i="1"/>
  <c r="AA468" i="1"/>
  <c r="Z468" i="1"/>
  <c r="AA466" i="1"/>
  <c r="Z466" i="1"/>
  <c r="AA465" i="1"/>
  <c r="Z465" i="1"/>
  <c r="AA464" i="1"/>
  <c r="Z464" i="1"/>
  <c r="AA463" i="1"/>
  <c r="Z463" i="1"/>
  <c r="AA461" i="1"/>
  <c r="Z461" i="1"/>
  <c r="AA460" i="1"/>
  <c r="Z460" i="1"/>
  <c r="AA459" i="1"/>
  <c r="Z459" i="1"/>
  <c r="AA458" i="1"/>
  <c r="Z458" i="1"/>
  <c r="AA456" i="1"/>
  <c r="Z456" i="1"/>
  <c r="AA455" i="1"/>
  <c r="Z455" i="1"/>
  <c r="AA454" i="1"/>
  <c r="Z454" i="1"/>
  <c r="AA453" i="1"/>
  <c r="Z453" i="1"/>
  <c r="AB452" i="1"/>
  <c r="AC452" i="1"/>
  <c r="AD452" i="1"/>
  <c r="AE452" i="1"/>
  <c r="AF452" i="1"/>
  <c r="AG452" i="1"/>
  <c r="AH452" i="1"/>
  <c r="AI452" i="1"/>
  <c r="AB457" i="1"/>
  <c r="AC457" i="1"/>
  <c r="AD457" i="1"/>
  <c r="AE457" i="1"/>
  <c r="AF457" i="1"/>
  <c r="AG457" i="1"/>
  <c r="AH457" i="1"/>
  <c r="AI457" i="1"/>
  <c r="AB462" i="1"/>
  <c r="AC462" i="1"/>
  <c r="AD462" i="1"/>
  <c r="AE462" i="1"/>
  <c r="AF462" i="1"/>
  <c r="AG462" i="1"/>
  <c r="AH462" i="1"/>
  <c r="AI462" i="1"/>
  <c r="AB467" i="1"/>
  <c r="AC467" i="1"/>
  <c r="AD467" i="1"/>
  <c r="AE467" i="1"/>
  <c r="AF467" i="1"/>
  <c r="AG467" i="1"/>
  <c r="AH467" i="1"/>
  <c r="AI467" i="1"/>
  <c r="AB472" i="1"/>
  <c r="AC472" i="1"/>
  <c r="AD472" i="1"/>
  <c r="AE472" i="1"/>
  <c r="AF472" i="1"/>
  <c r="AG472" i="1"/>
  <c r="AH472" i="1"/>
  <c r="AI472" i="1"/>
  <c r="AB477" i="1"/>
  <c r="AC477" i="1"/>
  <c r="AD477" i="1"/>
  <c r="AE477" i="1"/>
  <c r="AF477" i="1"/>
  <c r="AG477" i="1"/>
  <c r="AH477" i="1"/>
  <c r="AI477" i="1"/>
  <c r="AB487" i="1"/>
  <c r="AC487" i="1"/>
  <c r="AD487" i="1"/>
  <c r="AE487" i="1"/>
  <c r="AF487" i="1"/>
  <c r="AG487" i="1"/>
  <c r="AH487" i="1"/>
  <c r="AI487" i="1"/>
  <c r="AB492" i="1"/>
  <c r="AC492" i="1"/>
  <c r="AD492" i="1"/>
  <c r="AE492" i="1"/>
  <c r="AF492" i="1"/>
  <c r="AG492" i="1"/>
  <c r="AH492" i="1"/>
  <c r="AI492" i="1"/>
  <c r="AB497" i="1"/>
  <c r="AC497" i="1"/>
  <c r="AD497" i="1"/>
  <c r="AE497" i="1"/>
  <c r="AF497" i="1"/>
  <c r="AG497" i="1"/>
  <c r="AH497" i="1"/>
  <c r="AI497" i="1"/>
  <c r="AB502" i="1"/>
  <c r="AC502" i="1"/>
  <c r="AD502" i="1"/>
  <c r="AE502" i="1"/>
  <c r="AF502" i="1"/>
  <c r="AG502" i="1"/>
  <c r="AH502" i="1"/>
  <c r="AI502" i="1"/>
  <c r="AB507" i="1"/>
  <c r="AC507" i="1"/>
  <c r="AD507" i="1"/>
  <c r="AE507" i="1"/>
  <c r="AF507" i="1"/>
  <c r="AG507" i="1"/>
  <c r="AH507" i="1"/>
  <c r="AI507" i="1"/>
  <c r="AB513" i="1"/>
  <c r="AC513" i="1"/>
  <c r="AD513" i="1"/>
  <c r="AE513" i="1"/>
  <c r="AF513" i="1"/>
  <c r="AG513" i="1"/>
  <c r="AH513" i="1"/>
  <c r="AI513" i="1"/>
  <c r="AB514" i="1"/>
  <c r="AC514" i="1"/>
  <c r="AD514" i="1"/>
  <c r="AE514" i="1"/>
  <c r="AF514" i="1"/>
  <c r="AG514" i="1"/>
  <c r="AH514" i="1"/>
  <c r="AI514" i="1"/>
  <c r="AB515" i="1"/>
  <c r="AC515" i="1"/>
  <c r="AD515" i="1"/>
  <c r="AE515" i="1"/>
  <c r="AF515" i="1"/>
  <c r="AG515" i="1"/>
  <c r="AH515" i="1"/>
  <c r="AI515" i="1"/>
  <c r="AB516" i="1"/>
  <c r="AC516" i="1"/>
  <c r="AD516" i="1"/>
  <c r="AE516" i="1"/>
  <c r="AF516" i="1"/>
  <c r="AG516" i="1"/>
  <c r="AH516" i="1"/>
  <c r="AI516" i="1"/>
  <c r="Z445" i="1"/>
  <c r="AA445" i="1"/>
  <c r="Z440" i="1"/>
  <c r="AA440" i="1"/>
  <c r="Z442" i="1"/>
  <c r="AA442" i="1"/>
  <c r="Z444" i="1"/>
  <c r="AA444" i="1"/>
  <c r="Z438" i="1"/>
  <c r="AA438" i="1"/>
  <c r="Z437" i="1"/>
  <c r="AA437" i="1"/>
  <c r="AA436" i="1"/>
  <c r="Z436" i="1"/>
  <c r="AB439" i="1"/>
  <c r="AC439" i="1"/>
  <c r="AD439" i="1"/>
  <c r="AE439" i="1"/>
  <c r="AF439" i="1"/>
  <c r="AG439" i="1"/>
  <c r="AH439" i="1"/>
  <c r="AI439" i="1"/>
  <c r="AB443" i="1"/>
  <c r="AC443" i="1"/>
  <c r="AD443" i="1"/>
  <c r="AE443" i="1"/>
  <c r="AF443" i="1"/>
  <c r="AG443" i="1"/>
  <c r="AH443" i="1"/>
  <c r="AI443" i="1"/>
  <c r="AB446" i="1"/>
  <c r="AC446" i="1"/>
  <c r="AD446" i="1"/>
  <c r="AE446" i="1"/>
  <c r="AF446" i="1"/>
  <c r="AG446" i="1"/>
  <c r="AH446" i="1"/>
  <c r="AI446" i="1"/>
  <c r="Z388" i="1"/>
  <c r="AA388" i="1"/>
  <c r="Z389" i="1"/>
  <c r="AA389" i="1"/>
  <c r="Z391" i="1"/>
  <c r="AA391" i="1"/>
  <c r="Z392" i="1"/>
  <c r="AA392" i="1"/>
  <c r="Z394" i="1"/>
  <c r="AA394" i="1"/>
  <c r="Z395" i="1"/>
  <c r="AA395" i="1"/>
  <c r="Z396" i="1"/>
  <c r="AA396" i="1"/>
  <c r="Z398" i="1"/>
  <c r="AA398" i="1"/>
  <c r="AB390" i="1"/>
  <c r="AC390" i="1"/>
  <c r="AD390" i="1"/>
  <c r="AD393" i="1" s="1"/>
  <c r="AE390" i="1"/>
  <c r="AE393" i="1" s="1"/>
  <c r="AF390" i="1"/>
  <c r="AF393" i="1" s="1"/>
  <c r="AG390" i="1"/>
  <c r="AG393" i="1" s="1"/>
  <c r="AH390" i="1"/>
  <c r="AH393" i="1" s="1"/>
  <c r="AI390" i="1"/>
  <c r="AI393" i="1" s="1"/>
  <c r="AB397" i="1"/>
  <c r="AC397" i="1"/>
  <c r="AD397" i="1"/>
  <c r="AE397" i="1"/>
  <c r="AF397" i="1"/>
  <c r="AG397" i="1"/>
  <c r="AH397" i="1"/>
  <c r="AI397" i="1"/>
  <c r="AB45" i="1"/>
  <c r="AC45" i="1"/>
  <c r="AC58" i="1" s="1"/>
  <c r="AD45" i="1"/>
  <c r="AD60" i="1" s="1"/>
  <c r="AE45" i="1"/>
  <c r="AE60" i="1" s="1"/>
  <c r="AF45" i="1"/>
  <c r="AF58" i="1" s="1"/>
  <c r="AG45" i="1"/>
  <c r="AG58" i="1" s="1"/>
  <c r="AH45" i="1"/>
  <c r="AH60" i="1" s="1"/>
  <c r="AI45" i="1"/>
  <c r="AB46" i="1"/>
  <c r="AC46" i="1"/>
  <c r="AC61" i="1" s="1"/>
  <c r="AD46" i="1"/>
  <c r="AD61" i="1" s="1"/>
  <c r="AE46" i="1"/>
  <c r="AF46" i="1"/>
  <c r="AG46" i="1"/>
  <c r="AG61" i="1" s="1"/>
  <c r="AH46" i="1"/>
  <c r="AH61" i="1" s="1"/>
  <c r="AI46" i="1"/>
  <c r="AB60" i="1"/>
  <c r="AC60" i="1"/>
  <c r="AJ56" i="1" l="1"/>
  <c r="Z29" i="1"/>
  <c r="AK30" i="1" s="1"/>
  <c r="AD59" i="1"/>
  <c r="Z45" i="1"/>
  <c r="AA446" i="1"/>
  <c r="AA443" i="1"/>
  <c r="AA439" i="1"/>
  <c r="AB58" i="1"/>
  <c r="Z397" i="1"/>
  <c r="Z390" i="1"/>
  <c r="Z393" i="1" s="1"/>
  <c r="AB393" i="1"/>
  <c r="Z446" i="1"/>
  <c r="Z443" i="1"/>
  <c r="Z439" i="1"/>
  <c r="AK445" i="1"/>
  <c r="AA397" i="1"/>
  <c r="AA390" i="1"/>
  <c r="AA393" i="1" s="1"/>
  <c r="AC393" i="1"/>
  <c r="AF60" i="1"/>
  <c r="AG482" i="1"/>
  <c r="AG512" i="1" s="1"/>
  <c r="AC482" i="1"/>
  <c r="AC512" i="1" s="1"/>
  <c r="AF59" i="1"/>
  <c r="AF61" i="1"/>
  <c r="AB59" i="1"/>
  <c r="AB61" i="1"/>
  <c r="AC59" i="1"/>
  <c r="AF482" i="1"/>
  <c r="AF512" i="1" s="1"/>
  <c r="AB482" i="1"/>
  <c r="AB512" i="1" s="1"/>
  <c r="AG60" i="1"/>
  <c r="AI59" i="1"/>
  <c r="AI61" i="1"/>
  <c r="AE59" i="1"/>
  <c r="AE61" i="1"/>
  <c r="AI58" i="1"/>
  <c r="AI60" i="1"/>
  <c r="AH59" i="1"/>
  <c r="AA441" i="1"/>
  <c r="AI482" i="1"/>
  <c r="AI512" i="1" s="1"/>
  <c r="AE482" i="1"/>
  <c r="AE512" i="1" s="1"/>
  <c r="Z46" i="1"/>
  <c r="Z61" i="1" s="1"/>
  <c r="AA45" i="1"/>
  <c r="AG59" i="1"/>
  <c r="Z441" i="1"/>
  <c r="AH482" i="1"/>
  <c r="AH512" i="1" s="1"/>
  <c r="AD482" i="1"/>
  <c r="AD512" i="1" s="1"/>
  <c r="AA46" i="1"/>
  <c r="AA61" i="1" s="1"/>
  <c r="AE58" i="1"/>
  <c r="AH58" i="1"/>
  <c r="AD58" i="1"/>
  <c r="D446" i="1"/>
  <c r="E446" i="1"/>
  <c r="AJ57" i="1" l="1"/>
  <c r="AJ29" i="1"/>
  <c r="AJ441" i="1"/>
  <c r="E60" i="1"/>
  <c r="D60" i="1" l="1"/>
  <c r="E58" i="1"/>
  <c r="E59" i="1"/>
  <c r="D58" i="1"/>
  <c r="AK209" i="1"/>
  <c r="AK208" i="1"/>
  <c r="AJ201" i="1"/>
  <c r="AJ215" i="1"/>
  <c r="AJ214" i="1"/>
  <c r="AJ213" i="1"/>
  <c r="AJ212" i="1"/>
  <c r="AJ211" i="1"/>
  <c r="AJ210" i="1"/>
  <c r="AJ209" i="1"/>
  <c r="AJ208" i="1"/>
  <c r="AK207" i="1"/>
  <c r="AJ207" i="1"/>
  <c r="AK206" i="1"/>
  <c r="AJ206" i="1"/>
  <c r="AJ205" i="1"/>
  <c r="AK204" i="1"/>
  <c r="AJ204" i="1"/>
  <c r="AL204" i="1" l="1"/>
  <c r="AL405" i="1"/>
  <c r="AK65" i="1" l="1"/>
  <c r="AK63" i="1"/>
  <c r="AJ53" i="1"/>
  <c r="H507" i="1" l="1"/>
  <c r="I507" i="1"/>
  <c r="J507" i="1"/>
  <c r="K507" i="1"/>
  <c r="L507" i="1"/>
  <c r="M507" i="1"/>
  <c r="N507" i="1"/>
  <c r="O507" i="1"/>
  <c r="P507" i="1"/>
  <c r="Q507" i="1"/>
  <c r="R507" i="1"/>
  <c r="S507" i="1"/>
  <c r="T507" i="1"/>
  <c r="U507" i="1"/>
  <c r="V507" i="1"/>
  <c r="W507" i="1"/>
  <c r="X507" i="1"/>
  <c r="Y507" i="1"/>
  <c r="Z507" i="1"/>
  <c r="AA507" i="1"/>
  <c r="G507" i="1"/>
  <c r="AH340" i="1" l="1"/>
  <c r="AF340" i="1"/>
  <c r="AD340" i="1"/>
  <c r="AB340" i="1"/>
  <c r="AA339" i="1"/>
  <c r="AA340" i="1"/>
  <c r="AA341" i="1"/>
  <c r="AA342" i="1"/>
  <c r="AA343" i="1"/>
  <c r="AA344" i="1"/>
  <c r="AA345" i="1"/>
  <c r="AA346" i="1"/>
  <c r="AA347" i="1"/>
  <c r="AK347" i="1" s="1"/>
  <c r="AA348" i="1"/>
  <c r="AK348" i="1" s="1"/>
  <c r="AA338" i="1"/>
  <c r="AJ185" i="1"/>
  <c r="AJ348" i="1" l="1"/>
  <c r="AJ161" i="1"/>
  <c r="AJ162" i="1"/>
  <c r="AJ163" i="1"/>
  <c r="AJ66" i="1" l="1"/>
  <c r="AJ65" i="1"/>
  <c r="AJ64" i="1"/>
  <c r="AJ63" i="1"/>
  <c r="AM65" i="1" l="1"/>
  <c r="AM63" i="1"/>
  <c r="AJ323" i="1" l="1"/>
  <c r="AK322" i="1"/>
  <c r="AJ322" i="1"/>
  <c r="AK123" i="1"/>
  <c r="AK121" i="1"/>
  <c r="AK53" i="1"/>
  <c r="AJ34" i="1"/>
  <c r="AL115" i="1" l="1"/>
  <c r="AA220" i="1"/>
  <c r="AA221" i="1"/>
  <c r="AJ223" i="1"/>
  <c r="AJ231" i="1"/>
  <c r="AJ239" i="1"/>
  <c r="AA219" i="1"/>
  <c r="AI222" i="1"/>
  <c r="AI230" i="1"/>
  <c r="AI238" i="1"/>
  <c r="AG222" i="1"/>
  <c r="AG230" i="1"/>
  <c r="AG238" i="1"/>
  <c r="AE222" i="1"/>
  <c r="AE230" i="1"/>
  <c r="AE238" i="1"/>
  <c r="AC222" i="1"/>
  <c r="AC230" i="1"/>
  <c r="AC238" i="1"/>
  <c r="AA402" i="1"/>
  <c r="Z402" i="1"/>
  <c r="AA403" i="1"/>
  <c r="Z403" i="1"/>
  <c r="AB404" i="1"/>
  <c r="AC404" i="1"/>
  <c r="AD404" i="1"/>
  <c r="AE404" i="1"/>
  <c r="AF404" i="1"/>
  <c r="AG404" i="1"/>
  <c r="AH404" i="1"/>
  <c r="AI404" i="1"/>
  <c r="Z357" i="1"/>
  <c r="AA357" i="1"/>
  <c r="Z358" i="1"/>
  <c r="AA358" i="1"/>
  <c r="Z359" i="1"/>
  <c r="AA359" i="1"/>
  <c r="Z360" i="1"/>
  <c r="AA360" i="1"/>
  <c r="Z361" i="1"/>
  <c r="AA361" i="1"/>
  <c r="AA362" i="1"/>
  <c r="Z362" i="1"/>
  <c r="AB356" i="1"/>
  <c r="AC356" i="1"/>
  <c r="AD356" i="1"/>
  <c r="AE356" i="1"/>
  <c r="AF356" i="1"/>
  <c r="AG356" i="1"/>
  <c r="AH356" i="1"/>
  <c r="AI356" i="1"/>
  <c r="AA238" i="1" l="1"/>
  <c r="AA230" i="1"/>
  <c r="AJ364" i="1"/>
  <c r="AA404" i="1"/>
  <c r="AA222" i="1"/>
  <c r="F507" i="1"/>
  <c r="AK507" i="1" s="1"/>
  <c r="L516" i="1" l="1"/>
  <c r="M516" i="1"/>
  <c r="N516" i="1"/>
  <c r="O516" i="1"/>
  <c r="P516" i="1"/>
  <c r="Q516" i="1"/>
  <c r="R516" i="1"/>
  <c r="S516" i="1"/>
  <c r="T516" i="1"/>
  <c r="U516" i="1"/>
  <c r="V516" i="1"/>
  <c r="W516" i="1"/>
  <c r="X516" i="1"/>
  <c r="Y516" i="1"/>
  <c r="Z516" i="1"/>
  <c r="AA516" i="1"/>
  <c r="F497" i="1" l="1"/>
  <c r="G497" i="1"/>
  <c r="H497" i="1"/>
  <c r="I497" i="1"/>
  <c r="J497" i="1"/>
  <c r="K497" i="1"/>
  <c r="M497" i="1"/>
  <c r="N497" i="1"/>
  <c r="O497" i="1"/>
  <c r="P497" i="1"/>
  <c r="Q497" i="1"/>
  <c r="R497" i="1"/>
  <c r="S497" i="1"/>
  <c r="T497" i="1"/>
  <c r="U497" i="1"/>
  <c r="V497" i="1"/>
  <c r="W497" i="1"/>
  <c r="X497" i="1"/>
  <c r="Y497" i="1"/>
  <c r="Z497" i="1"/>
  <c r="AA497" i="1"/>
  <c r="M492" i="1"/>
  <c r="N492" i="1"/>
  <c r="O492" i="1"/>
  <c r="P492" i="1"/>
  <c r="Q492" i="1"/>
  <c r="R492" i="1"/>
  <c r="S492" i="1"/>
  <c r="T492" i="1"/>
  <c r="U492" i="1"/>
  <c r="V492" i="1"/>
  <c r="W492" i="1"/>
  <c r="X492" i="1"/>
  <c r="Y492" i="1"/>
  <c r="Z492" i="1"/>
  <c r="AA492" i="1"/>
  <c r="H487" i="1"/>
  <c r="I487" i="1"/>
  <c r="J487" i="1"/>
  <c r="K487" i="1"/>
  <c r="L487" i="1"/>
  <c r="M487" i="1"/>
  <c r="N487" i="1"/>
  <c r="O487" i="1"/>
  <c r="P487" i="1"/>
  <c r="Q487" i="1"/>
  <c r="R487" i="1"/>
  <c r="S487" i="1"/>
  <c r="T487" i="1"/>
  <c r="U487" i="1"/>
  <c r="V487" i="1"/>
  <c r="W487" i="1"/>
  <c r="X487" i="1"/>
  <c r="Y487" i="1"/>
  <c r="Z487" i="1"/>
  <c r="AA487" i="1"/>
  <c r="F487" i="1"/>
  <c r="G487" i="1"/>
  <c r="F477" i="1"/>
  <c r="H477" i="1"/>
  <c r="I477" i="1"/>
  <c r="J477" i="1"/>
  <c r="K477" i="1"/>
  <c r="L477" i="1"/>
  <c r="M477" i="1"/>
  <c r="N477" i="1"/>
  <c r="O477" i="1"/>
  <c r="P477" i="1"/>
  <c r="Q477" i="1"/>
  <c r="R477" i="1"/>
  <c r="S477" i="1"/>
  <c r="T477" i="1"/>
  <c r="U477" i="1"/>
  <c r="V477" i="1"/>
  <c r="W477" i="1"/>
  <c r="X477" i="1"/>
  <c r="Y477" i="1"/>
  <c r="Z477" i="1"/>
  <c r="AA477" i="1"/>
  <c r="H472" i="1"/>
  <c r="I472" i="1"/>
  <c r="J472" i="1"/>
  <c r="K472" i="1"/>
  <c r="L472" i="1"/>
  <c r="M472" i="1"/>
  <c r="N472" i="1"/>
  <c r="O472" i="1"/>
  <c r="P472" i="1"/>
  <c r="Q472" i="1"/>
  <c r="R472" i="1"/>
  <c r="S472" i="1"/>
  <c r="T472" i="1"/>
  <c r="U472" i="1"/>
  <c r="V472" i="1"/>
  <c r="W472" i="1"/>
  <c r="X472" i="1"/>
  <c r="Y472" i="1"/>
  <c r="Z472" i="1"/>
  <c r="AA472" i="1"/>
  <c r="F472" i="1"/>
  <c r="H467" i="1"/>
  <c r="I467" i="1"/>
  <c r="J467" i="1"/>
  <c r="K467" i="1"/>
  <c r="L467" i="1"/>
  <c r="M467" i="1"/>
  <c r="N467" i="1"/>
  <c r="O467" i="1"/>
  <c r="P467" i="1"/>
  <c r="Q467" i="1"/>
  <c r="R467" i="1"/>
  <c r="S467" i="1"/>
  <c r="T467" i="1"/>
  <c r="U467" i="1"/>
  <c r="V467" i="1"/>
  <c r="W467" i="1"/>
  <c r="X467" i="1"/>
  <c r="Y467" i="1"/>
  <c r="Z467" i="1"/>
  <c r="AA467" i="1"/>
  <c r="F467" i="1"/>
  <c r="J462" i="1"/>
  <c r="AK487" i="1" l="1"/>
  <c r="I462" i="1"/>
  <c r="K462" i="1"/>
  <c r="L462" i="1"/>
  <c r="M462" i="1"/>
  <c r="N462" i="1"/>
  <c r="O462" i="1"/>
  <c r="P462" i="1"/>
  <c r="Q462" i="1"/>
  <c r="R462" i="1"/>
  <c r="S462" i="1"/>
  <c r="T462" i="1"/>
  <c r="U462" i="1"/>
  <c r="V462" i="1"/>
  <c r="W462" i="1"/>
  <c r="X462" i="1"/>
  <c r="Y462" i="1"/>
  <c r="Z462" i="1"/>
  <c r="AA462" i="1"/>
  <c r="F462" i="1"/>
  <c r="G462" i="1"/>
  <c r="I457" i="1"/>
  <c r="J457" i="1"/>
  <c r="K457" i="1"/>
  <c r="L457" i="1"/>
  <c r="M457" i="1"/>
  <c r="N457" i="1"/>
  <c r="O457" i="1"/>
  <c r="P457" i="1"/>
  <c r="Q457" i="1"/>
  <c r="R457" i="1"/>
  <c r="S457" i="1"/>
  <c r="T457" i="1"/>
  <c r="U457" i="1"/>
  <c r="V457" i="1"/>
  <c r="W457" i="1"/>
  <c r="X457" i="1"/>
  <c r="Y457" i="1"/>
  <c r="Z457" i="1"/>
  <c r="AA457" i="1"/>
  <c r="F457" i="1"/>
  <c r="G457" i="1"/>
  <c r="J452" i="1"/>
  <c r="K452" i="1"/>
  <c r="L452" i="1"/>
  <c r="M452" i="1"/>
  <c r="N452" i="1"/>
  <c r="O452" i="1"/>
  <c r="P452" i="1"/>
  <c r="Q452" i="1"/>
  <c r="R452" i="1"/>
  <c r="S452" i="1"/>
  <c r="T452" i="1"/>
  <c r="U452" i="1"/>
  <c r="V452" i="1"/>
  <c r="W452" i="1"/>
  <c r="X452" i="1"/>
  <c r="Y452" i="1"/>
  <c r="Z452" i="1"/>
  <c r="AA452" i="1"/>
  <c r="G452" i="1"/>
  <c r="H452" i="1"/>
  <c r="I452" i="1"/>
  <c r="F452" i="1" l="1"/>
  <c r="AK452" i="1" s="1"/>
  <c r="H457" i="1"/>
  <c r="AK457" i="1" s="1"/>
  <c r="K132" i="1" l="1"/>
  <c r="AK149" i="1" l="1"/>
  <c r="AK144" i="1"/>
  <c r="AK146" i="1"/>
  <c r="AK132" i="1"/>
  <c r="H502" i="1"/>
  <c r="I502" i="1"/>
  <c r="J502" i="1"/>
  <c r="K502" i="1"/>
  <c r="L502" i="1"/>
  <c r="M502" i="1"/>
  <c r="N502" i="1"/>
  <c r="O502" i="1"/>
  <c r="P502" i="1"/>
  <c r="Q502" i="1"/>
  <c r="R502" i="1"/>
  <c r="S502" i="1"/>
  <c r="T502" i="1"/>
  <c r="U502" i="1"/>
  <c r="V502" i="1"/>
  <c r="W502" i="1"/>
  <c r="X502" i="1"/>
  <c r="Y502" i="1"/>
  <c r="Z502" i="1"/>
  <c r="AA502" i="1"/>
  <c r="F502" i="1"/>
  <c r="H462" i="1"/>
  <c r="AK462" i="1" s="1"/>
  <c r="G467" i="1"/>
  <c r="AK467" i="1" s="1"/>
  <c r="G472" i="1"/>
  <c r="AK472" i="1" s="1"/>
  <c r="G477" i="1"/>
  <c r="AK477" i="1" s="1"/>
  <c r="G492" i="1"/>
  <c r="H492" i="1"/>
  <c r="I492" i="1"/>
  <c r="J492" i="1"/>
  <c r="K492" i="1"/>
  <c r="L492" i="1"/>
  <c r="F492" i="1"/>
  <c r="L497" i="1"/>
  <c r="AK497" i="1" s="1"/>
  <c r="AK107" i="1"/>
  <c r="AK106" i="1"/>
  <c r="AK103" i="1"/>
  <c r="AK102" i="1"/>
  <c r="AK99" i="1"/>
  <c r="AK98" i="1"/>
  <c r="AK95" i="1"/>
  <c r="AK94" i="1"/>
  <c r="AK91" i="1"/>
  <c r="AK90" i="1"/>
  <c r="AK87" i="1"/>
  <c r="AK86" i="1"/>
  <c r="AK83" i="1"/>
  <c r="AK82" i="1"/>
  <c r="AK79" i="1"/>
  <c r="AK78" i="1"/>
  <c r="AK75" i="1"/>
  <c r="AK74" i="1"/>
  <c r="AK71" i="1"/>
  <c r="AK70" i="1"/>
  <c r="AJ77" i="1"/>
  <c r="AJ76" i="1"/>
  <c r="AJ73" i="1"/>
  <c r="AJ72" i="1"/>
  <c r="AL70" i="1" l="1"/>
  <c r="AK502" i="1"/>
  <c r="Z385" i="1"/>
  <c r="AA385" i="1"/>
  <c r="Z372" i="1"/>
  <c r="AA372" i="1"/>
  <c r="Z373" i="1"/>
  <c r="AA373" i="1"/>
  <c r="Z374" i="1"/>
  <c r="AA374" i="1"/>
  <c r="Z375" i="1"/>
  <c r="AA375" i="1"/>
  <c r="Z376" i="1"/>
  <c r="AA376" i="1"/>
  <c r="Z377" i="1"/>
  <c r="AA377" i="1"/>
  <c r="Z378" i="1"/>
  <c r="AA378" i="1"/>
  <c r="Z379" i="1"/>
  <c r="AA379" i="1"/>
  <c r="Z380" i="1"/>
  <c r="AA380" i="1"/>
  <c r="Z381" i="1"/>
  <c r="AA381" i="1"/>
  <c r="Z382" i="1"/>
  <c r="AA382" i="1"/>
  <c r="Z383" i="1"/>
  <c r="AA383" i="1"/>
  <c r="AA370" i="1"/>
  <c r="Z370" i="1"/>
  <c r="AI384" i="1"/>
  <c r="AH384" i="1"/>
  <c r="G513" i="1" l="1"/>
  <c r="H513" i="1"/>
  <c r="I513" i="1"/>
  <c r="J513" i="1"/>
  <c r="K513" i="1"/>
  <c r="L513" i="1"/>
  <c r="M513" i="1"/>
  <c r="N513" i="1"/>
  <c r="O513" i="1"/>
  <c r="P513" i="1"/>
  <c r="Q513" i="1"/>
  <c r="R513" i="1"/>
  <c r="S513" i="1"/>
  <c r="T513" i="1"/>
  <c r="U513" i="1"/>
  <c r="V513" i="1"/>
  <c r="W513" i="1"/>
  <c r="X513" i="1"/>
  <c r="Y513" i="1"/>
  <c r="Z513" i="1"/>
  <c r="AA513" i="1"/>
  <c r="G514" i="1"/>
  <c r="H514" i="1"/>
  <c r="I514" i="1"/>
  <c r="J514" i="1"/>
  <c r="K514" i="1"/>
  <c r="L514" i="1"/>
  <c r="M514" i="1"/>
  <c r="N514" i="1"/>
  <c r="O514" i="1"/>
  <c r="P514" i="1"/>
  <c r="Q514" i="1"/>
  <c r="R514" i="1"/>
  <c r="S514" i="1"/>
  <c r="T514" i="1"/>
  <c r="U514" i="1"/>
  <c r="V514" i="1"/>
  <c r="W514" i="1"/>
  <c r="X514" i="1"/>
  <c r="Y514" i="1"/>
  <c r="Z514" i="1"/>
  <c r="AA514" i="1"/>
  <c r="G515" i="1"/>
  <c r="H515" i="1"/>
  <c r="I515" i="1"/>
  <c r="J515" i="1"/>
  <c r="K515" i="1"/>
  <c r="L515" i="1"/>
  <c r="M515" i="1"/>
  <c r="N515" i="1"/>
  <c r="O515" i="1"/>
  <c r="P515" i="1"/>
  <c r="Q515" i="1"/>
  <c r="R515" i="1"/>
  <c r="S515" i="1"/>
  <c r="T515" i="1"/>
  <c r="U515" i="1"/>
  <c r="V515" i="1"/>
  <c r="W515" i="1"/>
  <c r="X515" i="1"/>
  <c r="Y515" i="1"/>
  <c r="Z515" i="1"/>
  <c r="AA515" i="1"/>
  <c r="F513" i="1"/>
  <c r="F514" i="1"/>
  <c r="F515" i="1"/>
  <c r="AM516" i="1"/>
  <c r="AM515" i="1"/>
  <c r="AM511" i="1"/>
  <c r="AM510" i="1"/>
  <c r="AJ510" i="1"/>
  <c r="AJ509" i="1"/>
  <c r="AJ508" i="1"/>
  <c r="AM506" i="1"/>
  <c r="AM505" i="1"/>
  <c r="AJ505" i="1"/>
  <c r="AJ504" i="1"/>
  <c r="AJ503" i="1"/>
  <c r="AM501" i="1"/>
  <c r="AM500" i="1"/>
  <c r="AJ500" i="1"/>
  <c r="AJ499" i="1"/>
  <c r="AJ498" i="1"/>
  <c r="AM496" i="1"/>
  <c r="AM495" i="1"/>
  <c r="AJ495" i="1"/>
  <c r="AJ494" i="1"/>
  <c r="AJ493" i="1"/>
  <c r="K496" i="1"/>
  <c r="K516" i="1" s="1"/>
  <c r="J496" i="1"/>
  <c r="J516" i="1" s="1"/>
  <c r="I496" i="1"/>
  <c r="I516" i="1" s="1"/>
  <c r="H496" i="1"/>
  <c r="H516" i="1" s="1"/>
  <c r="G496" i="1"/>
  <c r="G516" i="1" s="1"/>
  <c r="F496" i="1"/>
  <c r="AM491" i="1"/>
  <c r="AM490" i="1"/>
  <c r="AJ490" i="1"/>
  <c r="AJ489" i="1"/>
  <c r="AJ488" i="1"/>
  <c r="AM486" i="1"/>
  <c r="AM485" i="1"/>
  <c r="AJ485" i="1"/>
  <c r="AJ484" i="1"/>
  <c r="AJ483" i="1"/>
  <c r="AM481" i="1"/>
  <c r="AM480" i="1"/>
  <c r="AJ480" i="1"/>
  <c r="AJ479" i="1"/>
  <c r="AJ478" i="1"/>
  <c r="AM476" i="1"/>
  <c r="AM475" i="1"/>
  <c r="AJ475" i="1"/>
  <c r="AJ474" i="1"/>
  <c r="AJ473" i="1"/>
  <c r="AM471" i="1"/>
  <c r="AM470" i="1"/>
  <c r="AJ470" i="1"/>
  <c r="AJ469" i="1"/>
  <c r="AJ468" i="1"/>
  <c r="AM466" i="1"/>
  <c r="AM465" i="1"/>
  <c r="AJ465" i="1"/>
  <c r="AJ464" i="1"/>
  <c r="AJ463" i="1"/>
  <c r="AM461" i="1"/>
  <c r="AM460" i="1"/>
  <c r="AJ460" i="1"/>
  <c r="AJ459" i="1"/>
  <c r="AJ458" i="1"/>
  <c r="AM456" i="1"/>
  <c r="AM455" i="1"/>
  <c r="AJ455" i="1"/>
  <c r="AJ454" i="1"/>
  <c r="AJ453" i="1"/>
  <c r="F516" i="1" l="1"/>
  <c r="AK492" i="1"/>
  <c r="AM498" i="1"/>
  <c r="AM478" i="1"/>
  <c r="AM463" i="1"/>
  <c r="AM468" i="1"/>
  <c r="AM473" i="1"/>
  <c r="AM493" i="1"/>
  <c r="AM458" i="1"/>
  <c r="AM503" i="1"/>
  <c r="AM483" i="1"/>
  <c r="AM488" i="1"/>
  <c r="AJ491" i="1"/>
  <c r="AJ496" i="1"/>
  <c r="AJ501" i="1"/>
  <c r="AJ515" i="1"/>
  <c r="AJ513" i="1"/>
  <c r="AJ506" i="1"/>
  <c r="AJ514" i="1"/>
  <c r="AM508" i="1"/>
  <c r="AJ476" i="1"/>
  <c r="AJ497" i="1"/>
  <c r="AJ492" i="1"/>
  <c r="AJ502" i="1"/>
  <c r="AJ487" i="1"/>
  <c r="AJ472" i="1"/>
  <c r="AJ461" i="1"/>
  <c r="AJ466" i="1"/>
  <c r="AJ462" i="1"/>
  <c r="AJ457" i="1"/>
  <c r="AJ452" i="1"/>
  <c r="AJ456" i="1"/>
  <c r="AM453" i="1"/>
  <c r="AM513" i="1" l="1"/>
  <c r="AB384" i="1" l="1"/>
  <c r="AC384" i="1"/>
  <c r="AD384" i="1"/>
  <c r="AE384" i="1"/>
  <c r="AF384" i="1"/>
  <c r="AG384" i="1"/>
  <c r="AA384" i="1" l="1"/>
  <c r="Z384" i="1"/>
  <c r="D59" i="1"/>
  <c r="AA356" i="1"/>
  <c r="Y356" i="1"/>
  <c r="W356" i="1"/>
  <c r="U356" i="1"/>
  <c r="S356" i="1"/>
  <c r="Q356" i="1"/>
  <c r="O356" i="1"/>
  <c r="M356" i="1"/>
  <c r="AK54" i="1" l="1"/>
  <c r="AJ55" i="1"/>
  <c r="AJ54" i="1"/>
  <c r="AJ106" i="1"/>
  <c r="AJ107" i="1"/>
  <c r="AJ110" i="1"/>
  <c r="AJ111" i="1"/>
  <c r="AJ103" i="1"/>
  <c r="AJ102" i="1"/>
  <c r="AJ99" i="1"/>
  <c r="AJ98" i="1"/>
  <c r="AJ95" i="1"/>
  <c r="AJ94" i="1"/>
  <c r="AJ91" i="1"/>
  <c r="AJ90" i="1"/>
  <c r="AJ87" i="1"/>
  <c r="AJ86" i="1"/>
  <c r="AJ83" i="1"/>
  <c r="AJ82" i="1"/>
  <c r="AJ79" i="1"/>
  <c r="AJ78" i="1"/>
  <c r="AJ75" i="1"/>
  <c r="AJ74" i="1"/>
  <c r="AJ71" i="1"/>
  <c r="AJ26" i="1"/>
  <c r="AA371" i="1" l="1"/>
  <c r="Z371" i="1"/>
  <c r="AJ70" i="1"/>
  <c r="AJ151" i="1"/>
  <c r="AK371" i="1" l="1"/>
  <c r="AK386" i="1"/>
  <c r="AK352" i="1"/>
  <c r="AK350" i="1"/>
  <c r="AM350" i="1"/>
  <c r="AM343" i="1"/>
  <c r="AM342" i="1"/>
  <c r="AM341" i="1"/>
  <c r="AJ438" i="1" l="1"/>
  <c r="AQ21" i="1" l="1"/>
  <c r="AQ20" i="1"/>
  <c r="AQ19" i="1"/>
  <c r="AQ4" i="1"/>
  <c r="AQ3" i="1"/>
  <c r="AP21" i="1"/>
  <c r="AP20" i="1"/>
  <c r="AP19" i="1"/>
  <c r="AP4" i="1"/>
  <c r="AP3" i="1"/>
  <c r="A3" i="1" l="1"/>
  <c r="G439" i="1" l="1"/>
  <c r="H439" i="1"/>
  <c r="I439" i="1"/>
  <c r="J439" i="1"/>
  <c r="K439" i="1"/>
  <c r="L439" i="1"/>
  <c r="M439" i="1"/>
  <c r="N439" i="1"/>
  <c r="O439" i="1"/>
  <c r="P439" i="1"/>
  <c r="Q439" i="1"/>
  <c r="R439" i="1"/>
  <c r="S439" i="1"/>
  <c r="T439" i="1"/>
  <c r="U439" i="1"/>
  <c r="V439" i="1"/>
  <c r="W439" i="1"/>
  <c r="X439" i="1"/>
  <c r="Y439" i="1"/>
  <c r="Y222" i="1" l="1"/>
  <c r="W222" i="1"/>
  <c r="U222" i="1"/>
  <c r="S222" i="1"/>
  <c r="Q222" i="1"/>
  <c r="O222" i="1"/>
  <c r="M222" i="1"/>
  <c r="Y238" i="1"/>
  <c r="W238" i="1"/>
  <c r="U238" i="1"/>
  <c r="S238" i="1"/>
  <c r="Q238" i="1"/>
  <c r="O238" i="1"/>
  <c r="M238" i="1"/>
  <c r="Y230" i="1"/>
  <c r="W230" i="1"/>
  <c r="U230" i="1"/>
  <c r="S230" i="1"/>
  <c r="Q230" i="1"/>
  <c r="O230" i="1"/>
  <c r="AK220" i="1" l="1"/>
  <c r="AK236" i="1"/>
  <c r="AK129" i="1"/>
  <c r="AK130" i="1"/>
  <c r="G46" i="1" l="1"/>
  <c r="H46" i="1"/>
  <c r="I46" i="1"/>
  <c r="J46" i="1"/>
  <c r="K46" i="1"/>
  <c r="L46" i="1"/>
  <c r="M46" i="1"/>
  <c r="N46" i="1"/>
  <c r="O46" i="1"/>
  <c r="P46" i="1"/>
  <c r="Q46" i="1"/>
  <c r="R46" i="1"/>
  <c r="S46" i="1"/>
  <c r="T46" i="1"/>
  <c r="U46" i="1"/>
  <c r="V46" i="1"/>
  <c r="W46" i="1"/>
  <c r="X46" i="1"/>
  <c r="Y46" i="1"/>
  <c r="F46" i="1"/>
  <c r="F61" i="1" l="1"/>
  <c r="F59" i="1"/>
  <c r="R61" i="1"/>
  <c r="R59" i="1"/>
  <c r="N61" i="1"/>
  <c r="N59" i="1"/>
  <c r="J61" i="1"/>
  <c r="J59" i="1"/>
  <c r="H61" i="1"/>
  <c r="H59" i="1"/>
  <c r="V61" i="1"/>
  <c r="V59" i="1"/>
  <c r="Y61" i="1"/>
  <c r="Y59" i="1"/>
  <c r="U61" i="1"/>
  <c r="U59" i="1"/>
  <c r="Q61" i="1"/>
  <c r="Q59" i="1"/>
  <c r="M61" i="1"/>
  <c r="M59" i="1"/>
  <c r="I61" i="1"/>
  <c r="I59" i="1"/>
  <c r="X61" i="1"/>
  <c r="X59" i="1"/>
  <c r="T61" i="1"/>
  <c r="T59" i="1"/>
  <c r="P61" i="1"/>
  <c r="P59" i="1"/>
  <c r="L61" i="1"/>
  <c r="L59" i="1"/>
  <c r="W61" i="1"/>
  <c r="W59" i="1"/>
  <c r="S61" i="1"/>
  <c r="S59" i="1"/>
  <c r="O61" i="1"/>
  <c r="O59" i="1"/>
  <c r="K61" i="1"/>
  <c r="K59" i="1"/>
  <c r="G61" i="1"/>
  <c r="G59" i="1"/>
  <c r="Z59" i="1"/>
  <c r="AA59" i="1"/>
  <c r="M482" i="1"/>
  <c r="Q482" i="1"/>
  <c r="X482" i="1"/>
  <c r="T482" i="1"/>
  <c r="P482" i="1"/>
  <c r="L482" i="1"/>
  <c r="H482" i="1"/>
  <c r="Y482" i="1"/>
  <c r="F482" i="1"/>
  <c r="AA482" i="1"/>
  <c r="W482" i="1"/>
  <c r="S482" i="1"/>
  <c r="O482" i="1"/>
  <c r="K482" i="1"/>
  <c r="G482" i="1"/>
  <c r="U482" i="1"/>
  <c r="I482" i="1"/>
  <c r="Z482" i="1"/>
  <c r="V482" i="1"/>
  <c r="R482" i="1"/>
  <c r="N482" i="1"/>
  <c r="J482" i="1"/>
  <c r="AJ486" i="1"/>
  <c r="G45" i="1"/>
  <c r="H45" i="1"/>
  <c r="I45" i="1"/>
  <c r="J45" i="1"/>
  <c r="K45" i="1"/>
  <c r="L45" i="1"/>
  <c r="M45" i="1"/>
  <c r="N45" i="1"/>
  <c r="O45" i="1"/>
  <c r="P45" i="1"/>
  <c r="Q45" i="1"/>
  <c r="R45" i="1"/>
  <c r="S45" i="1"/>
  <c r="T45" i="1"/>
  <c r="U45" i="1"/>
  <c r="V45" i="1"/>
  <c r="W45" i="1"/>
  <c r="X45" i="1"/>
  <c r="Y45" i="1"/>
  <c r="F45" i="1"/>
  <c r="E356" i="1"/>
  <c r="E334" i="1"/>
  <c r="X60" i="1" l="1"/>
  <c r="X58" i="1"/>
  <c r="H60" i="1"/>
  <c r="H58" i="1"/>
  <c r="V60" i="1"/>
  <c r="V58" i="1"/>
  <c r="R60" i="1"/>
  <c r="R58" i="1"/>
  <c r="N60" i="1"/>
  <c r="N58" i="1"/>
  <c r="J60" i="1"/>
  <c r="J58" i="1"/>
  <c r="Y60" i="1"/>
  <c r="Y58" i="1"/>
  <c r="U60" i="1"/>
  <c r="U58" i="1"/>
  <c r="Q60" i="1"/>
  <c r="Q58" i="1"/>
  <c r="M60" i="1"/>
  <c r="M58" i="1"/>
  <c r="I60" i="1"/>
  <c r="I58" i="1"/>
  <c r="T60" i="1"/>
  <c r="T58" i="1"/>
  <c r="L60" i="1"/>
  <c r="L58" i="1"/>
  <c r="W60" i="1"/>
  <c r="W58" i="1"/>
  <c r="S60" i="1"/>
  <c r="S58" i="1"/>
  <c r="O60" i="1"/>
  <c r="O58" i="1"/>
  <c r="K60" i="1"/>
  <c r="K58" i="1"/>
  <c r="G60" i="1"/>
  <c r="G58" i="1"/>
  <c r="P60" i="1"/>
  <c r="P58" i="1"/>
  <c r="F60" i="1"/>
  <c r="F58" i="1"/>
  <c r="Z58" i="1"/>
  <c r="Z60" i="1"/>
  <c r="AA58" i="1"/>
  <c r="AA60" i="1"/>
  <c r="AJ482" i="1"/>
  <c r="AJ61" i="1"/>
  <c r="AK482" i="1"/>
  <c r="AL452" i="1" s="1"/>
  <c r="F512" i="1"/>
  <c r="R512" i="1"/>
  <c r="Z512" i="1"/>
  <c r="P512" i="1"/>
  <c r="N512" i="1"/>
  <c r="V512" i="1"/>
  <c r="G512" i="1"/>
  <c r="AJ467" i="1"/>
  <c r="H512" i="1"/>
  <c r="T512" i="1"/>
  <c r="I512" i="1"/>
  <c r="J512" i="1"/>
  <c r="X512" i="1"/>
  <c r="L512" i="1"/>
  <c r="AJ477" i="1"/>
  <c r="AJ481" i="1"/>
  <c r="AJ8" i="1"/>
  <c r="AJ60" i="1" l="1"/>
  <c r="AJ471" i="1"/>
  <c r="F356" i="1"/>
  <c r="G356" i="1"/>
  <c r="H356" i="1"/>
  <c r="I356" i="1"/>
  <c r="J356" i="1"/>
  <c r="K356" i="1"/>
  <c r="L356" i="1"/>
  <c r="N356" i="1"/>
  <c r="P356" i="1"/>
  <c r="R356" i="1"/>
  <c r="T356" i="1"/>
  <c r="V356" i="1"/>
  <c r="X356" i="1"/>
  <c r="Z356" i="1"/>
  <c r="AJ448" i="1" l="1"/>
  <c r="AJ9" i="1"/>
  <c r="AJ10" i="1"/>
  <c r="K116" i="1" l="1"/>
  <c r="L116" i="1"/>
  <c r="M116" i="1"/>
  <c r="N116" i="1"/>
  <c r="O116" i="1"/>
  <c r="P116" i="1"/>
  <c r="Q116" i="1"/>
  <c r="R116" i="1"/>
  <c r="S116" i="1"/>
  <c r="T116" i="1"/>
  <c r="U116" i="1"/>
  <c r="V116" i="1"/>
  <c r="W116" i="1"/>
  <c r="X116" i="1"/>
  <c r="Y116" i="1"/>
  <c r="Z116" i="1"/>
  <c r="AA116" i="1"/>
  <c r="Y512" i="1" l="1"/>
  <c r="U512" i="1"/>
  <c r="Q512" i="1"/>
  <c r="M512" i="1"/>
  <c r="AA512" i="1"/>
  <c r="W512" i="1"/>
  <c r="S512" i="1"/>
  <c r="O512" i="1"/>
  <c r="AJ507" i="1"/>
  <c r="K512" i="1"/>
  <c r="AM389" i="1"/>
  <c r="AM388" i="1"/>
  <c r="E390" i="1"/>
  <c r="E393" i="1" s="1"/>
  <c r="F390" i="1"/>
  <c r="F393" i="1" s="1"/>
  <c r="G390" i="1"/>
  <c r="G393" i="1" s="1"/>
  <c r="H390" i="1"/>
  <c r="H393" i="1" s="1"/>
  <c r="I390" i="1"/>
  <c r="I393" i="1" s="1"/>
  <c r="J390" i="1"/>
  <c r="J393" i="1" s="1"/>
  <c r="K390" i="1"/>
  <c r="K393" i="1" s="1"/>
  <c r="L390" i="1"/>
  <c r="L393" i="1" s="1"/>
  <c r="M390" i="1"/>
  <c r="M393" i="1" s="1"/>
  <c r="N390" i="1"/>
  <c r="N393" i="1" s="1"/>
  <c r="O390" i="1"/>
  <c r="O393" i="1" s="1"/>
  <c r="P390" i="1"/>
  <c r="P393" i="1" s="1"/>
  <c r="Q390" i="1"/>
  <c r="Q393" i="1" s="1"/>
  <c r="R390" i="1"/>
  <c r="R393" i="1" s="1"/>
  <c r="S390" i="1"/>
  <c r="S393" i="1" s="1"/>
  <c r="T390" i="1"/>
  <c r="T393" i="1" s="1"/>
  <c r="U390" i="1"/>
  <c r="U393" i="1" s="1"/>
  <c r="V390" i="1"/>
  <c r="V393" i="1" s="1"/>
  <c r="W390" i="1"/>
  <c r="W393" i="1" s="1"/>
  <c r="X390" i="1"/>
  <c r="X393" i="1" s="1"/>
  <c r="Y390" i="1"/>
  <c r="Y393" i="1" s="1"/>
  <c r="E397" i="1"/>
  <c r="F397" i="1"/>
  <c r="G397" i="1"/>
  <c r="H397" i="1"/>
  <c r="I397" i="1"/>
  <c r="J397" i="1"/>
  <c r="K397" i="1"/>
  <c r="L397" i="1"/>
  <c r="M397" i="1"/>
  <c r="N397" i="1"/>
  <c r="O397" i="1"/>
  <c r="P397" i="1"/>
  <c r="Q397" i="1"/>
  <c r="R397" i="1"/>
  <c r="S397" i="1"/>
  <c r="T397" i="1"/>
  <c r="U397" i="1"/>
  <c r="V397" i="1"/>
  <c r="W397" i="1"/>
  <c r="X397" i="1"/>
  <c r="Y397" i="1"/>
  <c r="AJ516" i="1" l="1"/>
  <c r="AJ512" i="1"/>
  <c r="AJ511" i="1"/>
  <c r="AK8" i="1"/>
  <c r="AK9" i="1"/>
  <c r="W443" i="1" l="1"/>
  <c r="AJ408" i="1"/>
  <c r="AJ409" i="1"/>
  <c r="AJ410" i="1"/>
  <c r="AJ411" i="1"/>
  <c r="AJ412" i="1"/>
  <c r="E405" i="1"/>
  <c r="F405" i="1"/>
  <c r="G405" i="1"/>
  <c r="H405" i="1"/>
  <c r="I405" i="1"/>
  <c r="J405" i="1"/>
  <c r="K405" i="1"/>
  <c r="L405" i="1"/>
  <c r="M405" i="1"/>
  <c r="N405" i="1"/>
  <c r="O405" i="1"/>
  <c r="P405" i="1"/>
  <c r="Q405" i="1"/>
  <c r="R405" i="1"/>
  <c r="S405" i="1"/>
  <c r="T405" i="1"/>
  <c r="U405" i="1"/>
  <c r="V405" i="1"/>
  <c r="W405" i="1"/>
  <c r="X405" i="1"/>
  <c r="Y405" i="1"/>
  <c r="Z405" i="1"/>
  <c r="AA405" i="1"/>
  <c r="D405" i="1"/>
  <c r="AJ344" i="1"/>
  <c r="AJ343" i="1"/>
  <c r="AJ347" i="1"/>
  <c r="AJ346" i="1"/>
  <c r="AJ341" i="1"/>
  <c r="AJ342" i="1"/>
  <c r="AJ314" i="1"/>
  <c r="AJ315" i="1"/>
  <c r="AJ155" i="1"/>
  <c r="AJ156" i="1"/>
  <c r="AJ157" i="1"/>
  <c r="AJ158" i="1"/>
  <c r="AJ154" i="1"/>
  <c r="AJ153" i="1"/>
  <c r="AJ139" i="1"/>
  <c r="AJ150" i="1"/>
  <c r="AJ140" i="1"/>
  <c r="AJ133" i="1"/>
  <c r="AJ134" i="1"/>
  <c r="AJ135" i="1"/>
  <c r="AJ137" i="1"/>
  <c r="AJ138" i="1"/>
  <c r="AJ130" i="1"/>
  <c r="AJ129" i="1"/>
  <c r="AJ132" i="1" l="1"/>
  <c r="D334" i="1"/>
  <c r="E404" i="1"/>
  <c r="F404" i="1"/>
  <c r="G404" i="1"/>
  <c r="H404" i="1"/>
  <c r="I404" i="1"/>
  <c r="J404" i="1"/>
  <c r="K404" i="1"/>
  <c r="L404" i="1"/>
  <c r="M404" i="1"/>
  <c r="N404" i="1"/>
  <c r="O404" i="1"/>
  <c r="P404" i="1"/>
  <c r="Q404" i="1"/>
  <c r="R404" i="1"/>
  <c r="S404" i="1"/>
  <c r="T404" i="1"/>
  <c r="U404" i="1"/>
  <c r="V404" i="1"/>
  <c r="W404" i="1"/>
  <c r="X404" i="1"/>
  <c r="Y404" i="1"/>
  <c r="Z404" i="1"/>
  <c r="AN405" i="1"/>
  <c r="D397" i="1"/>
  <c r="AK290" i="1" l="1"/>
  <c r="AK278" i="1"/>
  <c r="AK269" i="1"/>
  <c r="AK267" i="1"/>
  <c r="AK264" i="1"/>
  <c r="AK260" i="1"/>
  <c r="AK258" i="1"/>
  <c r="E273" i="1"/>
  <c r="F273" i="1"/>
  <c r="G273" i="1"/>
  <c r="H273" i="1"/>
  <c r="I273" i="1"/>
  <c r="J273" i="1"/>
  <c r="K273" i="1"/>
  <c r="L273" i="1"/>
  <c r="M273" i="1"/>
  <c r="N273" i="1"/>
  <c r="O273" i="1"/>
  <c r="P273" i="1"/>
  <c r="Q273" i="1"/>
  <c r="R273" i="1"/>
  <c r="S273" i="1"/>
  <c r="T273" i="1"/>
  <c r="U273" i="1"/>
  <c r="V273" i="1"/>
  <c r="W273" i="1"/>
  <c r="X273" i="1"/>
  <c r="Y273" i="1"/>
  <c r="Z273" i="1"/>
  <c r="AA273" i="1"/>
  <c r="D273" i="1"/>
  <c r="E255" i="1"/>
  <c r="F255" i="1"/>
  <c r="G255" i="1"/>
  <c r="H255" i="1"/>
  <c r="I255" i="1"/>
  <c r="J255" i="1"/>
  <c r="K255" i="1"/>
  <c r="L255" i="1"/>
  <c r="M255" i="1"/>
  <c r="N255" i="1"/>
  <c r="O255" i="1"/>
  <c r="P255" i="1"/>
  <c r="Q255" i="1"/>
  <c r="R255" i="1"/>
  <c r="S255" i="1"/>
  <c r="T255" i="1"/>
  <c r="U255" i="1"/>
  <c r="V255" i="1"/>
  <c r="W255" i="1"/>
  <c r="X255" i="1"/>
  <c r="Y255" i="1"/>
  <c r="Z255" i="1"/>
  <c r="AA255" i="1"/>
  <c r="D255" i="1"/>
  <c r="AA275" i="1"/>
  <c r="Z275" i="1"/>
  <c r="Y275" i="1"/>
  <c r="X275" i="1"/>
  <c r="W275" i="1"/>
  <c r="V275" i="1"/>
  <c r="U275" i="1"/>
  <c r="T275" i="1"/>
  <c r="S275" i="1"/>
  <c r="R275" i="1"/>
  <c r="Q275" i="1"/>
  <c r="P275" i="1"/>
  <c r="O275" i="1"/>
  <c r="N275" i="1"/>
  <c r="M275" i="1"/>
  <c r="L275" i="1"/>
  <c r="K275" i="1"/>
  <c r="J275" i="1"/>
  <c r="I275" i="1"/>
  <c r="H275" i="1"/>
  <c r="G275" i="1"/>
  <c r="F275" i="1"/>
  <c r="E275" i="1"/>
  <c r="D275" i="1"/>
  <c r="AA266" i="1"/>
  <c r="Z266" i="1"/>
  <c r="Y266" i="1"/>
  <c r="X266" i="1"/>
  <c r="W266" i="1"/>
  <c r="V266" i="1"/>
  <c r="U266" i="1"/>
  <c r="T266" i="1"/>
  <c r="S266" i="1"/>
  <c r="R266" i="1"/>
  <c r="Q266" i="1"/>
  <c r="P266" i="1"/>
  <c r="O266" i="1"/>
  <c r="N266" i="1"/>
  <c r="M266" i="1"/>
  <c r="L266" i="1"/>
  <c r="K266" i="1"/>
  <c r="J266" i="1"/>
  <c r="I266" i="1"/>
  <c r="H266" i="1"/>
  <c r="G266" i="1"/>
  <c r="F266" i="1"/>
  <c r="E266" i="1"/>
  <c r="D266" i="1"/>
  <c r="AJ264" i="1"/>
  <c r="AA257" i="1"/>
  <c r="Z257" i="1"/>
  <c r="Y257" i="1"/>
  <c r="X257" i="1"/>
  <c r="W257" i="1"/>
  <c r="V257" i="1"/>
  <c r="U257" i="1"/>
  <c r="T257" i="1"/>
  <c r="S257" i="1"/>
  <c r="R257" i="1"/>
  <c r="Q257" i="1"/>
  <c r="P257" i="1"/>
  <c r="O257" i="1"/>
  <c r="N257" i="1"/>
  <c r="M257" i="1"/>
  <c r="L257" i="1"/>
  <c r="K257" i="1"/>
  <c r="J257" i="1"/>
  <c r="I257" i="1"/>
  <c r="H257" i="1"/>
  <c r="G257" i="1"/>
  <c r="F257" i="1"/>
  <c r="E257" i="1"/>
  <c r="D257" i="1"/>
  <c r="AK276" i="1"/>
  <c r="AK251" i="1"/>
  <c r="AK249" i="1"/>
  <c r="E248" i="1"/>
  <c r="F248" i="1"/>
  <c r="G248" i="1"/>
  <c r="H248" i="1"/>
  <c r="I248" i="1"/>
  <c r="J248" i="1"/>
  <c r="K248" i="1"/>
  <c r="L248" i="1"/>
  <c r="M248" i="1"/>
  <c r="N248" i="1"/>
  <c r="O248" i="1"/>
  <c r="P248" i="1"/>
  <c r="Q248" i="1"/>
  <c r="R248" i="1"/>
  <c r="S248" i="1"/>
  <c r="T248" i="1"/>
  <c r="U248" i="1"/>
  <c r="V248" i="1"/>
  <c r="W248" i="1"/>
  <c r="X248" i="1"/>
  <c r="Y248" i="1"/>
  <c r="Z248" i="1"/>
  <c r="AA248" i="1"/>
  <c r="E246" i="1"/>
  <c r="F246" i="1"/>
  <c r="G246" i="1"/>
  <c r="H246" i="1"/>
  <c r="I246" i="1"/>
  <c r="J246" i="1"/>
  <c r="K246" i="1"/>
  <c r="L246" i="1"/>
  <c r="M246" i="1"/>
  <c r="N246" i="1"/>
  <c r="O246" i="1"/>
  <c r="P246" i="1"/>
  <c r="Q246" i="1"/>
  <c r="R246" i="1"/>
  <c r="S246" i="1"/>
  <c r="T246" i="1"/>
  <c r="U246" i="1"/>
  <c r="V246" i="1"/>
  <c r="W246" i="1"/>
  <c r="X246" i="1"/>
  <c r="Y246" i="1"/>
  <c r="Z246" i="1"/>
  <c r="AA246" i="1"/>
  <c r="D18" i="1"/>
  <c r="E18" i="1"/>
  <c r="AJ16" i="1"/>
  <c r="AJ17" i="1"/>
  <c r="AJ15" i="1"/>
  <c r="AJ12" i="1"/>
  <c r="AJ13" i="1"/>
  <c r="AJ246" i="1"/>
  <c r="D246" i="1"/>
  <c r="D14" i="1"/>
  <c r="E14" i="1"/>
  <c r="AJ265" i="1"/>
  <c r="AJ267" i="1"/>
  <c r="AJ268" i="1"/>
  <c r="AJ269" i="1"/>
  <c r="AJ270" i="1"/>
  <c r="AJ271" i="1"/>
  <c r="AJ272" i="1"/>
  <c r="AJ274" i="1"/>
  <c r="AJ276" i="1"/>
  <c r="AJ277" i="1"/>
  <c r="AJ278" i="1"/>
  <c r="AJ279" i="1"/>
  <c r="AJ280" i="1"/>
  <c r="AJ281" i="1"/>
  <c r="AJ263" i="1"/>
  <c r="AJ256" i="1"/>
  <c r="AJ258" i="1"/>
  <c r="AJ259" i="1"/>
  <c r="AJ260" i="1"/>
  <c r="AJ261" i="1"/>
  <c r="AJ262" i="1"/>
  <c r="AJ254" i="1"/>
  <c r="D248" i="1"/>
  <c r="AJ249" i="1"/>
  <c r="AJ250" i="1"/>
  <c r="AJ251" i="1"/>
  <c r="AJ252" i="1"/>
  <c r="AJ253" i="1"/>
  <c r="G14" i="1"/>
  <c r="H14" i="1"/>
  <c r="I14" i="1"/>
  <c r="J14" i="1"/>
  <c r="K14" i="1"/>
  <c r="L14" i="1"/>
  <c r="M14" i="1"/>
  <c r="N14" i="1"/>
  <c r="O14" i="1"/>
  <c r="P14" i="1"/>
  <c r="Q14" i="1"/>
  <c r="R14" i="1"/>
  <c r="S14" i="1"/>
  <c r="T14" i="1"/>
  <c r="U14" i="1"/>
  <c r="V14" i="1"/>
  <c r="W14" i="1"/>
  <c r="X14" i="1"/>
  <c r="Y14" i="1"/>
  <c r="Z14" i="1"/>
  <c r="AA14" i="1"/>
  <c r="M230" i="1"/>
  <c r="AK228" i="1" s="1"/>
  <c r="AL219" i="1" s="1"/>
  <c r="F14" i="1"/>
  <c r="AJ18" i="1" l="1"/>
  <c r="AJ266" i="1"/>
  <c r="AJ275" i="1"/>
  <c r="AJ257" i="1"/>
  <c r="AK273" i="1"/>
  <c r="AL273" i="1" s="1"/>
  <c r="AJ255" i="1"/>
  <c r="AJ405" i="1"/>
  <c r="AK255" i="1"/>
  <c r="AL255" i="1" s="1"/>
  <c r="AJ14" i="1"/>
  <c r="AK246" i="1"/>
  <c r="AJ273" i="1"/>
  <c r="AL264" i="1"/>
  <c r="AJ248" i="1"/>
  <c r="AJ238" i="1"/>
  <c r="AJ222" i="1"/>
  <c r="AJ230" i="1"/>
  <c r="AK16" i="1"/>
  <c r="AK15" i="1"/>
  <c r="AK12" i="1"/>
  <c r="AK11" i="1"/>
  <c r="G18" i="1"/>
  <c r="H18" i="1"/>
  <c r="I18" i="1"/>
  <c r="J18" i="1"/>
  <c r="K18" i="1"/>
  <c r="L18" i="1"/>
  <c r="M18" i="1"/>
  <c r="N18" i="1"/>
  <c r="O18" i="1"/>
  <c r="P18" i="1"/>
  <c r="Q18" i="1"/>
  <c r="R18" i="1"/>
  <c r="S18" i="1"/>
  <c r="T18" i="1"/>
  <c r="U18" i="1"/>
  <c r="V18" i="1"/>
  <c r="W18" i="1"/>
  <c r="X18" i="1"/>
  <c r="Y18" i="1"/>
  <c r="Z18" i="1"/>
  <c r="AA18" i="1"/>
  <c r="F18" i="1"/>
  <c r="AL246" i="1" l="1"/>
  <c r="AK320" i="1"/>
  <c r="AM444" i="1" l="1"/>
  <c r="AK442" i="1"/>
  <c r="AK440" i="1"/>
  <c r="AK436" i="1"/>
  <c r="AK422" i="1"/>
  <c r="AK389" i="1"/>
  <c r="AK388" i="1"/>
  <c r="AJ391" i="1" l="1"/>
  <c r="AJ392" i="1"/>
  <c r="AJ394" i="1"/>
  <c r="AJ395" i="1"/>
  <c r="AJ396" i="1"/>
  <c r="AJ398" i="1"/>
  <c r="AJ385" i="1"/>
  <c r="AJ388" i="1"/>
  <c r="AJ389" i="1"/>
  <c r="AJ397" i="1" l="1"/>
  <c r="AK397" i="1"/>
  <c r="E384" i="1" l="1"/>
  <c r="F384" i="1"/>
  <c r="G384" i="1"/>
  <c r="H384" i="1"/>
  <c r="I384" i="1"/>
  <c r="J384" i="1"/>
  <c r="K384" i="1"/>
  <c r="L384" i="1"/>
  <c r="M384" i="1"/>
  <c r="N384" i="1"/>
  <c r="O384" i="1"/>
  <c r="P384" i="1"/>
  <c r="Q384" i="1"/>
  <c r="R384" i="1"/>
  <c r="S384" i="1"/>
  <c r="T384" i="1"/>
  <c r="U384" i="1"/>
  <c r="V384" i="1"/>
  <c r="W384" i="1"/>
  <c r="X384" i="1"/>
  <c r="Y384" i="1"/>
  <c r="D371" i="1"/>
  <c r="AK192" i="1" s="1"/>
  <c r="AJ357" i="1"/>
  <c r="AJ358" i="1"/>
  <c r="AJ359" i="1"/>
  <c r="AJ360" i="1"/>
  <c r="AJ361" i="1"/>
  <c r="AJ362" i="1"/>
  <c r="AK370" i="1" l="1"/>
  <c r="AK346" i="1"/>
  <c r="AK344" i="1"/>
  <c r="AK343" i="1"/>
  <c r="AM339" i="1" l="1"/>
  <c r="AM338" i="1"/>
  <c r="AK303" i="1"/>
  <c r="D328" i="1"/>
  <c r="D331" i="1"/>
  <c r="AM330" i="1"/>
  <c r="AM329" i="1"/>
  <c r="AK329" i="1"/>
  <c r="AK330" i="1"/>
  <c r="AK327" i="1"/>
  <c r="AK326" i="1"/>
  <c r="AK324" i="1"/>
  <c r="E331" i="1"/>
  <c r="E328" i="1"/>
  <c r="AK318" i="1"/>
  <c r="AK316" i="1"/>
  <c r="AK314" i="1"/>
  <c r="AK331" i="1" l="1"/>
  <c r="AM331" i="1"/>
  <c r="AJ331" i="1"/>
  <c r="AM303" i="1" l="1"/>
  <c r="AN302" i="1" s="1"/>
  <c r="AK310" i="1"/>
  <c r="AK308" i="1"/>
  <c r="AK190" i="1"/>
  <c r="AK189" i="1"/>
  <c r="K152" i="1"/>
  <c r="L152" i="1"/>
  <c r="M152" i="1"/>
  <c r="N152" i="1"/>
  <c r="O152" i="1"/>
  <c r="P152" i="1"/>
  <c r="Q152" i="1"/>
  <c r="R152" i="1"/>
  <c r="S152" i="1"/>
  <c r="T152" i="1"/>
  <c r="U152" i="1"/>
  <c r="V152" i="1"/>
  <c r="W152" i="1"/>
  <c r="X152" i="1"/>
  <c r="Y152" i="1"/>
  <c r="Z152" i="1"/>
  <c r="AA152" i="1"/>
  <c r="J152" i="1"/>
  <c r="AK128" i="1"/>
  <c r="AK51" i="1"/>
  <c r="AK49" i="1"/>
  <c r="AK47" i="1"/>
  <c r="AK45" i="1"/>
  <c r="AK43" i="1"/>
  <c r="AK41" i="1"/>
  <c r="AK39" i="1"/>
  <c r="AK37" i="1"/>
  <c r="AK27" i="1"/>
  <c r="AM24" i="1"/>
  <c r="AK22" i="1"/>
  <c r="AJ152" i="1" l="1"/>
  <c r="AJ406" i="1" l="1"/>
  <c r="D404" i="1"/>
  <c r="AJ402" i="1"/>
  <c r="D390" i="1"/>
  <c r="AK398" i="1" s="1"/>
  <c r="AJ403" i="1"/>
  <c r="D356" i="1"/>
  <c r="AK357" i="1" s="1"/>
  <c r="AJ370" i="1"/>
  <c r="AK403" i="1" l="1"/>
  <c r="AK338" i="1"/>
  <c r="AK356" i="1"/>
  <c r="AK364" i="1"/>
  <c r="D393" i="1"/>
  <c r="AK399" i="1" s="1"/>
  <c r="AJ390" i="1"/>
  <c r="AJ407" i="1"/>
  <c r="AJ404" i="1"/>
  <c r="AK404" i="1" l="1"/>
  <c r="AJ393" i="1"/>
  <c r="AK393" i="1"/>
  <c r="AM393" i="1"/>
  <c r="AN388" i="1" s="1"/>
  <c r="AJ440" i="1"/>
  <c r="AJ442" i="1"/>
  <c r="AJ444" i="1"/>
  <c r="AJ445" i="1"/>
  <c r="F446" i="1"/>
  <c r="G446" i="1"/>
  <c r="H446" i="1"/>
  <c r="I446" i="1"/>
  <c r="J446" i="1"/>
  <c r="K446" i="1"/>
  <c r="L446" i="1"/>
  <c r="M446" i="1"/>
  <c r="N446" i="1"/>
  <c r="O446" i="1"/>
  <c r="P446" i="1"/>
  <c r="Q446" i="1"/>
  <c r="R446" i="1"/>
  <c r="S446" i="1"/>
  <c r="T446" i="1"/>
  <c r="U446" i="1"/>
  <c r="V446" i="1"/>
  <c r="W446" i="1"/>
  <c r="X446" i="1"/>
  <c r="Y446" i="1"/>
  <c r="F443" i="1"/>
  <c r="G443" i="1"/>
  <c r="H443" i="1"/>
  <c r="I443" i="1"/>
  <c r="J443" i="1"/>
  <c r="K443" i="1"/>
  <c r="L443" i="1"/>
  <c r="M443" i="1"/>
  <c r="N443" i="1"/>
  <c r="O443" i="1"/>
  <c r="P443" i="1"/>
  <c r="Q443" i="1"/>
  <c r="R443" i="1"/>
  <c r="S443" i="1"/>
  <c r="T443" i="1"/>
  <c r="U443" i="1"/>
  <c r="V443" i="1"/>
  <c r="X443" i="1"/>
  <c r="Y443" i="1"/>
  <c r="AK441" i="1"/>
  <c r="AM439" i="1"/>
  <c r="AJ437" i="1"/>
  <c r="AJ436" i="1"/>
  <c r="AJ247" i="1"/>
  <c r="AJ334" i="1"/>
  <c r="AJ321" i="1"/>
  <c r="AJ324" i="1"/>
  <c r="AJ325" i="1"/>
  <c r="AJ326" i="1"/>
  <c r="AJ327" i="1"/>
  <c r="AJ329" i="1"/>
  <c r="AJ330" i="1"/>
  <c r="AJ332" i="1"/>
  <c r="AJ333" i="1"/>
  <c r="AJ310" i="1"/>
  <c r="AJ311" i="1"/>
  <c r="AJ312" i="1"/>
  <c r="AJ313" i="1"/>
  <c r="AJ316" i="1"/>
  <c r="AJ317" i="1"/>
  <c r="AJ318" i="1"/>
  <c r="AJ319" i="1"/>
  <c r="AJ320" i="1"/>
  <c r="AJ308" i="1"/>
  <c r="AJ328" i="1"/>
  <c r="AM448" i="1" l="1"/>
  <c r="AN436" i="1"/>
  <c r="AK446" i="1"/>
  <c r="AL436" i="1" s="1"/>
  <c r="AJ439" i="1"/>
  <c r="AJ446" i="1"/>
  <c r="AJ443" i="1"/>
  <c r="Y340" i="1"/>
  <c r="W340" i="1"/>
  <c r="U340" i="1"/>
  <c r="S340" i="1"/>
  <c r="Q340" i="1"/>
  <c r="O340" i="1"/>
  <c r="M340" i="1"/>
  <c r="K340" i="1"/>
  <c r="AJ340" i="1" l="1"/>
  <c r="Y307" i="1"/>
  <c r="W307" i="1"/>
  <c r="U307" i="1"/>
  <c r="S307" i="1"/>
  <c r="Q307" i="1"/>
  <c r="O307" i="1"/>
  <c r="M307" i="1"/>
  <c r="K307" i="1"/>
  <c r="Y306" i="1"/>
  <c r="W306" i="1"/>
  <c r="U306" i="1"/>
  <c r="S306" i="1"/>
  <c r="Q306" i="1"/>
  <c r="O306" i="1"/>
  <c r="M306" i="1"/>
  <c r="K306" i="1"/>
  <c r="AJ306" i="1" l="1"/>
  <c r="AJ307" i="1"/>
  <c r="AJ423" i="1" l="1"/>
  <c r="AJ424" i="1"/>
  <c r="AJ425" i="1"/>
  <c r="AJ426" i="1"/>
  <c r="D427" i="1" l="1"/>
  <c r="E427" i="1"/>
  <c r="F427" i="1"/>
  <c r="G427" i="1"/>
  <c r="H427" i="1"/>
  <c r="I427" i="1"/>
  <c r="J427" i="1"/>
  <c r="K427" i="1"/>
  <c r="L427" i="1"/>
  <c r="M427" i="1"/>
  <c r="N427" i="1"/>
  <c r="O427" i="1"/>
  <c r="P427" i="1"/>
  <c r="Q427" i="1"/>
  <c r="R427" i="1"/>
  <c r="S427" i="1"/>
  <c r="T427" i="1"/>
  <c r="U427" i="1"/>
  <c r="V427" i="1"/>
  <c r="W427" i="1"/>
  <c r="X427" i="1"/>
  <c r="Y427" i="1"/>
  <c r="Z427" i="1"/>
  <c r="AA427" i="1"/>
  <c r="AN416" i="1" l="1"/>
  <c r="AJ363" i="1" l="1"/>
  <c r="AJ372" i="1"/>
  <c r="AJ373" i="1"/>
  <c r="AJ374" i="1"/>
  <c r="AJ375" i="1"/>
  <c r="AJ376" i="1"/>
  <c r="AJ377" i="1"/>
  <c r="AJ378" i="1"/>
  <c r="AJ379" i="1"/>
  <c r="AJ380" i="1"/>
  <c r="AJ381" i="1"/>
  <c r="AJ382" i="1"/>
  <c r="AJ383" i="1"/>
  <c r="AJ416" i="1"/>
  <c r="AJ417" i="1"/>
  <c r="AJ418" i="1"/>
  <c r="AJ419" i="1"/>
  <c r="AJ420" i="1"/>
  <c r="AJ421" i="1"/>
  <c r="AJ422" i="1"/>
  <c r="D384" i="1"/>
  <c r="AJ384" i="1" l="1"/>
  <c r="AJ371" i="1"/>
  <c r="AK392" i="1" l="1"/>
  <c r="AL388" i="1" s="1"/>
  <c r="AK385" i="1"/>
  <c r="AL356" i="1" s="1"/>
  <c r="AN115" i="1"/>
  <c r="AN188" i="1"/>
  <c r="AN219" i="1"/>
  <c r="AM38" i="1"/>
  <c r="AJ356" i="1"/>
  <c r="AJ427" i="1"/>
  <c r="AJ428" i="1"/>
  <c r="AJ429" i="1"/>
  <c r="AJ430" i="1"/>
  <c r="AJ431" i="1"/>
  <c r="AJ432" i="1"/>
  <c r="AJ433" i="1"/>
  <c r="AJ434" i="1"/>
  <c r="AJ339" i="1"/>
  <c r="AJ345" i="1"/>
  <c r="AM345" i="1" s="1"/>
  <c r="AJ349" i="1"/>
  <c r="AJ350" i="1"/>
  <c r="AJ351" i="1"/>
  <c r="AJ352" i="1"/>
  <c r="AJ338" i="1"/>
  <c r="AJ303" i="1"/>
  <c r="AJ304" i="1"/>
  <c r="AJ305" i="1"/>
  <c r="AJ309" i="1"/>
  <c r="AJ302" i="1"/>
  <c r="AJ287" i="1"/>
  <c r="AJ286" i="1"/>
  <c r="AK285" i="1" s="1"/>
  <c r="AJ291" i="1"/>
  <c r="AJ292" i="1"/>
  <c r="AJ294" i="1"/>
  <c r="AK294" i="1" s="1"/>
  <c r="AJ289" i="1"/>
  <c r="AJ290" i="1"/>
  <c r="AJ295" i="1"/>
  <c r="AJ296" i="1"/>
  <c r="AJ297" i="1"/>
  <c r="AJ298" i="1"/>
  <c r="AJ220" i="1"/>
  <c r="AJ221" i="1"/>
  <c r="AJ224" i="1"/>
  <c r="AJ225" i="1"/>
  <c r="AJ226" i="1"/>
  <c r="AJ227" i="1"/>
  <c r="AJ228" i="1"/>
  <c r="AJ229" i="1"/>
  <c r="AJ232" i="1"/>
  <c r="AJ233" i="1"/>
  <c r="AJ234" i="1"/>
  <c r="AJ235" i="1"/>
  <c r="AJ236" i="1"/>
  <c r="AJ237" i="1"/>
  <c r="AJ240" i="1"/>
  <c r="AJ241" i="1"/>
  <c r="AJ242" i="1"/>
  <c r="AJ219" i="1"/>
  <c r="AJ116" i="1"/>
  <c r="AJ117" i="1"/>
  <c r="AJ118" i="1"/>
  <c r="AJ115" i="1"/>
  <c r="AJ131" i="1"/>
  <c r="AJ159" i="1"/>
  <c r="AJ160" i="1"/>
  <c r="AJ128" i="1"/>
  <c r="AJ189" i="1"/>
  <c r="AJ190" i="1"/>
  <c r="AJ191" i="1"/>
  <c r="AJ192" i="1"/>
  <c r="AJ193" i="1"/>
  <c r="AJ194" i="1"/>
  <c r="AJ195" i="1"/>
  <c r="AJ196" i="1"/>
  <c r="AJ197" i="1"/>
  <c r="AJ198" i="1"/>
  <c r="AJ199" i="1"/>
  <c r="AJ188" i="1"/>
  <c r="AJ31" i="1"/>
  <c r="AJ32" i="1"/>
  <c r="AJ33" i="1"/>
  <c r="AJ35" i="1"/>
  <c r="AJ36" i="1"/>
  <c r="AJ37" i="1"/>
  <c r="AJ38" i="1"/>
  <c r="AJ39" i="1"/>
  <c r="AJ40" i="1"/>
  <c r="AJ41" i="1"/>
  <c r="AJ42" i="1"/>
  <c r="AJ43" i="1"/>
  <c r="AJ44" i="1"/>
  <c r="AJ45" i="1"/>
  <c r="AJ46" i="1"/>
  <c r="AJ47" i="1"/>
  <c r="AJ48" i="1"/>
  <c r="AJ49" i="1"/>
  <c r="AJ50" i="1"/>
  <c r="AJ51" i="1"/>
  <c r="AJ52" i="1"/>
  <c r="AJ22" i="1"/>
  <c r="AJ23" i="1"/>
  <c r="AJ24" i="1"/>
  <c r="AK24" i="1" s="1"/>
  <c r="AJ25" i="1"/>
  <c r="AJ27" i="1"/>
  <c r="AJ28" i="1"/>
  <c r="AK35" i="1" l="1"/>
  <c r="AK291" i="1"/>
  <c r="AK339" i="1"/>
  <c r="AM61" i="1"/>
  <c r="AM60" i="1"/>
  <c r="AM351" i="1"/>
  <c r="AK351" i="1"/>
  <c r="AM328" i="1"/>
  <c r="AN326" i="1" s="1"/>
  <c r="AL8" i="1"/>
  <c r="AL326" i="1"/>
  <c r="AK302" i="1"/>
  <c r="AN128" i="1"/>
  <c r="AK305" i="1"/>
  <c r="AK58" i="1"/>
  <c r="AK298" i="1"/>
  <c r="AM51" i="1"/>
  <c r="AK159" i="1"/>
  <c r="AL128" i="1" s="1"/>
  <c r="AM35" i="1"/>
  <c r="AK363" i="1"/>
  <c r="AM49" i="1"/>
  <c r="AM45" i="1"/>
  <c r="AM41" i="1"/>
  <c r="AK297" i="1"/>
  <c r="AL416" i="1"/>
  <c r="AM47" i="1"/>
  <c r="AM39" i="1"/>
  <c r="AJ59" i="1"/>
  <c r="AJ58" i="1"/>
  <c r="AN8" i="1" s="1"/>
  <c r="AK295" i="1"/>
  <c r="AK312" i="1"/>
  <c r="AK304" i="1"/>
  <c r="AM37" i="1"/>
  <c r="AK191" i="1"/>
  <c r="AM59" i="1"/>
  <c r="AM27" i="1"/>
  <c r="AM43" i="1"/>
  <c r="AM58" i="1"/>
  <c r="AM363" i="1"/>
  <c r="AN356" i="1" s="1"/>
  <c r="AM352" i="1"/>
  <c r="AK345" i="1"/>
  <c r="AL282" i="1" l="1"/>
  <c r="AL188" i="1"/>
  <c r="AL185" i="1"/>
  <c r="AN22" i="1"/>
  <c r="A543" i="1" s="1"/>
  <c r="AL22" i="1"/>
  <c r="AL302" i="1"/>
  <c r="AL338" i="1"/>
  <c r="AN338" i="1"/>
  <c r="A521" i="1" l="1"/>
  <c r="B2" i="1" s="1"/>
  <c r="AN6" i="1"/>
  <c r="AL6" i="1" l="1"/>
  <c r="M521" i="1"/>
</calcChain>
</file>

<file path=xl/sharedStrings.xml><?xml version="1.0" encoding="utf-8"?>
<sst xmlns="http://schemas.openxmlformats.org/spreadsheetml/2006/main" count="3282" uniqueCount="1433">
  <si>
    <t>&lt; 1</t>
  </si>
  <si>
    <t>1-4</t>
  </si>
  <si>
    <t>5-9</t>
  </si>
  <si>
    <t>10-14</t>
  </si>
  <si>
    <t>15-19</t>
  </si>
  <si>
    <t>20-24</t>
  </si>
  <si>
    <t>25-29</t>
  </si>
  <si>
    <t>30-34</t>
  </si>
  <si>
    <t>35-39</t>
  </si>
  <si>
    <t>50+</t>
  </si>
  <si>
    <t>M</t>
  </si>
  <si>
    <t>F</t>
  </si>
  <si>
    <t>1.1 HIV Testing</t>
  </si>
  <si>
    <t>PITC-Emergency</t>
  </si>
  <si>
    <t>PITC-Inpatient</t>
  </si>
  <si>
    <t>PITC-Malnutrition</t>
  </si>
  <si>
    <t>PITC-STI</t>
  </si>
  <si>
    <t xml:space="preserve">PITC-TB </t>
  </si>
  <si>
    <t>VCT</t>
  </si>
  <si>
    <t>Sub Total</t>
  </si>
  <si>
    <t>Test kits distributed</t>
  </si>
  <si>
    <t>Other</t>
  </si>
  <si>
    <t>Other PITC</t>
  </si>
  <si>
    <t>40-44</t>
  </si>
  <si>
    <t>45-49</t>
  </si>
  <si>
    <t>Post Treatment follow-up</t>
  </si>
  <si>
    <t>Outcomes for LTFU</t>
  </si>
  <si>
    <t>Number discontinued</t>
  </si>
  <si>
    <t>Number lost to follow-up</t>
  </si>
  <si>
    <t>Number died</t>
  </si>
  <si>
    <t>Number transferred out</t>
  </si>
  <si>
    <t>First time screening &amp; treatment</t>
  </si>
  <si>
    <t>Sexual violence</t>
  </si>
  <si>
    <t>Physical &amp; emotional</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</si>
  <si>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</si>
  <si>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</si>
  <si>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</si>
  <si>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</si>
  <si>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</si>
  <si>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</si>
  <si>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</si>
  <si>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</si>
  <si>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</si>
  <si>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</si>
  <si>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</si>
  <si>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</si>
  <si>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</si>
  <si>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</si>
  <si>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</si>
  <si>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</si>
  <si>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</si>
  <si>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This is a count of all clients with sexual violence HIV exposure that were given PEP within 72 hours</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</si>
  <si>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</si>
  <si>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</si>
  <si>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</si>
  <si>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</si>
  <si>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</si>
  <si>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</si>
  <si>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women newly started ART for treatment and were breastfeeding at initiation of ART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</si>
  <si>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</si>
  <si>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</si>
  <si>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</si>
  <si>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</si>
  <si>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</si>
  <si>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</si>
  <si>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</si>
  <si>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</si>
  <si>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PLHIV newly enrolled in HIV clinical care who start IPT and receive at least one dose six months ago when newly starting ART while they were previously receiving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</si>
  <si>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</si>
  <si>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</si>
  <si>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</si>
  <si>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</si>
  <si>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</si>
  <si>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</si>
  <si>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</si>
  <si>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</si>
  <si>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</si>
  <si>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</si>
  <si>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</si>
  <si>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</si>
  <si>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</si>
  <si>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</si>
  <si>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</si>
  <si>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</si>
  <si>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</si>
  <si>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</si>
  <si>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</si>
  <si>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</si>
  <si>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</si>
  <si>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</si>
  <si>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</si>
  <si>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</si>
  <si>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</si>
  <si>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</si>
  <si>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</si>
  <si>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</si>
  <si>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</si>
  <si>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</si>
  <si>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</si>
  <si>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</si>
  <si>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HTS_Index</t>
  </si>
  <si>
    <t>Partner testing</t>
  </si>
  <si>
    <t>2.0  PrEP NEW &amp; CURRENT</t>
  </si>
  <si>
    <t xml:space="preserve">4.0  CERVICAL CANCER SCREENING &amp; TREATMENT </t>
  </si>
  <si>
    <t>5.0 GEND_GBV</t>
  </si>
  <si>
    <t xml:space="preserve">6.2 MATERNAL HAART </t>
  </si>
  <si>
    <t xml:space="preserve">6.1  PMTCT TESTING </t>
  </si>
  <si>
    <t>7.0  HIV &amp; TB SCREENING</t>
  </si>
  <si>
    <t>8.0 ACCOUNTING FOR ART PATIENTS WITH NO CLINICAL CONTACT</t>
  </si>
  <si>
    <t>Data source</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</si>
  <si>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</si>
  <si>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</si>
  <si>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</si>
  <si>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</si>
  <si>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This is a count of clients who initiated on PEP three months ago, e.g reporting in January 2019, those initiated on PEP in Nov 2018</t>
  </si>
  <si>
    <t>This is a count of women who had not been on HAART before but were commenced on HAART at  L&amp;D during this pregnancy.</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</si>
  <si>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</si>
  <si>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</si>
  <si>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MFL Code</t>
  </si>
  <si>
    <t>F01-01</t>
  </si>
  <si>
    <t>codes</t>
  </si>
  <si>
    <t>F01-02</t>
  </si>
  <si>
    <t>Contacts elicited</t>
  </si>
  <si>
    <t>Known Positive</t>
  </si>
  <si>
    <t>F01-04</t>
  </si>
  <si>
    <t>F01-05</t>
  </si>
  <si>
    <t>This is account of contacts of an index client, tested through index testing services and received results</t>
  </si>
  <si>
    <t>F01-06</t>
  </si>
  <si>
    <t>Positive</t>
  </si>
  <si>
    <t>Linked</t>
  </si>
  <si>
    <t>F01-07</t>
  </si>
  <si>
    <t>F01-08</t>
  </si>
  <si>
    <t>Not tested - Other reasons</t>
  </si>
  <si>
    <t>F01-09</t>
  </si>
  <si>
    <t>Index testing register, colm "Y"</t>
  </si>
  <si>
    <t>F01-10</t>
  </si>
  <si>
    <t>Tested</t>
  </si>
  <si>
    <t>F01-11</t>
  </si>
  <si>
    <t>F01-12</t>
  </si>
  <si>
    <t>F01-13</t>
  </si>
  <si>
    <t>F01-14</t>
  </si>
  <si>
    <t>F01-15</t>
  </si>
  <si>
    <t>F01-16</t>
  </si>
  <si>
    <t>F01-17</t>
  </si>
  <si>
    <t>F01-18</t>
  </si>
  <si>
    <t>F01-19</t>
  </si>
  <si>
    <t>F01-21</t>
  </si>
  <si>
    <t>F01-22</t>
  </si>
  <si>
    <t>F01-23</t>
  </si>
  <si>
    <t>F01-24</t>
  </si>
  <si>
    <t>F01-25</t>
  </si>
  <si>
    <t>F01-27</t>
  </si>
  <si>
    <t>F01-30</t>
  </si>
  <si>
    <t xml:space="preserve">Unassisted                                   </t>
  </si>
  <si>
    <t>F01-31</t>
  </si>
  <si>
    <t>F01-32</t>
  </si>
  <si>
    <t>F01-33</t>
  </si>
  <si>
    <t>F01-34</t>
  </si>
  <si>
    <t>FCDRR- MOH 643</t>
  </si>
  <si>
    <t xml:space="preserve">Rape survivors                         </t>
  </si>
  <si>
    <t>F05-02</t>
  </si>
  <si>
    <t>F05-01</t>
  </si>
  <si>
    <t>F02-01</t>
  </si>
  <si>
    <t>F02-02</t>
  </si>
  <si>
    <t>F02-03</t>
  </si>
  <si>
    <t>F02-05</t>
  </si>
  <si>
    <t>F02-06</t>
  </si>
  <si>
    <t>F02-07</t>
  </si>
  <si>
    <t>F02-11</t>
  </si>
  <si>
    <t>F02-12</t>
  </si>
  <si>
    <t>F02-13</t>
  </si>
  <si>
    <t>F02-14</t>
  </si>
  <si>
    <t>F02-15</t>
  </si>
  <si>
    <t>PrEP register      colm "Q"</t>
  </si>
  <si>
    <t>PrEP register      colm "H"</t>
  </si>
  <si>
    <t>PrEP register      colm "I"</t>
  </si>
  <si>
    <t>ANC Rgister, colm "ar" &amp; "as"</t>
  </si>
  <si>
    <t>HTS Lab register colm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</si>
  <si>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</si>
  <si>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</si>
  <si>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</si>
  <si>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</si>
  <si>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</si>
  <si>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</si>
  <si>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</si>
  <si>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</si>
  <si>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</si>
  <si>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</si>
  <si>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</si>
  <si>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</si>
  <si>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</si>
  <si>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F04-02</t>
  </si>
  <si>
    <t xml:space="preserve">Positive                                     </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</si>
  <si>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</si>
  <si>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</si>
  <si>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</si>
  <si>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</si>
  <si>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</si>
  <si>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</si>
  <si>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</si>
  <si>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</si>
  <si>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</si>
  <si>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</si>
  <si>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</si>
  <si>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Negative                                   </t>
  </si>
  <si>
    <t xml:space="preserve">Suspected cancer                     </t>
  </si>
  <si>
    <t>F04-09</t>
  </si>
  <si>
    <t>F04-10</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</si>
  <si>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</si>
  <si>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</si>
  <si>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</si>
  <si>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</si>
  <si>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</si>
  <si>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</si>
  <si>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</si>
  <si>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</si>
  <si>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</si>
  <si>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F04-16</t>
  </si>
  <si>
    <t>F05-03</t>
  </si>
  <si>
    <t>SGBV register colm "F"</t>
  </si>
  <si>
    <t>SGBV register colm "AF"</t>
  </si>
  <si>
    <t>F05-05</t>
  </si>
  <si>
    <t>F05-06</t>
  </si>
  <si>
    <t>F05-07</t>
  </si>
  <si>
    <t>F05-08</t>
  </si>
  <si>
    <t>F05-09</t>
  </si>
  <si>
    <t>F05-10</t>
  </si>
  <si>
    <t>F05-11</t>
  </si>
  <si>
    <t>F05-12</t>
  </si>
  <si>
    <t>F05-13</t>
  </si>
  <si>
    <t>SGBV register colm "W, "X", "Y", "Z", "AC", "AD"</t>
  </si>
  <si>
    <t>SGBV register colm "AG"</t>
  </si>
  <si>
    <t>SGBV register colm "AE"</t>
  </si>
  <si>
    <t xml:space="preserve">SGBV register colm "AE" </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</si>
  <si>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</si>
  <si>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</si>
  <si>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</si>
  <si>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</si>
  <si>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</si>
  <si>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F06-02</t>
  </si>
  <si>
    <t>F06-03</t>
  </si>
  <si>
    <t>ANC Rgister colm "d"</t>
  </si>
  <si>
    <t>ANC Rgister colm "x"</t>
  </si>
  <si>
    <t>ANC Rgister colm "y"</t>
  </si>
  <si>
    <t>ANC Rgister colm "d", "y", "z"</t>
  </si>
  <si>
    <t>F06-05</t>
  </si>
  <si>
    <t>F06-06</t>
  </si>
  <si>
    <t>F06-09</t>
  </si>
  <si>
    <t>PNC register colm "v", "w", 'x", "z"</t>
  </si>
  <si>
    <t>F06-10</t>
  </si>
  <si>
    <t>F06-11</t>
  </si>
  <si>
    <t>F06-12</t>
  </si>
  <si>
    <t>ANC Register colm "as", "at"</t>
  </si>
  <si>
    <t>Current on ART (PMTCT)</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</si>
  <si>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</si>
  <si>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</si>
  <si>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</si>
  <si>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</si>
  <si>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</si>
  <si>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Maternity register colm "aj"</t>
  </si>
  <si>
    <t>PNC register colm "ab"</t>
  </si>
  <si>
    <t>Starting ART</t>
  </si>
  <si>
    <t>F07-01</t>
  </si>
  <si>
    <t>F07-02</t>
  </si>
  <si>
    <t>This is a count of  all PLHIV who are active on ART at the reporting period</t>
  </si>
  <si>
    <t>F07-03</t>
  </si>
  <si>
    <t>DAR MOH 366/EMR</t>
  </si>
  <si>
    <t>F07-04</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</si>
  <si>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</si>
  <si>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</si>
  <si>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</si>
  <si>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</si>
  <si>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</si>
  <si>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</si>
  <si>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</si>
  <si>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</si>
  <si>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</si>
  <si>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</si>
  <si>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</si>
  <si>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</si>
  <si>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</si>
  <si>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</si>
  <si>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</si>
  <si>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</si>
  <si>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 xml:space="preserve">This is a count of clients that have had serious and minor assault, deprivation of liberty, manslaughter, </t>
  </si>
  <si>
    <t>F05-14</t>
  </si>
  <si>
    <t>F05-15</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</si>
  <si>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</si>
  <si>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</si>
  <si>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</si>
  <si>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</si>
  <si>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t>Code</t>
  </si>
  <si>
    <t xml:space="preserve">Unassisted: Self                           </t>
  </si>
  <si>
    <t xml:space="preserve">Unassisted : Other                      </t>
  </si>
  <si>
    <t xml:space="preserve">Discordant couples at  HTS       </t>
  </si>
  <si>
    <t xml:space="preserve">New on ART                               </t>
  </si>
  <si>
    <t xml:space="preserve">Previously on ART                     </t>
  </si>
  <si>
    <t xml:space="preserve">Previously on ART                      </t>
  </si>
  <si>
    <t xml:space="preserve">Cryotherapy                             </t>
  </si>
  <si>
    <t xml:space="preserve">Tested for STI                          </t>
  </si>
  <si>
    <t xml:space="preserve">Eligible for Emergency Contraceptive  </t>
  </si>
  <si>
    <t xml:space="preserve">Given Emergency Contraceptive Pill  </t>
  </si>
  <si>
    <t xml:space="preserve">Initial test at  L&amp;D                     </t>
  </si>
  <si>
    <t xml:space="preserve">Male partners tested HIV+ at ANC </t>
  </si>
  <si>
    <t xml:space="preserve">Infant Prophylaxis_ L&amp;D            </t>
  </si>
  <si>
    <t xml:space="preserve">Died (confirmed) </t>
  </si>
  <si>
    <t xml:space="preserve">HIV disease resulting in cancer      </t>
  </si>
  <si>
    <t>Sub-Indicator</t>
  </si>
  <si>
    <t>F01-03</t>
  </si>
  <si>
    <t>F01-20</t>
  </si>
  <si>
    <t>F01-26</t>
  </si>
  <si>
    <t>F01-28</t>
  </si>
  <si>
    <t>F01-29</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</si>
  <si>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</si>
  <si>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</si>
  <si>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</si>
  <si>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</si>
  <si>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</si>
  <si>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</si>
  <si>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</si>
  <si>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</si>
  <si>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</si>
  <si>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</si>
  <si>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</si>
  <si>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</si>
  <si>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</si>
  <si>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</si>
  <si>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</si>
  <si>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</si>
  <si>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</si>
  <si>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</si>
  <si>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</si>
  <si>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</si>
  <si>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</si>
  <si>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</si>
  <si>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</si>
  <si>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</si>
  <si>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</si>
  <si>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</si>
  <si>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</si>
  <si>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</si>
  <si>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</si>
  <si>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</si>
  <si>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</si>
  <si>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</si>
  <si>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t>WARNINGS &amp; ERRORS</t>
  </si>
  <si>
    <t>Errors per Section</t>
  </si>
  <si>
    <t>Early Warning Service Quality</t>
  </si>
  <si>
    <t>County</t>
  </si>
  <si>
    <t>LTFU returning to care</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</si>
  <si>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</si>
  <si>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</si>
  <si>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</si>
  <si>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</si>
  <si>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</si>
  <si>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</si>
  <si>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</si>
  <si>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</si>
  <si>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</si>
  <si>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</si>
  <si>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</si>
  <si>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</si>
  <si>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Number of ART patients from the general population with no clinical contact (or ARV drug pick-up) for greater than 28 days since their last expected contact who restarted ARVs within the reporting period</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</si>
  <si>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</si>
  <si>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</si>
  <si>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</si>
  <si>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</si>
  <si>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</si>
  <si>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Defaulter tracing register colm "y"</t>
  </si>
  <si>
    <t>F07-05</t>
  </si>
  <si>
    <t>F07-06</t>
  </si>
  <si>
    <t>F07-07</t>
  </si>
  <si>
    <t>F07-08</t>
  </si>
  <si>
    <t>F07-09</t>
  </si>
  <si>
    <t>F07-10</t>
  </si>
  <si>
    <t>2 months of ARVs dispensed to patient</t>
  </si>
  <si>
    <t>3 months of ARVs dispensed to patient</t>
  </si>
  <si>
    <t>4 months of ARVs dispensed to patient</t>
  </si>
  <si>
    <t>5 months of ARVs dispensed to patient</t>
  </si>
  <si>
    <t>6 months of ARVs dispensed to patient</t>
  </si>
  <si>
    <t>F07-11</t>
  </si>
  <si>
    <t>F07-12</t>
  </si>
  <si>
    <t>F07-13</t>
  </si>
  <si>
    <t>F07-14</t>
  </si>
  <si>
    <t>F07-15</t>
  </si>
  <si>
    <t>F07-16</t>
  </si>
  <si>
    <t>This is a count of  all PLHIV from the general population who are active on ART at the reporting period</t>
  </si>
  <si>
    <t>This is a count of  all PLHIV who inject drugs who are active on ART at the reporting period</t>
  </si>
  <si>
    <t>This is a count of  all PLHIV from Men who have sex with Men who are active on ART at the reporting period</t>
  </si>
  <si>
    <t>This is a count of  all PLHIV from the Transgender population who are active on ART at the reporting period</t>
  </si>
  <si>
    <t>This is a count of  all PLHIV Female Sex Workers (FSW) who are active on ART at the reporting period</t>
  </si>
  <si>
    <t>This is a count of  all PLHIV from People in prison and other closed settings who are active on ART at the reporting period</t>
  </si>
  <si>
    <t>This is a count of all active clients dispensed for drugs for 1 month</t>
  </si>
  <si>
    <t>This is a count of all active clients dispensed for drugs for 2 month</t>
  </si>
  <si>
    <t>This is a count of all active clients dispensed for drugs for 3 month</t>
  </si>
  <si>
    <t>This is a count of all active clients dispensed for drugs for 4 month</t>
  </si>
  <si>
    <t>This is a count of all active clients dispensed for drugs for 5 month</t>
  </si>
  <si>
    <t>This is a count of all active clients dispensed for drugs for 6 month</t>
  </si>
  <si>
    <t>DAR Pharmacy/ADT</t>
  </si>
  <si>
    <t>Total ARVs dispensed</t>
  </si>
  <si>
    <t>Currently on ART (All) 
by Population type</t>
  </si>
  <si>
    <t>Currently on ART (All)
by Multi-Month Dispensing</t>
  </si>
  <si>
    <t xml:space="preserve">PITC-Pediatric 
(&lt;5 Yrs) </t>
  </si>
  <si>
    <t>F07-17</t>
  </si>
  <si>
    <t>1 month of ARVs dispensed to patient</t>
  </si>
  <si>
    <t>F07-18</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</si>
  <si>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</si>
  <si>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</si>
  <si>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</si>
  <si>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</si>
  <si>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</si>
  <si>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</si>
  <si>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</si>
  <si>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Lost to Follow-up After being on Treatment for more than  3 months</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</si>
  <si>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</si>
  <si>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</si>
  <si>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</si>
  <si>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</si>
  <si>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</si>
  <si>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Total LTFU Oucomes</t>
  </si>
  <si>
    <t>Multi Month Scripting (MMS)</t>
  </si>
  <si>
    <t xml:space="preserve">Positive          </t>
  </si>
  <si>
    <t>Likii Dispensary</t>
  </si>
  <si>
    <t>15035</t>
  </si>
  <si>
    <t>Laikipia East</t>
  </si>
  <si>
    <t>Laikipia</t>
  </si>
  <si>
    <t>02</t>
  </si>
  <si>
    <t>Rescreened and treatment 
after previous negative or suspected cancer</t>
  </si>
  <si>
    <t>Prepared By:</t>
  </si>
  <si>
    <t>1.0 HTS eligibility screening at OPD, IPD &amp; MCH</t>
  </si>
  <si>
    <t>No. eligible for HTS testing</t>
  </si>
  <si>
    <t>F00-01</t>
  </si>
  <si>
    <t>F00-02</t>
  </si>
  <si>
    <t>F00-03</t>
  </si>
  <si>
    <t xml:space="preserve">Known Positive at ANC1 (PMTCT_STAT_KP)    </t>
  </si>
  <si>
    <t>ANC1 clients with known HIV status (PMTCT_STAT_Num)</t>
  </si>
  <si>
    <t xml:space="preserve">Positive test at ANC1 (PMTCT_STAT_New Pos)            </t>
  </si>
  <si>
    <t>Initial positive results at ANC 2 and above</t>
  </si>
  <si>
    <t xml:space="preserve">Initial test at PNC &lt;= 6wks           </t>
  </si>
  <si>
    <t>F06-041</t>
  </si>
  <si>
    <t>Total Positives at ANC1 (PMTCT_STAT_Pos)</t>
  </si>
  <si>
    <t>1st ANC Visit</t>
  </si>
  <si>
    <t>Retesting at ANC 2 and above</t>
  </si>
  <si>
    <t>Retesting positive result at ANC 2 and above</t>
  </si>
  <si>
    <t>F06-061</t>
  </si>
  <si>
    <t>F06-062</t>
  </si>
  <si>
    <t>L&amp;D (Maternity)</t>
  </si>
  <si>
    <t>Retesting at PNC &lt; = 6 weeks</t>
  </si>
  <si>
    <t>Retesting positive result at PNC &lt; = 6 weeks</t>
  </si>
  <si>
    <t>PNC</t>
  </si>
  <si>
    <t>F06-101</t>
  </si>
  <si>
    <t>F06-102</t>
  </si>
  <si>
    <t>F06-103</t>
  </si>
  <si>
    <t>F06-104</t>
  </si>
  <si>
    <t>F06-042</t>
  </si>
  <si>
    <t>On HAART at ANC1 (PMTCT_ART_Already on ART)</t>
  </si>
  <si>
    <t>Start HAART at ANC1 (PMTCT_ART_New on ART)</t>
  </si>
  <si>
    <t>Total on HAART at ANC1 (PMTCT_ART_Num)</t>
  </si>
  <si>
    <t xml:space="preserve">Initial Start HAART at ANC 2 and above </t>
  </si>
  <si>
    <t>Retest Start HAART ANC 2 and above</t>
  </si>
  <si>
    <t>Start HAART at L&amp;D</t>
  </si>
  <si>
    <t>Initial Start HAART at PNC &lt; = 6 weeks</t>
  </si>
  <si>
    <t>Retest Start HAART at PNC &lt; = 6 weeks</t>
  </si>
  <si>
    <t>F06-141</t>
  </si>
  <si>
    <t>F06-142</t>
  </si>
  <si>
    <t>F06-143</t>
  </si>
  <si>
    <t>F06-161</t>
  </si>
  <si>
    <t>F06-162</t>
  </si>
  <si>
    <t>PMTCT_EID Testing</t>
  </si>
  <si>
    <t>PMTCT_HEI POS ART</t>
  </si>
  <si>
    <t xml:space="preserve">Infants of 0-12 Months who had a first virologic HIV test </t>
  </si>
  <si>
    <t>PMTCT_HEI Positive</t>
  </si>
  <si>
    <t>Infants of 2-12 Months HIV +ve</t>
  </si>
  <si>
    <t>Infants of 0-12 Months HIV +Ve</t>
  </si>
  <si>
    <t>Infants of 0-2 Months HIV +ve</t>
  </si>
  <si>
    <t xml:space="preserve">Clients seen at OPD (monthly workload)                   </t>
  </si>
  <si>
    <t>F05-001</t>
  </si>
  <si>
    <t>F05-002</t>
  </si>
  <si>
    <t>HIV testing in TB clinic</t>
  </si>
  <si>
    <t>Total TB cases (new and relapsed) reported in the month (TB_STAT_Den)</t>
  </si>
  <si>
    <t>TB cases eligible for HIV testing</t>
  </si>
  <si>
    <t>TB cases with documented HIV status (TB_STAT_Num)</t>
  </si>
  <si>
    <t>F09-01</t>
  </si>
  <si>
    <t>F06-121</t>
  </si>
  <si>
    <t>F06-122</t>
  </si>
  <si>
    <t>F06-123</t>
  </si>
  <si>
    <t>F06-124</t>
  </si>
  <si>
    <t>F06-125</t>
  </si>
  <si>
    <t>F06-126</t>
  </si>
  <si>
    <t>F06-127</t>
  </si>
  <si>
    <t>F06-128</t>
  </si>
  <si>
    <t>F06-129</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</si>
  <si>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</si>
  <si>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</si>
  <si>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</si>
  <si>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</si>
  <si>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</si>
  <si>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</si>
  <si>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</si>
  <si>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</si>
  <si>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</si>
  <si>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</si>
  <si>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</si>
  <si>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</si>
  <si>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</si>
  <si>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</si>
  <si>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</si>
  <si>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</si>
  <si>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</si>
  <si>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</si>
  <si>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F07-041</t>
  </si>
  <si>
    <t>F07-042</t>
  </si>
  <si>
    <t>F07-043</t>
  </si>
  <si>
    <t>F07-044</t>
  </si>
  <si>
    <t>F07-031</t>
  </si>
  <si>
    <t>F02-011</t>
  </si>
  <si>
    <t>F02-012</t>
  </si>
  <si>
    <t>F02-051</t>
  </si>
  <si>
    <t>F07-011</t>
  </si>
  <si>
    <t>F07-012</t>
  </si>
  <si>
    <t>F07-013</t>
  </si>
  <si>
    <t>F07-014</t>
  </si>
  <si>
    <t>F07-015</t>
  </si>
  <si>
    <t>F07-016</t>
  </si>
  <si>
    <t>Starting ART by Population type</t>
  </si>
  <si>
    <t>Starting ART Breastfeeding</t>
  </si>
  <si>
    <t>Current on ART (All)</t>
  </si>
  <si>
    <t>9.0 HIV testing in TB clinic</t>
  </si>
  <si>
    <t>Current on PREP by Population Type</t>
  </si>
  <si>
    <t>Initiated (new) on PrEP by population type</t>
  </si>
  <si>
    <t>F02-031</t>
  </si>
  <si>
    <t>F02-032</t>
  </si>
  <si>
    <t>F02-033</t>
  </si>
  <si>
    <t>F02-034</t>
  </si>
  <si>
    <t>F02-035</t>
  </si>
  <si>
    <t>F02-036</t>
  </si>
  <si>
    <t>Prep New</t>
  </si>
  <si>
    <t>F02-052</t>
  </si>
  <si>
    <t>F02-053</t>
  </si>
  <si>
    <t>F02-054</t>
  </si>
  <si>
    <t>F02-055</t>
  </si>
  <si>
    <t>F02-056</t>
  </si>
  <si>
    <t>F02-057</t>
  </si>
  <si>
    <t>Lost to Follow-up After being on Treatment for less than  or equal to 3 months</t>
  </si>
  <si>
    <t>Screening positive for TB (presumptive TB clients)</t>
  </si>
  <si>
    <t>F07-045</t>
  </si>
  <si>
    <t>F07-046</t>
  </si>
  <si>
    <t>F07-047</t>
  </si>
  <si>
    <t>F07-048</t>
  </si>
  <si>
    <t>Screening positive for TB Newly enrolled on ART</t>
  </si>
  <si>
    <t>Screening positive for TB Previously enrolled on ART</t>
  </si>
  <si>
    <t>Screening negative for TB Newly enrolled on ART</t>
  </si>
  <si>
    <t>Screening negative for TB Previously enrolled on ART</t>
  </si>
  <si>
    <t>No. of ART patients who had a positive result returned for bacteriologic diagnosis of active TB disease</t>
  </si>
  <si>
    <t>F07-049</t>
  </si>
  <si>
    <t>F07-050</t>
  </si>
  <si>
    <t>TB screening in CCC (ICF)</t>
  </si>
  <si>
    <t>TB screening in non CCC settings (OPD, IPD &amp; MCH); Active Case Finding</t>
  </si>
  <si>
    <t>F07-051</t>
  </si>
  <si>
    <t>F07-052</t>
  </si>
  <si>
    <t>F07-053</t>
  </si>
  <si>
    <t>F07-054</t>
  </si>
  <si>
    <t>F07-055</t>
  </si>
  <si>
    <t>F07-056</t>
  </si>
  <si>
    <t>F07-057</t>
  </si>
  <si>
    <t>F07-058</t>
  </si>
  <si>
    <t>F07-059</t>
  </si>
  <si>
    <t>F07-060</t>
  </si>
  <si>
    <t>This is a count of contacts provided by the index client as a result of accepting index testing services.  Note: contacts are only sexual partners, biological children/parents, and anyone with whom a needle was shared.</t>
  </si>
  <si>
    <t>This is a count of VMMC clients who received HIV positive results at the facility after the HIV test. It is a subset of F01-26 above</t>
  </si>
  <si>
    <t>This is a count of those who were intiated on PEP three months ago and have completed the prophylaxis. It is a subset of F05-12 above</t>
  </si>
  <si>
    <t>This is a count of pregnant women who take first HIV test in the pregnancy either during 2nd, 3rd , 4th visit etc. It excludes repeat test during pregnancy for those women who could have tested negative earlier in the pregnancy.</t>
  </si>
  <si>
    <t>Counts all women who first knew their HIV positive status at any time during the pregnancy post 1st ANC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</si>
  <si>
    <t>This is a count of breastfeeding women who tested for HIV and knew their HIV positive results first within six weeks postnatal. The count includes women who could have taken the test during antenatal, labour &amp; delivery (and results were negative) but tested HIV positive within 6 weeks of post natal period.</t>
  </si>
  <si>
    <t>This is a count of all male clients, who receive HIV positive result for the first time during the spouse's pregnacy at the ANC in the company of their spouses.  It is a sub set of F06-11 above</t>
  </si>
  <si>
    <t>Index testing register, colm "d"</t>
  </si>
  <si>
    <t>Index testing register, colm "d" vs "I"</t>
  </si>
  <si>
    <t>Index testing register, colm "I"</t>
  </si>
  <si>
    <t>Index testing register, colm "0"</t>
  </si>
  <si>
    <t>Index testing register, colm "u"</t>
  </si>
  <si>
    <t>Index testing register, colm "v"</t>
  </si>
  <si>
    <t>Index testing register, colm "s"</t>
  </si>
  <si>
    <t>HTS Lab register colm "Y"</t>
  </si>
  <si>
    <t xml:space="preserve">Not tested - Due to IPV   </t>
  </si>
  <si>
    <t>Initiated (new) on PrEP</t>
  </si>
  <si>
    <t xml:space="preserve"> Total HTS Tested ( Excludes Tests at PMTCT)</t>
  </si>
  <si>
    <t>Retest Start HAART at L&amp;D</t>
  </si>
  <si>
    <t>F06-151</t>
  </si>
  <si>
    <t xml:space="preserve">Retesting at L&amp;D                     </t>
  </si>
  <si>
    <t>F06-081</t>
  </si>
  <si>
    <t>F06-082</t>
  </si>
  <si>
    <t xml:space="preserve">No. of clients seen at OPD (monthly workload)         </t>
  </si>
  <si>
    <t>No. screened for HTS eligibility</t>
  </si>
  <si>
    <t>Not tested - Due to IPV</t>
  </si>
  <si>
    <t xml:space="preserve">Total HTS Positive ( Excludes Positives at PMTCT) </t>
  </si>
  <si>
    <t>Unassisted: Self</t>
  </si>
  <si>
    <t>Unassisted : Sex partner</t>
  </si>
  <si>
    <t>Unassisted : Other</t>
  </si>
  <si>
    <t>Restarting PrEP</t>
  </si>
  <si>
    <t>Less than three months since PrEP initiation</t>
  </si>
  <si>
    <t>Diagnosed with STI</t>
  </si>
  <si>
    <t>Drug resistance tests done</t>
  </si>
  <si>
    <t>Referred to other facilities</t>
  </si>
  <si>
    <t>Still on preparation</t>
  </si>
  <si>
    <t>Using condoms</t>
  </si>
  <si>
    <t>Declined</t>
  </si>
  <si>
    <t>Discordant couples at PMTCT</t>
  </si>
  <si>
    <t>Discordant couples at  HTS</t>
  </si>
  <si>
    <t>New on ART</t>
  </si>
  <si>
    <t>Previously on ART</t>
  </si>
  <si>
    <t>Negative</t>
  </si>
  <si>
    <t>Suspected cancer</t>
  </si>
  <si>
    <t>Cryotherapy</t>
  </si>
  <si>
    <t>LEEP</t>
  </si>
  <si>
    <t>Thermocoagulation</t>
  </si>
  <si>
    <t>Clients seen at OPD (monthly workload)</t>
  </si>
  <si>
    <t>No. of clients</t>
  </si>
  <si>
    <t>Screened for STI</t>
  </si>
  <si>
    <t>Tested for STI</t>
  </si>
  <si>
    <t>Treated for STI</t>
  </si>
  <si>
    <t>Eligible for Emergency Contraceptive</t>
  </si>
  <si>
    <t>Given Emergency Contraceptive Pill</t>
  </si>
  <si>
    <t>Tested for HIV</t>
  </si>
  <si>
    <t>Initiated PEP 3 months ago</t>
  </si>
  <si>
    <t>No. completed PEP</t>
  </si>
  <si>
    <t>No. seroconverted</t>
  </si>
  <si>
    <t>No. pregnant</t>
  </si>
  <si>
    <t>New (1st) ANC clients (PMTCT_STAT_Den)</t>
  </si>
  <si>
    <t>Known Positive at ANC1 (PMTCT_STAT_KP)</t>
  </si>
  <si>
    <t>Initial test at ANC 1</t>
  </si>
  <si>
    <t>Positive test at ANC1 (PMTCT_STAT_New Pos)</t>
  </si>
  <si>
    <t>Initial test at ANC 2 and above</t>
  </si>
  <si>
    <t>Initial test at  L&amp;D</t>
  </si>
  <si>
    <t>Positive result at L&amp;D</t>
  </si>
  <si>
    <t>Retesting at L&amp;D</t>
  </si>
  <si>
    <t>Retesting Positive result at L&amp;D</t>
  </si>
  <si>
    <t>Initial test at PNC &lt;= 6wks</t>
  </si>
  <si>
    <t>Positive at PNC &lt;=6wks</t>
  </si>
  <si>
    <t>Male partners tested for HIV at ANC</t>
  </si>
  <si>
    <t>Male partners tested HIV+ at ANC</t>
  </si>
  <si>
    <t>Infants of 2-12 Months who had a first virologic HIV test</t>
  </si>
  <si>
    <t>Infants of 0-2 Months who had a first virologic HIV test</t>
  </si>
  <si>
    <t>Initial Start HAART at ANC 2 and above</t>
  </si>
  <si>
    <t>Infant Prophylaxis_ANC</t>
  </si>
  <si>
    <t>Infant Prophylaxis_ L&amp;D</t>
  </si>
  <si>
    <t>Infant Prophylaxis_PNC&lt; 6wks</t>
  </si>
  <si>
    <t>Breastfeeding at initiation of ART</t>
  </si>
  <si>
    <t>Died (confirmed)</t>
  </si>
  <si>
    <t>Transferred Out</t>
  </si>
  <si>
    <t>HIV disease resulting in cancer</t>
  </si>
  <si>
    <t xml:space="preserve">Clients seen at OPD (monthly workload)                                    </t>
  </si>
  <si>
    <t xml:space="preserve">This is a count of clients attending OPD clinic in a particular month </t>
  </si>
  <si>
    <t>OPD Register (for under 5 abd over 5)</t>
  </si>
  <si>
    <t xml:space="preserve">Screened for HTS eligibility </t>
  </si>
  <si>
    <t xml:space="preserve">This is a count of clients attending OPD clinic who were screened for HIV risk </t>
  </si>
  <si>
    <t xml:space="preserve">HIV Screening register/tally sheet </t>
  </si>
  <si>
    <t>Eligible for HTS testing</t>
  </si>
  <si>
    <t>This is a count of clients who were eligible for HIV testing based on the screening creteria</t>
  </si>
  <si>
    <t xml:space="preserve">PrEP register Colmn "G" </t>
  </si>
  <si>
    <t>This is a count of clients who were tested for HIV before initiation to PrEP and had a positive result</t>
  </si>
  <si>
    <t xml:space="preserve">This is a count of clients catergorised as general population who were initiated on PrEP in a particular month </t>
  </si>
  <si>
    <t xml:space="preserve">PrEP register Colmn "F" </t>
  </si>
  <si>
    <t xml:space="preserve">This is a count of clients catergorised as PWID who were initiated on PrEP in a particular month </t>
  </si>
  <si>
    <t xml:space="preserve">This is a count of clients catergorised as MSM who were initiated on PrEP in a particular month </t>
  </si>
  <si>
    <t xml:space="preserve">This is a count of clients catergorised as TG who were initiated on PrEP in a particular month </t>
  </si>
  <si>
    <t xml:space="preserve">This is a count of clients catergorised as FSW who were initiated on PrEP in a particular month </t>
  </si>
  <si>
    <t xml:space="preserve">This is a count of clients in prisons who were initiated on PrEP in a particular month </t>
  </si>
  <si>
    <t xml:space="preserve">OPD Register </t>
  </si>
  <si>
    <t xml:space="preserve">This is a count of clients attending OPD clinic who were screened for any form of gender based violence </t>
  </si>
  <si>
    <t xml:space="preserve">Screening Register </t>
  </si>
  <si>
    <t xml:space="preserve">Known Positive status refers to all women who at the time of making this first visit to the ANC had documented evidence of posivive status. As such these women are not required to take a test at ANC, L&amp;D,or PNC </t>
  </si>
  <si>
    <t xml:space="preserve">Counts all women who first learnt their HIV status at 1st visit during pregnancy. Note: it does not matter at what stage in pregnancy.  What matters is that the woman learnt of her HIV positive status during their first antenatal visit period. </t>
  </si>
  <si>
    <t>This is a count of all women who had a second and above HIV retest done during ANC visit after ANC 1</t>
  </si>
  <si>
    <t xml:space="preserve">ANC Register colm "Y and AA" </t>
  </si>
  <si>
    <t xml:space="preserve">This is a count of women who could have taken the test during an earlier antenatal care visit (and results were negative) but testing HIV positive following a retest in ANC during the reporting month. </t>
  </si>
  <si>
    <t>Maternity register colm "af, ag"</t>
  </si>
  <si>
    <t>This is a count of women who tested positive at L&amp;D include those who were retested and result turned positive</t>
  </si>
  <si>
    <t>Maternity register colm "ah"</t>
  </si>
  <si>
    <t>This counts all women, who took a retest at labour and delivery</t>
  </si>
  <si>
    <t>This counts all women, who were retested at labour and delivery and result turned positive.</t>
  </si>
  <si>
    <t>This is a count of all women who had tested HIV negative at any time during ANC and or labour &amp; delivery who undergo another HIV test within 6 weeks postnatal</t>
  </si>
  <si>
    <t>PNC register colm "X, Y"</t>
  </si>
  <si>
    <t xml:space="preserve">This is a count of all women who had tested HIV negative as any time during ANC and or labour &amp; delivery who undergo another HIV test within 6 weeks at postnatal and resut turn out to be positive. </t>
  </si>
  <si>
    <t>PNC register colm "Z"</t>
  </si>
  <si>
    <t>This is a count of all women who were tested for HIV between 6 weeks to 6 months postnatal</t>
  </si>
  <si>
    <t>PNC register colm "AA"</t>
  </si>
  <si>
    <t>ANC Rgister colm "ae"</t>
  </si>
  <si>
    <t xml:space="preserve">Counts all women who first knew their HIV positive status at any time during the pregnancy post ANC 1 visit, e.g during 2nd, 3rd visit etc and started on ART.  </t>
  </si>
  <si>
    <t>This is a count of pregnant women started ART after retesting positive during 2nd ANC visit and above</t>
  </si>
  <si>
    <t>This is a count of women who were started on HAART at L&amp;D after a positive HIV retest</t>
  </si>
  <si>
    <t xml:space="preserve">This is a count of women who had an initial test within 6 weeks postnatal, turned HIV positive and were started on HAART </t>
  </si>
  <si>
    <t>PNC register  Column (ac)</t>
  </si>
  <si>
    <t>This is a count of women who had a HIV retest within 6 weeks postnatal turned positive, and were started on HAART</t>
  </si>
  <si>
    <t>This is a count of women who had a HIV test between 6 week to 6 months postnatal, turned HIV positive and were started on HAART</t>
  </si>
  <si>
    <t>PNC register  Column (ae)</t>
  </si>
  <si>
    <t xml:space="preserve">This is a count of individuals starting HAART treatment disaggregated by the age and sex within the reporting month. </t>
  </si>
  <si>
    <t>ART register/EMR</t>
  </si>
  <si>
    <t xml:space="preserve">This is a count of individuals caterogized as general population starting HAART treatment disaggregated by the age and sex within the reporting month. </t>
  </si>
  <si>
    <t xml:space="preserve">This is a count of individuals caterogized as PWIDs starting HAART treatment disaggregated by the age and sex within the reporting month. </t>
  </si>
  <si>
    <t xml:space="preserve">This is a count of individuals caterogized as MSM starting HAART treatment disaggregated by the age and sex within the reporting month. </t>
  </si>
  <si>
    <t xml:space="preserve">This is a count of individuals caterogized as TG starting HAART treatment disaggregated by the age and sex within the reporting month. </t>
  </si>
  <si>
    <t xml:space="preserve">This is a count of individuals caterogized as FSW starting HAART treatment disaggregated by the age and sex within the reporting month. </t>
  </si>
  <si>
    <t xml:space="preserve">This is a count of individuals in prison and other closed settings starting HAART treatment disaggregated by the age and sex within the reporting month. </t>
  </si>
  <si>
    <t>Defaulter tracing register column "B" (EMR)</t>
  </si>
  <si>
    <t>This is a count of all HIV infected persons newly enrolled on ART who screened TB postive the last time they were seen at the clinic during a scheduled visit within the reporting period.</t>
  </si>
  <si>
    <t>CCC DAR Column "AY, Q to Z"/ EMR</t>
  </si>
  <si>
    <t>This is a count of all HIV infected persons who have been on treatment follow-up who screened TB postive the last time they were seen at the clinic during a scheduled visit within the reporting period.</t>
  </si>
  <si>
    <t>This is a count of all HIV infected persons newly enrolled on ART who screened TB negative the last time they were seen at the clinic during a scheduled visit within the reporting period.</t>
  </si>
  <si>
    <t>This is a count of all HIV infected persons who have been on treatment follow-up who screened TB negative the last time they were seen at the clinic during a scheduled visit within the reporting period.</t>
  </si>
  <si>
    <t>Presumptive DRTB register Column "M"</t>
  </si>
  <si>
    <t>Presumptive DRTB register Column "L"</t>
  </si>
  <si>
    <t xml:space="preserve">Presumptive DRTB register Column "N and O" </t>
  </si>
  <si>
    <t>This is a count of PLHIV who had a positive result returned for bacteriologic diagnosis of active TB disease</t>
  </si>
  <si>
    <t xml:space="preserve">Presumptive DRTB register Column "P" </t>
  </si>
  <si>
    <t>This a count of  Confirmed TB positive started on TB treatment (TX_TB_Num)</t>
  </si>
  <si>
    <t xml:space="preserve">Presumptive DRTB register Column "Q" </t>
  </si>
  <si>
    <t>No. of confirmed TB positive newly started on ART started on TB Treatment</t>
  </si>
  <si>
    <t>This is a count of confirmed TB positive newly started on ART who startedTB treatment</t>
  </si>
  <si>
    <t>Presumptive DRTB register Column "Q" CCC DAR Column "AY, Q to Z"/ EMR</t>
  </si>
  <si>
    <t>No. of confirmed TB positive already on ART strated on TB treatment</t>
  </si>
  <si>
    <t>This is a count of confirmed TB positive already on ART started on TB treatment</t>
  </si>
  <si>
    <t>OPD Register (under 5 and over 5 Years)</t>
  </si>
  <si>
    <t xml:space="preserve">This is a count of individuals screened TB positive at OPD </t>
  </si>
  <si>
    <t>Presumptive DRTB Register Clomn "B"</t>
  </si>
  <si>
    <t>This is a count of IPD,OPD, and MCH clients who screened TB postive whose specimes were sent for Smear test</t>
  </si>
  <si>
    <t>This is a count of IPD,OPD, and MCH clients who screened TB postive whose specimes were sent for Gene Xpert MTB /R</t>
  </si>
  <si>
    <t>This is a count of IPD,OPD, and MCH clients who screened TB postive whose specimes were sent for Other (No Xpert)</t>
  </si>
  <si>
    <t>This is a count of IPD,OPD, and MCH clients who had a positive result returned for bacteriologic diagnosis of active TB disease</t>
  </si>
  <si>
    <t xml:space="preserve">This is a count of Confirmed TB positive started on TB treatment (TX_TB_Num) from IPD,OPD, and MCH. </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</si>
  <si>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</si>
  <si>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</si>
  <si>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</si>
  <si>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</si>
  <si>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</si>
  <si>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</si>
  <si>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</si>
  <si>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</si>
  <si>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</si>
  <si>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</si>
  <si>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</si>
  <si>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</si>
  <si>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</si>
  <si>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Total Screening positive for TB (presumptive TB clients)</t>
  </si>
  <si>
    <t>Total Screened for TB at last clinic visit (TX_TB_Den)</t>
  </si>
  <si>
    <t>Total No. of patients whose specimens were sent</t>
  </si>
  <si>
    <t>No. of  Confirmed ART Patients TB positive started on TB treatment (TX_TB_Num)</t>
  </si>
  <si>
    <t>ART Patients started on TB Treatment</t>
  </si>
  <si>
    <t>F07-061</t>
  </si>
  <si>
    <t>This is a count of PLHIV who screened TB postive whose specimes were sent</t>
  </si>
  <si>
    <t>Current On PREP</t>
  </si>
  <si>
    <t xml:space="preserve">Currently on ART (All)              </t>
  </si>
  <si>
    <t>HTS eligibility screening at OPD</t>
  </si>
  <si>
    <t>HTS eligibility screening at IPD</t>
  </si>
  <si>
    <t>HTS eligibility screening at MCH</t>
  </si>
  <si>
    <t>F00-04</t>
  </si>
  <si>
    <t>F00-05</t>
  </si>
  <si>
    <t>F00-06</t>
  </si>
  <si>
    <t>F00-07</t>
  </si>
  <si>
    <t>F00-08</t>
  </si>
  <si>
    <t>F00-09</t>
  </si>
  <si>
    <t>F00-10</t>
  </si>
  <si>
    <t xml:space="preserve">No. of clients seen at IPD (monthly workload)         </t>
  </si>
  <si>
    <t xml:space="preserve">No. of clients seen at MCH (monthly workload)         </t>
  </si>
  <si>
    <t>Total Eligible For HTS Testing IPD and OPD</t>
  </si>
  <si>
    <t>Total CXCA Screening Positive</t>
  </si>
  <si>
    <t>F04-031</t>
  </si>
  <si>
    <t>F04-091</t>
  </si>
  <si>
    <t>F04-151</t>
  </si>
  <si>
    <t>Sexual Violence - Rape survivors</t>
  </si>
  <si>
    <t xml:space="preserve">Sexual Violence - Initiated PEP  </t>
  </si>
  <si>
    <t>Physical Violence - No of cases</t>
  </si>
  <si>
    <t>Physical Violence - Initiated PEP</t>
  </si>
  <si>
    <t>Emotional Violence -No of clients</t>
  </si>
  <si>
    <t>GBC Screening at OPD</t>
  </si>
  <si>
    <t>GBV Screening at IPD</t>
  </si>
  <si>
    <t>GBV Screening at MCH</t>
  </si>
  <si>
    <t>GBV Screening at CCC</t>
  </si>
  <si>
    <t>F05-003</t>
  </si>
  <si>
    <t>F05-004</t>
  </si>
  <si>
    <t>F05-005</t>
  </si>
  <si>
    <t>F05-006</t>
  </si>
  <si>
    <t>F05-007</t>
  </si>
  <si>
    <t>F05-008</t>
  </si>
  <si>
    <t>F05-009</t>
  </si>
  <si>
    <t>F05-010</t>
  </si>
  <si>
    <t>F05-011</t>
  </si>
  <si>
    <t>F05-012</t>
  </si>
  <si>
    <t>F05-013</t>
  </si>
  <si>
    <t>F05-014</t>
  </si>
  <si>
    <t>F05-015</t>
  </si>
  <si>
    <t>F05-016</t>
  </si>
  <si>
    <t>F05-017</t>
  </si>
  <si>
    <t>F05-018</t>
  </si>
  <si>
    <t>F05-019</t>
  </si>
  <si>
    <t>F05-020</t>
  </si>
  <si>
    <t>F05-021</t>
  </si>
  <si>
    <t>F05-022</t>
  </si>
  <si>
    <t>F05-023</t>
  </si>
  <si>
    <t>F05-024</t>
  </si>
  <si>
    <t>F05-025</t>
  </si>
  <si>
    <t>F05-026</t>
  </si>
  <si>
    <t>F05-027</t>
  </si>
  <si>
    <t>F05-028</t>
  </si>
  <si>
    <t>F05-029</t>
  </si>
  <si>
    <t>F05-030</t>
  </si>
  <si>
    <t>F05-031</t>
  </si>
  <si>
    <t>F05-032</t>
  </si>
  <si>
    <t>Other Violence -No of clients</t>
  </si>
  <si>
    <t>F05-033</t>
  </si>
  <si>
    <t>F05-034</t>
  </si>
  <si>
    <t>F05-035</t>
  </si>
  <si>
    <t>F05-036</t>
  </si>
  <si>
    <t>No. Screened for GBV at OPD</t>
  </si>
  <si>
    <t>No. Screened for GBV at IPD</t>
  </si>
  <si>
    <t>No. Screened for GBV at CCC</t>
  </si>
  <si>
    <t>No. Screened for GBV at MCH</t>
  </si>
  <si>
    <t>Total No of GBV cases identified at OPD</t>
  </si>
  <si>
    <t>Total Eligible IPD and OPD</t>
  </si>
  <si>
    <t>Clients seen at IPD (monthly workload)</t>
  </si>
  <si>
    <t>Clients seen at CCC (monthly workload)</t>
  </si>
  <si>
    <t>Clients seen at MCH (monthly workload)</t>
  </si>
  <si>
    <t>Total No of GBV cases identified at IPD</t>
  </si>
  <si>
    <t>Total No of GBV cases identified at CCC</t>
  </si>
  <si>
    <t>Total No of GBV cases identified at MCH</t>
  </si>
  <si>
    <t>Total Sexual Violence Initiated PEP</t>
  </si>
  <si>
    <t>Infants of 0-2 Months confirmed HIV +ve initiated on ART</t>
  </si>
  <si>
    <t>Infants of 2-12 Months confirmed HIV +ve initiated on ART</t>
  </si>
  <si>
    <t xml:space="preserve">This is a count of GBV cases identifies within a reporting month. </t>
  </si>
  <si>
    <t>GBV register Column "Q"</t>
  </si>
  <si>
    <t xml:space="preserve">This is a count of GVB rape survivors who presented with Sexual Violence at facility during the reporting month. </t>
  </si>
  <si>
    <t xml:space="preserve">This is a count of GBV clients who presented  at facility with cases of Sexual Violence and started on PEP during the reporting month. </t>
  </si>
  <si>
    <t>GBV register Column "V"</t>
  </si>
  <si>
    <t xml:space="preserve">This is a count of GBV clients who presented at facility with physical violence during the reporting month. </t>
  </si>
  <si>
    <t xml:space="preserve">This is a count of GBV clients who presented at facility with physical violence and were started on PEP during the reporting month. </t>
  </si>
  <si>
    <t xml:space="preserve">This is a count of GBV clients who reported to have had an emotional/psychological violence during the reporting month </t>
  </si>
  <si>
    <t xml:space="preserve">This is a count of clients attending IPD Log clinic in a particular month </t>
  </si>
  <si>
    <t xml:space="preserve">IPD Log </t>
  </si>
  <si>
    <t xml:space="preserve">This is a count of clients attending IPD clinic who were screened for any form of gender based violence </t>
  </si>
  <si>
    <t xml:space="preserve">This is a count of GBV clients who reported any other form of GBV during the reporting month </t>
  </si>
  <si>
    <t xml:space="preserve">This is a count of clients attending CCC clinic in a particular month </t>
  </si>
  <si>
    <t xml:space="preserve">CCC DAR </t>
  </si>
  <si>
    <t xml:space="preserve">This is a count of clients attending CCC clinic who were screened for any form of gender based violence </t>
  </si>
  <si>
    <t xml:space="preserve">This is a count of GVB rape survivors who presented with Sexual Violence at CCC during the reporting month. </t>
  </si>
  <si>
    <t xml:space="preserve">This is a count of GBV clients who presented  at CCC with cases of Sexual Violence and started on PEP during the reporting month. </t>
  </si>
  <si>
    <t xml:space="preserve">This is a count of GBV clients who presented at CCC with physical violence during the reporting month. </t>
  </si>
  <si>
    <t xml:space="preserve">This is a count of GBV clients who presented at CCC with physical violence and were started on PEP during the reporting month. </t>
  </si>
  <si>
    <t>Infants of 0-12 Months HIV +Ve Initiated on ART</t>
  </si>
  <si>
    <t xml:space="preserve">Breastfeeding at initiation of ART   </t>
  </si>
  <si>
    <t>This data element is a total of all clients who took a HIV test during a given reporting period excluding the Tests reported in the PMTCT</t>
  </si>
  <si>
    <t>This data element is a total of all clients who tested HIV postive during a give reporting period excluding the positives at PMTCT</t>
  </si>
  <si>
    <t xml:space="preserve">Clients seen at OPD , IPD and MCH (monthly workload)                   </t>
  </si>
  <si>
    <t>Warnings Summaries</t>
  </si>
  <si>
    <t>Errors Justifications</t>
  </si>
  <si>
    <t xml:space="preserve">Type any Justifications on the section below to explain reason for the warnings on the left </t>
  </si>
  <si>
    <t>Data Gaps Warnings</t>
  </si>
  <si>
    <t>Errors Summaries</t>
  </si>
  <si>
    <t>GBV Screening at OPD</t>
  </si>
  <si>
    <t xml:space="preserve">Initiated on IPT 
</t>
  </si>
  <si>
    <t xml:space="preserve">Completed IPT
</t>
  </si>
  <si>
    <t>This is a count of the current patients on ART  who were started any course of IPT during the reporting period prior to the one being reported</t>
  </si>
  <si>
    <t>A count of PLHIV newly enrolled in HIV clinical care who completed IPT treatment from those that started and were newly starting ART</t>
  </si>
  <si>
    <t>A count of PLHIV already on ART HIV clinical care who start and complete IPT when newly starting ART while they were previously receiving ART</t>
  </si>
  <si>
    <t>Screened for TB</t>
  </si>
  <si>
    <t>Sexual Rape survivors [OPD, IPD , MCH and CCC]</t>
  </si>
  <si>
    <t xml:space="preserve">Sexual violence </t>
  </si>
  <si>
    <t>Physical &amp; emotional Violence</t>
  </si>
  <si>
    <t xml:space="preserve">No. of  Confirmed TB positive started on TB treatment </t>
  </si>
  <si>
    <t>No. of who had a positive result returned for bacteriologic diagnosis of active TB disease (No confirmed TB diagnosis)</t>
  </si>
  <si>
    <t>No. of  Confirmed TB positive started on TB treatment</t>
  </si>
  <si>
    <t>OPD Register (for under 5 and over 5)</t>
  </si>
  <si>
    <t>Screening positive for TB ( Presumptive TB clients)  Newly enrolled on ART</t>
  </si>
  <si>
    <t xml:space="preserve">Unassisted      </t>
  </si>
  <si>
    <t xml:space="preserve">1-30 Days Defaulters </t>
  </si>
  <si>
    <t>F10-08</t>
  </si>
  <si>
    <t>10.0 FP Integration</t>
  </si>
  <si>
    <t>Number of Women of reproductive age that received FP services at CCC</t>
  </si>
  <si>
    <t>FP Integration</t>
  </si>
  <si>
    <t>F07-021</t>
  </si>
  <si>
    <t>1-30 Days Defaulters</t>
  </si>
  <si>
    <t xml:space="preserve">This is a count of clients who missed their appointments between 1 and 30 days. </t>
  </si>
  <si>
    <t>F01-35</t>
  </si>
  <si>
    <t>F01-36</t>
  </si>
  <si>
    <t xml:space="preserve">This is a count of  WRA Received FP services at CCC </t>
  </si>
  <si>
    <t xml:space="preserve">CCC DAR  Column " BM " </t>
  </si>
  <si>
    <t xml:space="preserve">ART Register/EMR </t>
  </si>
  <si>
    <t>HTS Self testing register column "o"</t>
  </si>
  <si>
    <t>_F00-01</t>
  </si>
  <si>
    <t>_F00-02</t>
  </si>
  <si>
    <t>_F00-03</t>
  </si>
  <si>
    <t>_F00-04</t>
  </si>
  <si>
    <t>_F00-11</t>
  </si>
  <si>
    <t>F04-032</t>
  </si>
  <si>
    <t>F04-152</t>
  </si>
  <si>
    <t>F04-092</t>
  </si>
  <si>
    <t>Reffered for treatment</t>
  </si>
  <si>
    <t>F09-021</t>
  </si>
  <si>
    <t>Note: Please DON'T cut paste any cell, this will interfere with the formulas.</t>
  </si>
  <si>
    <t>Screening positive for TB ( Presumptive TB clients)  Previously enrolled on ART</t>
  </si>
  <si>
    <r>
      <t xml:space="preserve">Incase you copy data, please </t>
    </r>
    <r>
      <rPr>
        <b/>
        <sz val="20"/>
        <color theme="1"/>
        <rFont val="Calibri"/>
        <family val="2"/>
        <scheme val="minor"/>
      </rPr>
      <t>paste as value</t>
    </r>
    <r>
      <rPr>
        <b/>
        <sz val="20"/>
        <color rgb="FFFF0000"/>
        <rFont val="Calibri"/>
        <family val="2"/>
        <scheme val="minor"/>
      </rPr>
      <t xml:space="preserve"> to avoid unexpected Red alerts</t>
    </r>
  </si>
  <si>
    <r>
      <t>Total Eligible For HTS Testing in OPD</t>
    </r>
    <r>
      <rPr>
        <b/>
        <sz val="20"/>
        <color theme="9" tint="0.59999389629810485"/>
        <rFont val="Calibri"/>
        <family val="2"/>
        <scheme val="minor"/>
      </rPr>
      <t xml:space="preserve"> IPD and MCH</t>
    </r>
  </si>
  <si>
    <r>
      <t>Directly Assisted</t>
    </r>
    <r>
      <rPr>
        <b/>
        <sz val="20"/>
        <color theme="1"/>
        <rFont val="Calibri"/>
        <family val="2"/>
        <scheme val="minor"/>
      </rPr>
      <t xml:space="preserve">  </t>
    </r>
  </si>
  <si>
    <r>
      <t>Current on PREP (</t>
    </r>
    <r>
      <rPr>
        <i/>
        <sz val="20"/>
        <color theme="1"/>
        <rFont val="Calibri"/>
        <family val="2"/>
        <scheme val="minor"/>
      </rPr>
      <t>sum unique clients that received PrEP from October to Date</t>
    </r>
    <r>
      <rPr>
        <b/>
        <sz val="20"/>
        <color theme="1"/>
        <rFont val="Calibri"/>
        <family val="2"/>
        <scheme val="minor"/>
      </rPr>
      <t>)</t>
    </r>
  </si>
  <si>
    <r>
      <t>Discontinued PrEP</t>
    </r>
    <r>
      <rPr>
        <b/>
        <sz val="20"/>
        <color theme="1"/>
        <rFont val="Calibri"/>
        <family val="2"/>
        <scheme val="minor"/>
      </rPr>
      <t xml:space="preserve">   </t>
    </r>
  </si>
  <si>
    <r>
      <rPr>
        <b/>
        <sz val="20"/>
        <color theme="1"/>
        <rFont val="Calibri"/>
        <family val="2"/>
        <scheme val="minor"/>
      </rPr>
      <t xml:space="preserve">ANC 2 visit and above </t>
    </r>
    <r>
      <rPr>
        <sz val="20"/>
        <color theme="1"/>
        <rFont val="Calibri"/>
        <family val="2"/>
        <scheme val="minor"/>
      </rPr>
      <t xml:space="preserve">
</t>
    </r>
    <r>
      <rPr>
        <i/>
        <sz val="20"/>
        <color theme="1"/>
        <rFont val="Calibri"/>
        <family val="2"/>
        <scheme val="minor"/>
      </rPr>
      <t>(includes 2nd, 3rd, 4th ANC visits etc.)</t>
    </r>
  </si>
  <si>
    <r>
      <rPr>
        <b/>
        <sz val="20"/>
        <color theme="1"/>
        <rFont val="Calibri"/>
        <family val="2"/>
        <scheme val="minor"/>
      </rPr>
      <t xml:space="preserve">ANC 2 and above </t>
    </r>
    <r>
      <rPr>
        <i/>
        <sz val="20"/>
        <color theme="1"/>
        <rFont val="Calibri"/>
        <family val="2"/>
        <scheme val="minor"/>
      </rPr>
      <t>(includes 2nd, 3rd, 4th ANC visits etc)</t>
    </r>
  </si>
  <si>
    <r>
      <t>Infant Prophylaxis</t>
    </r>
    <r>
      <rPr>
        <b/>
        <i/>
        <sz val="20"/>
        <color theme="1"/>
        <rFont val="Calibri"/>
        <family val="2"/>
        <scheme val="minor"/>
      </rPr>
      <t xml:space="preserve"> 
</t>
    </r>
    <r>
      <rPr>
        <i/>
        <sz val="20"/>
        <color theme="1"/>
        <rFont val="Calibri"/>
        <family val="2"/>
        <scheme val="minor"/>
      </rPr>
      <t>(use  mother's age for reporting)</t>
    </r>
  </si>
  <si>
    <r>
      <t xml:space="preserve">Cause of  death (COD) </t>
    </r>
    <r>
      <rPr>
        <b/>
        <i/>
        <sz val="20"/>
        <color theme="1"/>
        <rFont val="Calibri"/>
        <family val="2"/>
        <scheme val="minor"/>
      </rPr>
      <t>Optional</t>
    </r>
  </si>
  <si>
    <r>
      <t xml:space="preserve">TB cases with known </t>
    </r>
    <r>
      <rPr>
        <b/>
        <sz val="20"/>
        <color theme="5"/>
        <rFont val="Calibri"/>
        <family val="2"/>
        <scheme val="minor"/>
      </rPr>
      <t>HIV +ve</t>
    </r>
    <r>
      <rPr>
        <sz val="20"/>
        <color theme="1"/>
        <rFont val="Calibri"/>
        <family val="2"/>
        <scheme val="minor"/>
      </rPr>
      <t xml:space="preserve"> status (KP) at entry in TB clinic (TB_STAT_KP)</t>
    </r>
  </si>
  <si>
    <t>Form Navigation Helper</t>
  </si>
  <si>
    <t>Index clients offered safe index testing services</t>
  </si>
  <si>
    <t>Index accepted safe index testing services</t>
  </si>
  <si>
    <t>F02-058</t>
  </si>
  <si>
    <t>50-54</t>
  </si>
  <si>
    <t>55-59</t>
  </si>
  <si>
    <t>1.12 HTS_RECENT</t>
  </si>
  <si>
    <t>F01-120</t>
  </si>
  <si>
    <t>F01-121</t>
  </si>
  <si>
    <t>F01-122</t>
  </si>
  <si>
    <t>F01-123</t>
  </si>
  <si>
    <t>F01-124</t>
  </si>
  <si>
    <t>F01-125</t>
  </si>
  <si>
    <t>F01-126</t>
  </si>
  <si>
    <t>F01-127</t>
  </si>
  <si>
    <t>F01-128</t>
  </si>
  <si>
    <t>F01-129</t>
  </si>
  <si>
    <t>F01-130</t>
  </si>
  <si>
    <t>F01-131</t>
  </si>
  <si>
    <r>
      <rPr>
        <sz val="20"/>
        <color theme="0" tint="-0.34998626667073579"/>
        <rFont val="Calibri"/>
        <family val="2"/>
        <scheme val="minor"/>
      </rPr>
      <t>HTS_RECENT-</t>
    </r>
    <r>
      <rPr>
        <sz val="20"/>
        <color theme="1"/>
        <rFont val="Calibri"/>
        <family val="2"/>
        <scheme val="minor"/>
      </rPr>
      <t xml:space="preserve"> 
</t>
    </r>
    <r>
      <rPr>
        <b/>
        <sz val="20"/>
        <color theme="1"/>
        <rFont val="Calibri"/>
        <family val="2"/>
        <scheme val="minor"/>
      </rPr>
      <t>Index Testing</t>
    </r>
  </si>
  <si>
    <r>
      <rPr>
        <sz val="20"/>
        <color theme="0" tint="-0.34998626667073579"/>
        <rFont val="Calibri"/>
        <family val="2"/>
        <scheme val="minor"/>
      </rPr>
      <t>HTS_RECENT -</t>
    </r>
    <r>
      <rPr>
        <b/>
        <sz val="20"/>
        <color theme="1"/>
        <rFont val="Calibri"/>
        <family val="2"/>
        <scheme val="minor"/>
      </rPr>
      <t>Emergency Ward</t>
    </r>
  </si>
  <si>
    <r>
      <rPr>
        <sz val="20"/>
        <color theme="0" tint="-0.34998626667073579"/>
        <rFont val="Calibri"/>
        <family val="2"/>
        <scheme val="minor"/>
      </rPr>
      <t>HTS_RECENT -</t>
    </r>
    <r>
      <rPr>
        <b/>
        <sz val="20"/>
        <color theme="1"/>
        <rFont val="Calibri"/>
        <family val="2"/>
        <scheme val="minor"/>
      </rPr>
      <t>Inpatient Services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</si>
  <si>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(ANC1 Only)</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</si>
  <si>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STI Clinic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</si>
  <si>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TB Clinics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</si>
  <si>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VCT</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</si>
  <si>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Other PITC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</si>
  <si>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Confirmatory Testing</t>
    </r>
  </si>
  <si>
    <t>Confirmed Recent</t>
  </si>
  <si>
    <t>Confirmed Long-Term</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</si>
  <si>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(Post ANC1)</t>
    </r>
  </si>
  <si>
    <t>F01-132</t>
  </si>
  <si>
    <t>F01-133</t>
  </si>
  <si>
    <t>F01-134</t>
  </si>
  <si>
    <t>F01-135</t>
  </si>
  <si>
    <t>F01-136</t>
  </si>
  <si>
    <t>F01-137</t>
  </si>
  <si>
    <t>F01-138</t>
  </si>
  <si>
    <t>F01-139</t>
  </si>
  <si>
    <t>Social Network Strategy (SNS)</t>
  </si>
  <si>
    <t>F01-251</t>
  </si>
  <si>
    <t>F01-252</t>
  </si>
  <si>
    <t>F01-045</t>
  </si>
  <si>
    <t>Documented Negative</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</si>
  <si>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Social Network Strategy (SNS)</t>
    </r>
  </si>
  <si>
    <t>F01-140</t>
  </si>
  <si>
    <t>F01-141</t>
  </si>
  <si>
    <r>
      <t xml:space="preserve">Tested           </t>
    </r>
    <r>
      <rPr>
        <b/>
        <sz val="22"/>
        <color theme="1"/>
        <rFont val="Calibri"/>
        <family val="2"/>
        <scheme val="minor"/>
      </rPr>
      <t xml:space="preserve"> </t>
    </r>
  </si>
  <si>
    <r>
      <t xml:space="preserve">Tested             </t>
    </r>
    <r>
      <rPr>
        <b/>
        <sz val="22"/>
        <color theme="1"/>
        <rFont val="Calibri"/>
        <family val="2"/>
        <scheme val="minor"/>
      </rPr>
      <t xml:space="preserve"> </t>
    </r>
  </si>
  <si>
    <r>
      <t xml:space="preserve">Directly Assisted                   </t>
    </r>
    <r>
      <rPr>
        <b/>
        <sz val="22"/>
        <color theme="1"/>
        <rFont val="Calibri"/>
        <family val="2"/>
        <scheme val="minor"/>
      </rPr>
      <t xml:space="preserve">       </t>
    </r>
  </si>
  <si>
    <r>
      <t xml:space="preserve">Unassisted : Sex partner           </t>
    </r>
    <r>
      <rPr>
        <b/>
        <sz val="22"/>
        <color theme="1"/>
        <rFont val="Calibri"/>
        <family val="2"/>
        <scheme val="minor"/>
      </rPr>
      <t xml:space="preserve"> </t>
    </r>
  </si>
  <si>
    <r>
      <t>Discordant couples at PMTCT</t>
    </r>
    <r>
      <rPr>
        <b/>
        <sz val="22"/>
        <color theme="1"/>
        <rFont val="Calibri"/>
        <family val="2"/>
        <scheme val="minor"/>
      </rPr>
      <t xml:space="preserve">  </t>
    </r>
  </si>
  <si>
    <r>
      <t xml:space="preserve">New on ART (IPT)                     </t>
    </r>
    <r>
      <rPr>
        <b/>
        <sz val="22"/>
        <color theme="1"/>
        <rFont val="Calibri"/>
        <family val="2"/>
        <scheme val="minor"/>
      </rPr>
      <t xml:space="preserve"> </t>
    </r>
  </si>
  <si>
    <r>
      <t xml:space="preserve">Already on ART (IPT)                </t>
    </r>
    <r>
      <rPr>
        <b/>
        <sz val="22"/>
        <color theme="1"/>
        <rFont val="Calibri"/>
        <family val="2"/>
        <scheme val="minor"/>
      </rPr>
      <t xml:space="preserve"> </t>
    </r>
  </si>
  <si>
    <r>
      <t xml:space="preserve">New on ART (IPT)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</si>
  <si>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</si>
  <si>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</si>
  <si>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Negative                                  </t>
    </r>
    <r>
      <rPr>
        <b/>
        <sz val="22"/>
        <color theme="1"/>
        <rFont val="Calibri"/>
        <family val="2"/>
        <scheme val="minor"/>
      </rPr>
      <t xml:space="preserve"> </t>
    </r>
  </si>
  <si>
    <r>
      <t xml:space="preserve">Suspected cancer                    </t>
    </r>
    <r>
      <rPr>
        <b/>
        <sz val="22"/>
        <color theme="1"/>
        <rFont val="Calibri"/>
        <family val="2"/>
        <scheme val="minor"/>
      </rPr>
      <t xml:space="preserve"> </t>
    </r>
  </si>
  <si>
    <r>
      <t xml:space="preserve">Cryotherapy                            </t>
    </r>
    <r>
      <rPr>
        <b/>
        <sz val="22"/>
        <color theme="1"/>
        <rFont val="Calibri"/>
        <family val="2"/>
        <scheme val="minor"/>
      </rPr>
      <t xml:space="preserve"> </t>
    </r>
  </si>
  <si>
    <r>
      <t xml:space="preserve">LEEP                                         </t>
    </r>
    <r>
      <rPr>
        <b/>
        <sz val="22"/>
        <color theme="1"/>
        <rFont val="Calibri"/>
        <family val="2"/>
        <scheme val="minor"/>
      </rPr>
      <t xml:space="preserve"> </t>
    </r>
  </si>
  <si>
    <r>
      <t>Thermocoagulation</t>
    </r>
    <r>
      <rPr>
        <b/>
        <sz val="22"/>
        <color theme="1"/>
        <rFont val="Calibri"/>
        <family val="2"/>
        <scheme val="minor"/>
      </rPr>
      <t xml:space="preserve">                 </t>
    </r>
  </si>
  <si>
    <r>
      <t xml:space="preserve">Positive                                   </t>
    </r>
    <r>
      <rPr>
        <b/>
        <sz val="22"/>
        <color theme="1"/>
        <rFont val="Calibri"/>
        <family val="2"/>
        <scheme val="minor"/>
      </rPr>
      <t xml:space="preserve">  </t>
    </r>
  </si>
  <si>
    <r>
      <t xml:space="preserve">Negative                                 </t>
    </r>
    <r>
      <rPr>
        <b/>
        <sz val="22"/>
        <color theme="1"/>
        <rFont val="Calibri"/>
        <family val="2"/>
        <scheme val="minor"/>
      </rPr>
      <t xml:space="preserve">  </t>
    </r>
  </si>
  <si>
    <r>
      <t>Initiated PEP</t>
    </r>
    <r>
      <rPr>
        <b/>
        <sz val="22"/>
        <color theme="1"/>
        <rFont val="Calibri"/>
        <family val="2"/>
        <scheme val="minor"/>
      </rPr>
      <t xml:space="preserve">                            </t>
    </r>
  </si>
  <si>
    <r>
      <t xml:space="preserve">No. of clients                     </t>
    </r>
    <r>
      <rPr>
        <b/>
        <sz val="22"/>
        <color theme="1"/>
        <rFont val="Calibri"/>
        <family val="2"/>
        <scheme val="minor"/>
      </rPr>
      <t xml:space="preserve"> </t>
    </r>
  </si>
  <si>
    <r>
      <t xml:space="preserve">Screened for STI                  </t>
    </r>
    <r>
      <rPr>
        <b/>
        <sz val="22"/>
        <color theme="1"/>
        <rFont val="Calibri"/>
        <family val="2"/>
        <scheme val="minor"/>
      </rPr>
      <t xml:space="preserve">    </t>
    </r>
  </si>
  <si>
    <r>
      <t xml:space="preserve">Treated for STI                       </t>
    </r>
    <r>
      <rPr>
        <b/>
        <sz val="22"/>
        <color theme="1"/>
        <rFont val="Calibri"/>
        <family val="2"/>
        <scheme val="minor"/>
      </rPr>
      <t xml:space="preserve"> </t>
    </r>
  </si>
  <si>
    <r>
      <t>Tested for HIV</t>
    </r>
    <r>
      <rPr>
        <b/>
        <sz val="22"/>
        <color theme="1"/>
        <rFont val="Calibri"/>
        <family val="2"/>
        <scheme val="minor"/>
      </rPr>
      <t xml:space="preserve">                         </t>
    </r>
  </si>
  <si>
    <r>
      <t>HIV positive at 1</t>
    </r>
    <r>
      <rPr>
        <vertAlign val="superscript"/>
        <sz val="22"/>
        <color theme="1"/>
        <rFont val="Calibri"/>
        <family val="2"/>
        <scheme val="minor"/>
      </rPr>
      <t>st</t>
    </r>
    <r>
      <rPr>
        <sz val="22"/>
        <color theme="1"/>
        <rFont val="Calibri"/>
        <family val="2"/>
        <scheme val="minor"/>
      </rPr>
      <t xml:space="preserve"> visit           </t>
    </r>
  </si>
  <si>
    <r>
      <t xml:space="preserve">No. seroconverted </t>
    </r>
    <r>
      <rPr>
        <b/>
        <sz val="22"/>
        <color theme="1"/>
        <rFont val="Calibri"/>
        <family val="2"/>
        <scheme val="minor"/>
      </rPr>
      <t xml:space="preserve"> </t>
    </r>
  </si>
  <si>
    <r>
      <t xml:space="preserve">No. pregnant </t>
    </r>
    <r>
      <rPr>
        <b/>
        <sz val="22"/>
        <color theme="1"/>
        <rFont val="Calibri"/>
        <family val="2"/>
        <scheme val="minor"/>
      </rPr>
      <t xml:space="preserve"> </t>
    </r>
  </si>
  <si>
    <r>
      <t xml:space="preserve">New (1st) ANC clients (PMTCT_STAT_Den)  </t>
    </r>
    <r>
      <rPr>
        <b/>
        <sz val="22"/>
        <color theme="1"/>
        <rFont val="Calibri"/>
        <family val="2"/>
        <scheme val="minor"/>
      </rPr>
      <t xml:space="preserve">       </t>
    </r>
  </si>
  <si>
    <r>
      <t>Initial test at ANC 1</t>
    </r>
    <r>
      <rPr>
        <b/>
        <sz val="22"/>
        <color theme="1"/>
        <rFont val="Calibri"/>
        <family val="2"/>
        <scheme val="minor"/>
      </rPr>
      <t xml:space="preserve">                  </t>
    </r>
  </si>
  <si>
    <r>
      <rPr>
        <b/>
        <sz val="22"/>
        <color theme="1"/>
        <rFont val="Calibri"/>
        <family val="2"/>
        <scheme val="minor"/>
      </rPr>
      <t xml:space="preserve">ANC 2 visit and above </t>
    </r>
    <r>
      <rPr>
        <sz val="22"/>
        <color theme="1"/>
        <rFont val="Calibri"/>
        <family val="2"/>
        <scheme val="minor"/>
      </rPr>
      <t xml:space="preserve">
</t>
    </r>
    <r>
      <rPr>
        <i/>
        <sz val="22"/>
        <color theme="1"/>
        <rFont val="Calibri"/>
        <family val="2"/>
        <scheme val="minor"/>
      </rPr>
      <t>(includes 2nd, 3rd, 4th ANC visits etc.)</t>
    </r>
  </si>
  <si>
    <r>
      <t xml:space="preserve">Initial test at ANC 2 and above             </t>
    </r>
    <r>
      <rPr>
        <b/>
        <sz val="22"/>
        <color theme="1"/>
        <rFont val="Calibri"/>
        <family val="2"/>
        <scheme val="minor"/>
      </rPr>
      <t xml:space="preserve"> </t>
    </r>
  </si>
  <si>
    <r>
      <t>Positive result at L&amp;D</t>
    </r>
    <r>
      <rPr>
        <b/>
        <sz val="22"/>
        <color theme="1"/>
        <rFont val="Calibri"/>
        <family val="2"/>
        <scheme val="minor"/>
      </rPr>
      <t xml:space="preserve">                </t>
    </r>
  </si>
  <si>
    <r>
      <t>Retesting Positive result at L&amp;D</t>
    </r>
    <r>
      <rPr>
        <b/>
        <sz val="22"/>
        <color theme="1"/>
        <rFont val="Calibri"/>
        <family val="2"/>
        <scheme val="minor"/>
      </rPr>
      <t xml:space="preserve">            </t>
    </r>
  </si>
  <si>
    <r>
      <t xml:space="preserve">Positive at PNC &lt;=6wks           </t>
    </r>
    <r>
      <rPr>
        <b/>
        <sz val="22"/>
        <color theme="1"/>
        <rFont val="Calibri"/>
        <family val="2"/>
        <scheme val="minor"/>
      </rPr>
      <t xml:space="preserve">     </t>
    </r>
  </si>
  <si>
    <r>
      <t>Male partners tested for HIV at ANC</t>
    </r>
    <r>
      <rPr>
        <b/>
        <sz val="22"/>
        <color theme="1"/>
        <rFont val="Calibri"/>
        <family val="2"/>
        <scheme val="minor"/>
      </rPr>
      <t xml:space="preserve">  </t>
    </r>
  </si>
  <si>
    <r>
      <rPr>
        <b/>
        <sz val="22"/>
        <color theme="1"/>
        <rFont val="Calibri"/>
        <family val="2"/>
        <scheme val="minor"/>
      </rPr>
      <t xml:space="preserve">ANC 2 and above 
</t>
    </r>
    <r>
      <rPr>
        <i/>
        <sz val="22"/>
        <color theme="1"/>
        <rFont val="Calibri"/>
        <family val="2"/>
        <scheme val="minor"/>
      </rPr>
      <t>(includes 2nd, 3rd, 4th ANC visits etc)</t>
    </r>
  </si>
  <si>
    <r>
      <t xml:space="preserve">Current on ART (PMTCT)       </t>
    </r>
    <r>
      <rPr>
        <b/>
        <sz val="22"/>
        <color theme="1"/>
        <rFont val="Calibri"/>
        <family val="2"/>
        <scheme val="minor"/>
      </rPr>
      <t xml:space="preserve">    </t>
    </r>
  </si>
  <si>
    <r>
      <t>Infant Prophylaxis</t>
    </r>
    <r>
      <rPr>
        <b/>
        <i/>
        <sz val="22"/>
        <color theme="1"/>
        <rFont val="Calibri"/>
        <family val="2"/>
        <scheme val="minor"/>
      </rPr>
      <t xml:space="preserve"> 
</t>
    </r>
    <r>
      <rPr>
        <i/>
        <sz val="22"/>
        <color theme="1"/>
        <rFont val="Calibri"/>
        <family val="2"/>
        <scheme val="minor"/>
      </rPr>
      <t>(use  mother's age for reporting)</t>
    </r>
  </si>
  <si>
    <r>
      <t>Infant Prophylaxis_PNC&lt; 6wks</t>
    </r>
    <r>
      <rPr>
        <b/>
        <sz val="22"/>
        <color theme="1"/>
        <rFont val="Calibri"/>
        <family val="2"/>
        <scheme val="minor"/>
      </rPr>
      <t xml:space="preserve">  </t>
    </r>
  </si>
  <si>
    <r>
      <t xml:space="preserve">Starting ART)                   </t>
    </r>
    <r>
      <rPr>
        <b/>
        <sz val="22"/>
        <color theme="1"/>
        <rFont val="Calibri"/>
        <family val="2"/>
        <scheme val="minor"/>
      </rPr>
      <t xml:space="preserve"> </t>
    </r>
  </si>
  <si>
    <r>
      <t xml:space="preserve">Currently on ART (All)             </t>
    </r>
    <r>
      <rPr>
        <b/>
        <sz val="22"/>
        <color theme="1"/>
        <rFont val="Calibri"/>
        <family val="2"/>
        <scheme val="minor"/>
      </rPr>
      <t xml:space="preserve"> </t>
    </r>
  </si>
  <si>
    <r>
      <t xml:space="preserve">No. of patients whose specimens were sent for </t>
    </r>
    <r>
      <rPr>
        <b/>
        <sz val="22"/>
        <color theme="1"/>
        <rFont val="Calibri"/>
        <family val="2"/>
        <scheme val="minor"/>
      </rPr>
      <t>Smear Only</t>
    </r>
  </si>
  <si>
    <r>
      <t xml:space="preserve">No. of patients whose specimens were sent for </t>
    </r>
    <r>
      <rPr>
        <b/>
        <sz val="22"/>
        <color theme="1"/>
        <rFont val="Calibri"/>
        <family val="2"/>
        <scheme val="minor"/>
      </rPr>
      <t>Gene Xpert MTB /R if Assay</t>
    </r>
  </si>
  <si>
    <r>
      <t xml:space="preserve">No. of patients whose specimens were sent for </t>
    </r>
    <r>
      <rPr>
        <b/>
        <sz val="22"/>
        <color theme="1"/>
        <rFont val="Calibri"/>
        <family val="2"/>
        <scheme val="minor"/>
      </rPr>
      <t>Other (No Xpert)</t>
    </r>
  </si>
  <si>
    <r>
      <t xml:space="preserve">Cause of  death (COD) </t>
    </r>
    <r>
      <rPr>
        <b/>
        <i/>
        <sz val="22"/>
        <color theme="1"/>
        <rFont val="Calibri"/>
        <family val="2"/>
        <scheme val="minor"/>
      </rPr>
      <t>Optional</t>
    </r>
  </si>
  <si>
    <t>2.0  PrEP NEW &amp; PREP_CT</t>
  </si>
  <si>
    <t>10.0 LINKAGE</t>
  </si>
  <si>
    <t>F10-01</t>
  </si>
  <si>
    <t>F10-02</t>
  </si>
  <si>
    <t>F10-03</t>
  </si>
  <si>
    <t>Linked in another UTJ Site (inter-facility linkage)</t>
  </si>
  <si>
    <t>F10-04</t>
  </si>
  <si>
    <t>Linked in another non-UTJ Site (inter-facility linkage)</t>
  </si>
  <si>
    <t>F10-05</t>
  </si>
  <si>
    <t>Total Unlinked</t>
  </si>
  <si>
    <t>F10-06</t>
  </si>
  <si>
    <t>F10-07</t>
  </si>
  <si>
    <t>F10-09</t>
  </si>
  <si>
    <t>F10-010</t>
  </si>
  <si>
    <t>F10-011</t>
  </si>
  <si>
    <t>F10-012</t>
  </si>
  <si>
    <t>F10-013</t>
  </si>
  <si>
    <t>F10-014</t>
  </si>
  <si>
    <t>F10-015</t>
  </si>
  <si>
    <t>F10-016</t>
  </si>
  <si>
    <t>F10-017</t>
  </si>
  <si>
    <t>F10-018</t>
  </si>
  <si>
    <t>F10-019</t>
  </si>
  <si>
    <t>F10-020</t>
  </si>
  <si>
    <t>Linked within this site (Intra-facility Linkage)</t>
  </si>
  <si>
    <t>PITC-Pediatric (&lt;5 Yrs)</t>
  </si>
  <si>
    <t>PITC-TB</t>
  </si>
  <si>
    <t>ANC 1</t>
  </si>
  <si>
    <t>POST ANC 1 ( ANC 2 and above , L&amp;D, PNC &lt;=6 wks )</t>
  </si>
  <si>
    <t>F10-021</t>
  </si>
  <si>
    <t>F10-022</t>
  </si>
  <si>
    <t>F10-023</t>
  </si>
  <si>
    <t>F10-024</t>
  </si>
  <si>
    <t>F10-025</t>
  </si>
  <si>
    <t>F10-026</t>
  </si>
  <si>
    <t>F10-027</t>
  </si>
  <si>
    <t>F10-028</t>
  </si>
  <si>
    <t>F10-029</t>
  </si>
  <si>
    <t>F10-030</t>
  </si>
  <si>
    <t>F10-031</t>
  </si>
  <si>
    <t>F10-032</t>
  </si>
  <si>
    <t>F10-033</t>
  </si>
  <si>
    <t>F10-034</t>
  </si>
  <si>
    <t>F10-035</t>
  </si>
  <si>
    <t>F10-036</t>
  </si>
  <si>
    <t>F10-037</t>
  </si>
  <si>
    <t>F10-038</t>
  </si>
  <si>
    <t>F10-039</t>
  </si>
  <si>
    <t>F10-040</t>
  </si>
  <si>
    <t>F10-041</t>
  </si>
  <si>
    <t>F10-042</t>
  </si>
  <si>
    <t>F10-043</t>
  </si>
  <si>
    <t>F10-044</t>
  </si>
  <si>
    <t>F10-045</t>
  </si>
  <si>
    <t>F10-046</t>
  </si>
  <si>
    <t>F10-047</t>
  </si>
  <si>
    <t>F10-048</t>
  </si>
  <si>
    <t>F10-049</t>
  </si>
  <si>
    <t>F10-050</t>
  </si>
  <si>
    <t>F10-051</t>
  </si>
  <si>
    <t>F10-052</t>
  </si>
  <si>
    <t>F10-053</t>
  </si>
  <si>
    <t>F10-054</t>
  </si>
  <si>
    <t>F10-055</t>
  </si>
  <si>
    <t>F10-056</t>
  </si>
  <si>
    <t>F10-057</t>
  </si>
  <si>
    <t>F10-058</t>
  </si>
  <si>
    <t>F10-059</t>
  </si>
  <si>
    <t>F10-060</t>
  </si>
  <si>
    <t>F10-061</t>
  </si>
  <si>
    <t>F10-062</t>
  </si>
  <si>
    <t>F10-063</t>
  </si>
  <si>
    <t>F10-064</t>
  </si>
  <si>
    <t>F10-065</t>
  </si>
  <si>
    <t>F10-066</t>
  </si>
  <si>
    <t>All Modalities</t>
  </si>
  <si>
    <t>60-64</t>
  </si>
  <si>
    <t>65+</t>
  </si>
  <si>
    <t>Tested for HIV while on PrEP_CT</t>
  </si>
  <si>
    <t>Tested HIV Positive while on PrEP_CT</t>
  </si>
  <si>
    <t>RTRI Recent</t>
  </si>
  <si>
    <t>RTRI Long-Term</t>
  </si>
  <si>
    <t>RITA Recent</t>
  </si>
  <si>
    <t>RITA Long-Term</t>
  </si>
  <si>
    <t>F01-1201</t>
  </si>
  <si>
    <t>F01-1211</t>
  </si>
  <si>
    <t>F01-1221</t>
  </si>
  <si>
    <t>F01-1231</t>
  </si>
  <si>
    <t>F01-1261</t>
  </si>
  <si>
    <t>F01-1271</t>
  </si>
  <si>
    <t>F01-1281</t>
  </si>
  <si>
    <t>F01-1291</t>
  </si>
  <si>
    <t>F01-1301</t>
  </si>
  <si>
    <t>F01-1311</t>
  </si>
  <si>
    <t>F01-1321</t>
  </si>
  <si>
    <t>F01-1331</t>
  </si>
  <si>
    <t>F01-1341</t>
  </si>
  <si>
    <t>F01-1351</t>
  </si>
  <si>
    <t>F01-1361</t>
  </si>
  <si>
    <t>F01-1371</t>
  </si>
  <si>
    <t>F01-1381</t>
  </si>
  <si>
    <t>F01-1391</t>
  </si>
  <si>
    <t>Pregnant</t>
  </si>
  <si>
    <t>Breastfeeding</t>
  </si>
  <si>
    <t>PREP_CT Pregnant or Breastfeeding</t>
  </si>
  <si>
    <t>F02-081</t>
  </si>
  <si>
    <t>F02-082</t>
  </si>
  <si>
    <t>Serodiscordant Couple</t>
  </si>
  <si>
    <t>F02-0310</t>
  </si>
  <si>
    <t>F02-0311</t>
  </si>
  <si>
    <t>F02-0312</t>
  </si>
  <si>
    <t>F02-0313</t>
  </si>
  <si>
    <t>F02-0314</t>
  </si>
  <si>
    <t>F02-0315</t>
  </si>
  <si>
    <t>F02-0316</t>
  </si>
  <si>
    <t>F02-0317</t>
  </si>
  <si>
    <t>F02-0318</t>
  </si>
  <si>
    <t>Adolescent Girls and Young Women</t>
  </si>
  <si>
    <t>Men at high risk</t>
  </si>
  <si>
    <t>Other Women</t>
  </si>
  <si>
    <t>Not tested - Due to Adverse Events</t>
  </si>
  <si>
    <t>F01-085</t>
  </si>
  <si>
    <t>F01-250</t>
  </si>
  <si>
    <t>F01-1241</t>
  </si>
  <si>
    <t>F01-1251</t>
  </si>
  <si>
    <t>Testing Results - unassisted</t>
  </si>
  <si>
    <t>F01-37</t>
  </si>
  <si>
    <t>F01-38</t>
  </si>
  <si>
    <t>Total HTS (Excluding PMTCT)</t>
  </si>
  <si>
    <t>Total HTS (Including PMTCT)</t>
  </si>
  <si>
    <t xml:space="preserve"> Total HTS Tested</t>
  </si>
  <si>
    <t>Total HTS Positive</t>
  </si>
  <si>
    <t>F01-281</t>
  </si>
  <si>
    <t>F01-282</t>
  </si>
  <si>
    <t>Positive result at at PNC &gt; 6 weeks to 6 months</t>
  </si>
  <si>
    <t>Retesting at PNC &gt; 6 weeks to 6 months</t>
  </si>
  <si>
    <t>Retesting positive result at PNC &gt; 6 weeks to 6 months</t>
  </si>
  <si>
    <t>F06-105</t>
  </si>
  <si>
    <t>F06-106</t>
  </si>
  <si>
    <t>F01-283</t>
  </si>
  <si>
    <t>F01-284</t>
  </si>
  <si>
    <t>F01-285</t>
  </si>
  <si>
    <t>F01-286</t>
  </si>
  <si>
    <t>1.11 HIV Testing By Population Type</t>
  </si>
  <si>
    <t>PREP_CT By Population Type</t>
  </si>
  <si>
    <t>F02-083</t>
  </si>
  <si>
    <t>F02-084</t>
  </si>
  <si>
    <t>3.0  TPT (TB Preventive Therapy): TPT / IPT Initiation and TPT / IPT Outcomes ( For All Clients Current on ART )</t>
  </si>
  <si>
    <t>Initiated on IPT this month</t>
  </si>
  <si>
    <r>
      <t>New on ART (TPT)</t>
    </r>
    <r>
      <rPr>
        <b/>
        <sz val="20"/>
        <color theme="1"/>
        <rFont val="Calibri"/>
        <family val="2"/>
        <scheme val="minor"/>
      </rPr>
      <t xml:space="preserve"> </t>
    </r>
  </si>
  <si>
    <t>Already on ART (TPT)</t>
  </si>
  <si>
    <t>New on ART (TPT)</t>
  </si>
  <si>
    <t>F03-010</t>
  </si>
  <si>
    <t>F06-163</t>
  </si>
  <si>
    <t>Retest Start HAART at PNC &gt; 6 weeks to 6 months</t>
  </si>
  <si>
    <t>This data element is a total of all clients who took a HIV test during a given reporting period including the Tests reported in the PMTCT</t>
  </si>
  <si>
    <t>This data element is a total of all clients who tested HIV postive during a give reporting period including the positives at PMTCT</t>
  </si>
  <si>
    <t xml:space="preserve">Initiated on IPT 6 months ago </t>
  </si>
  <si>
    <t xml:space="preserve">Completed IPT after 6 month Initiation </t>
  </si>
  <si>
    <r>
      <t>New on ART (IPT)</t>
    </r>
    <r>
      <rPr>
        <b/>
        <sz val="20"/>
        <color theme="1"/>
        <rFont val="Calibri"/>
        <family val="2"/>
        <scheme val="minor"/>
      </rPr>
      <t xml:space="preserve"> </t>
    </r>
  </si>
  <si>
    <t>Already on ART (IPT)</t>
  </si>
  <si>
    <t>New on ART (IPT)</t>
  </si>
  <si>
    <t xml:space="preserve">Initiated on other forms of TPT (Rifampcin &amp; Rifapentine) 3 months ago </t>
  </si>
  <si>
    <t xml:space="preserve">Completed other forms of TPT (Rifampcin &amp; Rifapentine) after 3 month Initiation </t>
  </si>
  <si>
    <t>F03-13</t>
  </si>
  <si>
    <t>F03-14</t>
  </si>
  <si>
    <t>F03-15</t>
  </si>
  <si>
    <t>F03-16</t>
  </si>
  <si>
    <t>F03-17</t>
  </si>
  <si>
    <t>F03-18</t>
  </si>
  <si>
    <t>F03-19</t>
  </si>
  <si>
    <t>F03-20</t>
  </si>
  <si>
    <t>F03-21</t>
  </si>
  <si>
    <t>F03-22</t>
  </si>
  <si>
    <t>F03-23</t>
  </si>
  <si>
    <t>F03-24</t>
  </si>
  <si>
    <t>Number lost to follow-up after initiation on other forms of TPT</t>
  </si>
  <si>
    <t>Number discontinued after initiation on other forms of TPT</t>
  </si>
  <si>
    <t>Number died after initiation on other forms of TPT</t>
  </si>
  <si>
    <t>Number transferred out after initiation on other forms of TPT</t>
  </si>
  <si>
    <t xml:space="preserve">Number lost to follow-up after being initiated on IPT </t>
  </si>
  <si>
    <t>Number discontinued after being initiated on IPT</t>
  </si>
  <si>
    <t>Number died after being initiated on IPT</t>
  </si>
  <si>
    <t>Initiated on TPT this month</t>
  </si>
  <si>
    <t>3.2  TPT (TB Preventive Therapy):  Initiation and Outcomes ( For All Clients Current on ART )</t>
  </si>
  <si>
    <t>3.1  IPT  Initiation and Outcomes ( For All Clients Current on ART )</t>
  </si>
  <si>
    <t>F03-130</t>
  </si>
  <si>
    <t xml:space="preserve">Initiated on TPT this month (Rifampcin &amp; Rifapentine) </t>
  </si>
  <si>
    <t>Referred for treatment</t>
  </si>
  <si>
    <t>3.2  TPT (TB Preventive Therapy):  Initiation and outcomes among clients on ART</t>
  </si>
  <si>
    <t>3.0  TPT (TB Preventive Therapy): TPT / IPT Initiation and TPT / IPT Outcomes among clients on ART</t>
  </si>
  <si>
    <t>No. of confirmed TB-positive starting TB Treatment who were newly started on ART</t>
  </si>
  <si>
    <t>No. of confirmed TB-positive starting TB Treatment who were already on ART</t>
  </si>
  <si>
    <t>Total No. of ART patients started on TB Treatment (TX_TB_Num)</t>
  </si>
  <si>
    <t>F01-331</t>
  </si>
  <si>
    <t>F02-0319</t>
  </si>
  <si>
    <t>F02-0320</t>
  </si>
  <si>
    <r>
      <t xml:space="preserve">Pregnant and Breast Feeding Women ( </t>
    </r>
    <r>
      <rPr>
        <i/>
        <sz val="20"/>
        <color theme="4"/>
        <rFont val="Calibri"/>
        <family val="2"/>
        <scheme val="minor"/>
      </rPr>
      <t>auto-calculated</t>
    </r>
    <r>
      <rPr>
        <sz val="20"/>
        <color theme="1"/>
        <rFont val="Calibri"/>
        <family val="2"/>
        <scheme val="minor"/>
      </rPr>
      <t xml:space="preserve"> )</t>
    </r>
  </si>
  <si>
    <t>Facility</t>
  </si>
  <si>
    <t>Community (associated with a facility)</t>
  </si>
  <si>
    <t>F02-0321</t>
  </si>
  <si>
    <t>F02-0322</t>
  </si>
  <si>
    <t>Oral</t>
  </si>
  <si>
    <t>Prep Initiation by Distribution Type</t>
  </si>
  <si>
    <t>Injectable</t>
  </si>
  <si>
    <t>F02-0323</t>
  </si>
  <si>
    <t>F02-0324</t>
  </si>
  <si>
    <t>F02-0325</t>
  </si>
  <si>
    <t>Prep Initiation for Pregnant and breastfeeding mothers</t>
  </si>
  <si>
    <t>F02-085</t>
  </si>
  <si>
    <t>F02-086</t>
  </si>
  <si>
    <t>F02-087</t>
  </si>
  <si>
    <t>F02-088</t>
  </si>
  <si>
    <t>F02-089</t>
  </si>
  <si>
    <t>Event Driven Prep Initiations</t>
  </si>
  <si>
    <t>Number newly initiated on Event-Driven Prep</t>
  </si>
  <si>
    <t>F02-0326</t>
  </si>
  <si>
    <t>PrEP_CT Event Driven Prep</t>
  </si>
  <si>
    <t>Number Initially initiated on Event-Driven Prep who came for a refill/Restart</t>
  </si>
  <si>
    <t>F02-090</t>
  </si>
  <si>
    <t>CD4 &lt; 200</t>
  </si>
  <si>
    <t>Unknown CD4</t>
  </si>
  <si>
    <t>F07-022</t>
  </si>
  <si>
    <t>F07-023</t>
  </si>
  <si>
    <t>F07-024</t>
  </si>
  <si>
    <t>CD4 &gt;=200</t>
  </si>
  <si>
    <t xml:space="preserve">Starting ART               </t>
  </si>
  <si>
    <t>Type of TB Screening</t>
  </si>
  <si>
    <t>Symptom Screen (alone)</t>
  </si>
  <si>
    <t>CXR</t>
  </si>
  <si>
    <t>mWRD</t>
  </si>
  <si>
    <t>F07-0501</t>
  </si>
  <si>
    <t>F07-0502</t>
  </si>
  <si>
    <t>F07-0503</t>
  </si>
  <si>
    <t>Rescreening after previous negative result</t>
  </si>
  <si>
    <t>Treatment For those Rescreening after previous negative result</t>
  </si>
  <si>
    <t>First time screening</t>
  </si>
  <si>
    <t xml:space="preserve">Treatment for those screened at the 1st time and turned positives or are Suspected cancer </t>
  </si>
  <si>
    <r>
      <t xml:space="preserve">PITC-TB </t>
    </r>
    <r>
      <rPr>
        <sz val="20"/>
        <rFont val="Calibri"/>
        <family val="2"/>
        <scheme val="minor"/>
      </rPr>
      <t>( autopopulated from section 9.0)</t>
    </r>
  </si>
  <si>
    <t>Testing Results - Directly Assisted</t>
  </si>
  <si>
    <t>TB cases with a recent HIV Negative status at entry in TB clinic (TB_STAT_KN)</t>
  </si>
  <si>
    <t>Initial Start HAART at L&amp;D</t>
  </si>
  <si>
    <t>Initial Start HAART at PNC &gt; 6 weeks to 6 months</t>
  </si>
  <si>
    <t>Initial Test at PNC &gt; 6 weeks to 6 months</t>
  </si>
  <si>
    <t>CXR (Chest X_Ray)</t>
  </si>
  <si>
    <t>Prep Register/EMR</t>
  </si>
  <si>
    <t xml:space="preserve">This is a count of clients who were confirmed Pregnant and were initiated on PrEP in a particular month </t>
  </si>
  <si>
    <t xml:space="preserve">This is a count of clients who were Breastfeeding at initiation of PrEP in a particular month </t>
  </si>
  <si>
    <t>Refers to the number of individuals starting PrEP for the first time (outside of any clinical trial participation) through other non Oral and Injectable prep regimens</t>
  </si>
  <si>
    <t>This is a count of clients who took prep with a planned sex act to prevent HIV exposure</t>
  </si>
  <si>
    <t xml:space="preserve">This is a count of returning prep clients who were confirmed Pregnant in a particular month </t>
  </si>
  <si>
    <t xml:space="preserve">This is a count of returning prep clients who were confirmed Breastfeeding in a particular month </t>
  </si>
  <si>
    <t>This is a count of ART clients who were screened for TB using TB ICF Form based on WHO four-symptom screen (W4SS).</t>
  </si>
  <si>
    <t>TB ICF Forrm / EMR</t>
  </si>
  <si>
    <t>This is a count of ART clients who were screened for TB using Chest X - Ray (CXR).</t>
  </si>
  <si>
    <t>X - Ray Registr / Presumptive TB Register</t>
  </si>
  <si>
    <t>This is a count of ART clients who were screened for TB using any of the molecular WHO-recommended rapid diagnostic testing. These tests include: Gene Xpert/ TB LAM and Truenat MTB.</t>
  </si>
  <si>
    <t>Presumptive TB Register/Lab  Gene Xpert Register</t>
  </si>
  <si>
    <t>This is a count of TB Cases who recently tested HIV-negative within a 6-week period, or more recently according to country clinical guidelines, and are not eligible for another HIV test at the time of presentation in the TB clinic in accordance with national HTS guidelines.</t>
  </si>
  <si>
    <t>This is a count of individuals starting HAART treatment (TX_NEW) with documented CD4 Count results &lt; 200</t>
  </si>
  <si>
    <t>This is a count of individuals starting HAART treatment (TX_NEW) with documented CD4 Count results &gt;= 200</t>
  </si>
  <si>
    <t>This refers to number of individuals, excluding those newly enrolled, that return for a follow-up visit or re-initiation visit to receive pre-exposure prophylaxis (PrEP) to prevent HIV during the reporting period. This count should exclude all the patients who were initiated on Prep during the reporting period and also came for refill.</t>
  </si>
  <si>
    <t>This is a count of patients who were initially initiated on prep under Event-based prep and came for refill/restart during the reporting period</t>
  </si>
  <si>
    <t>This is a count of MSWs, excluding those newly enrolled, that return for a follow-up visit or re-initiation visit to receive pre-exposure prophylaxis (PrEP) to prevent HIV during the reporting period</t>
  </si>
  <si>
    <t>This is a count of FSWs , excluding those newly enrolled, that return for a follow-up visit or re-initiation visit to receive pre-exposure prophylaxis (PrEP) to prevent HIV during the reporting period</t>
  </si>
  <si>
    <t>HIV Testing Register</t>
  </si>
  <si>
    <t>mWRD (molecular WHO-recommended rapid diagnostic testing) e.g., Gene Xpert/ TB LAM, Truenat MTB</t>
  </si>
  <si>
    <t>A count of test kits distributed to parents or caregivers of children ≥2 years of age with an unknown HIV status for use in testing the children</t>
  </si>
  <si>
    <t>Total Patients Starting ART with  CD4 Status</t>
  </si>
  <si>
    <t>This is a count of individuals starting HAART treatment (TX_NEW) disaggregated by the age and sex with CD4 Count status within the reporting month . This includes patients</t>
  </si>
  <si>
    <t>Starting ART by CD4 status</t>
  </si>
  <si>
    <t>This is a count of individuals starting HAART treatment (TX_NEW) done for CD4 but with Unknown CD4 results or without undocumented CD4 results</t>
  </si>
  <si>
    <r>
      <t xml:space="preserve">No. of patients whose specimens were sent for </t>
    </r>
    <r>
      <rPr>
        <b/>
        <sz val="20"/>
        <color theme="1"/>
        <rFont val="Calibri"/>
        <family val="2"/>
        <scheme val="minor"/>
      </rPr>
      <t>Smear Microscopy Only</t>
    </r>
  </si>
  <si>
    <r>
      <t xml:space="preserve">No. of patients whose specimens were sent for </t>
    </r>
    <r>
      <rPr>
        <b/>
        <sz val="20"/>
        <color theme="1"/>
        <rFont val="Calibri"/>
        <family val="2"/>
        <scheme val="minor"/>
      </rPr>
      <t>mWRD (molecular WHO-recommended rapid diagnostic testing) e.g., Gene Xpert/ TB LAM, Truenat MTB</t>
    </r>
  </si>
  <si>
    <r>
      <t xml:space="preserve">No. of patients whose specimens were sent for </t>
    </r>
    <r>
      <rPr>
        <b/>
        <sz val="20"/>
        <color theme="1"/>
        <rFont val="Calibri"/>
        <family val="2"/>
        <scheme val="minor"/>
      </rPr>
      <t>Additional test other than mWRD</t>
    </r>
  </si>
  <si>
    <t>This is a count of PLHIV who screened TB postive whose specimes were sent for mWRD (molecular WHO-recommended rapid diagnostic testing) e.g., Gene Xpert/ TB LAM, Truenat MTB</t>
  </si>
  <si>
    <t>This is a count of PLHIV who screened TB postive whose specimes were sent for Additional test other than mWRD</t>
  </si>
  <si>
    <r>
      <t>No. of patients done for other (a</t>
    </r>
    <r>
      <rPr>
        <b/>
        <sz val="20"/>
        <color theme="1"/>
        <rFont val="Calibri"/>
        <family val="2"/>
        <scheme val="minor"/>
      </rPr>
      <t>dditional) test other than mWRD (e.g CXR)</t>
    </r>
  </si>
  <si>
    <t>Total number of patients done for TB investigative work up</t>
  </si>
  <si>
    <t>F03-131</t>
  </si>
  <si>
    <t>F03-011</t>
  </si>
  <si>
    <t>F05-041</t>
  </si>
  <si>
    <t>F05-081</t>
  </si>
  <si>
    <t>SGBV Survivors presenting within 120 hours</t>
  </si>
  <si>
    <t>Unassisted : Caregiver for child</t>
  </si>
  <si>
    <t>F01-091</t>
  </si>
  <si>
    <t>F01-061</t>
  </si>
  <si>
    <t>F01-253</t>
  </si>
  <si>
    <t>F01-254</t>
  </si>
  <si>
    <t xml:space="preserve">3.1  IPT  Initiation and Outcomes </t>
  </si>
  <si>
    <t xml:space="preserve">SGBV Survivors presenting within 72 hours </t>
  </si>
  <si>
    <t>F07-025</t>
  </si>
  <si>
    <t>F07-026</t>
  </si>
  <si>
    <t>Number Starting on ART Eligible for IPT/TPT Initiation</t>
  </si>
  <si>
    <t>Starting ART  initiation into IPT/TPT</t>
  </si>
  <si>
    <t>Current On ART IPT/ TPT Initiation</t>
  </si>
  <si>
    <t>Number Current on ART Eligible for TPT/IPT Initiation</t>
  </si>
  <si>
    <t>Number Current on ART Ever on initiated on TPT/IPT</t>
  </si>
  <si>
    <t>F07-181</t>
  </si>
  <si>
    <t>F07-182</t>
  </si>
  <si>
    <t>Started on IPT or TPT (Auto calculated From IPT and TPT session)</t>
  </si>
  <si>
    <t>Clients newly initiated on ART in the previous months [TX_NEW for previous months (within 3 months) exclusive of the current month] who started on IPT this month</t>
  </si>
  <si>
    <r>
      <rPr>
        <b/>
        <sz val="20"/>
        <color theme="1"/>
        <rFont val="Calibri"/>
        <family val="2"/>
        <scheme val="minor"/>
      </rPr>
      <t>Clients Newly initiated on ART</t>
    </r>
    <r>
      <rPr>
        <sz val="20"/>
        <color theme="1"/>
        <rFont val="Calibri"/>
        <family val="2"/>
        <scheme val="minor"/>
      </rPr>
      <t xml:space="preserve"> Initiated on IPT this month</t>
    </r>
  </si>
  <si>
    <t>3.1.1 TB_PREV (section 1)</t>
  </si>
  <si>
    <t>3.2.1 TB_PREV ( section 2)</t>
  </si>
  <si>
    <r>
      <t>Tested HIV positive at 1</t>
    </r>
    <r>
      <rPr>
        <vertAlign val="superscript"/>
        <sz val="20"/>
        <color theme="1"/>
        <rFont val="Calibri"/>
        <family val="2"/>
        <scheme val="minor"/>
      </rPr>
      <t>st</t>
    </r>
    <r>
      <rPr>
        <sz val="20"/>
        <color theme="1"/>
        <rFont val="Calibri"/>
        <family val="2"/>
        <scheme val="minor"/>
      </rPr>
      <t xml:space="preserve"> visit</t>
    </r>
  </si>
  <si>
    <t>Patients newly initiated on ART Initiated on other forms of TPT (Rifampcin &amp; Rifapentine) this month</t>
  </si>
  <si>
    <t>Clients newly initiated on ART in the previous months [TX_NEW for previous months (within 3 months) exclusive of the current month] who started on TPT this month</t>
  </si>
  <si>
    <t>3.2.1  TB_PREV</t>
  </si>
  <si>
    <t>Patients newly initiated on ART Initiated on other forms of IPT (Rifampcin &amp; Rifapentine) this month</t>
  </si>
  <si>
    <r>
      <rPr>
        <b/>
        <sz val="20"/>
        <color theme="1"/>
        <rFont val="Calibri"/>
        <family val="2"/>
        <scheme val="minor"/>
      </rPr>
      <t>Patients newly initiated on ART</t>
    </r>
    <r>
      <rPr>
        <sz val="20"/>
        <color theme="1"/>
        <rFont val="Calibri"/>
        <family val="2"/>
        <scheme val="minor"/>
      </rPr>
      <t xml:space="preserve"> Initiated on other forms of TPT (Rifampcin &amp; Rifapentine) this month</t>
    </r>
  </si>
  <si>
    <r>
      <t>Clients newly initiated on ART in the previous months [</t>
    </r>
    <r>
      <rPr>
        <i/>
        <sz val="20"/>
        <color theme="1"/>
        <rFont val="Calibri"/>
        <family val="2"/>
        <scheme val="minor"/>
      </rPr>
      <t>TX_NEW for previous months (within 3 months) exclusive of the current month] who started on TPT this month</t>
    </r>
  </si>
  <si>
    <t>Negative Initiated on Prep</t>
  </si>
  <si>
    <t>Form 1A  version 9.0.3</t>
  </si>
  <si>
    <t>F05-061</t>
  </si>
  <si>
    <t>Screened positive for STI</t>
  </si>
  <si>
    <t>Tested positive for STI</t>
  </si>
  <si>
    <r>
      <t>Prep Screening and Eligibility for</t>
    </r>
    <r>
      <rPr>
        <b/>
        <sz val="20"/>
        <color theme="4"/>
        <rFont val="Calibri"/>
        <family val="2"/>
        <scheme val="minor"/>
      </rPr>
      <t xml:space="preserve"> Pregnant and Breastfeeding Women</t>
    </r>
  </si>
  <si>
    <r>
      <rPr>
        <b/>
        <sz val="20"/>
        <color theme="4"/>
        <rFont val="Calibri"/>
        <family val="2"/>
        <scheme val="minor"/>
      </rPr>
      <t>PBFW</t>
    </r>
    <r>
      <rPr>
        <sz val="20"/>
        <color theme="1"/>
        <rFont val="Calibri"/>
        <family val="2"/>
        <scheme val="minor"/>
      </rPr>
      <t xml:space="preserve"> Assessed for HIV risk</t>
    </r>
  </si>
  <si>
    <r>
      <rPr>
        <b/>
        <sz val="20"/>
        <color theme="4"/>
        <rFont val="Calibri"/>
        <family val="2"/>
        <scheme val="minor"/>
      </rPr>
      <t>PBFW</t>
    </r>
    <r>
      <rPr>
        <sz val="20"/>
        <color theme="1"/>
        <rFont val="Calibri"/>
        <family val="2"/>
        <scheme val="minor"/>
      </rPr>
      <t xml:space="preserve"> Clients HIV tested for PrEP initiation</t>
    </r>
  </si>
  <si>
    <r>
      <rPr>
        <sz val="20"/>
        <color theme="4"/>
        <rFont val="Calibri"/>
        <family val="2"/>
        <scheme val="minor"/>
      </rPr>
      <t xml:space="preserve">PBFW </t>
    </r>
    <r>
      <rPr>
        <sz val="20"/>
        <color theme="1"/>
        <rFont val="Calibri"/>
        <family val="2"/>
        <scheme val="minor"/>
      </rPr>
      <t>Clients screened for Prep initiation testing positive</t>
    </r>
  </si>
  <si>
    <r>
      <rPr>
        <b/>
        <sz val="20"/>
        <color theme="4"/>
        <rFont val="Calibri"/>
        <family val="2"/>
        <scheme val="minor"/>
      </rPr>
      <t>PBFW</t>
    </r>
    <r>
      <rPr>
        <sz val="20"/>
        <color theme="1"/>
        <rFont val="Calibri"/>
        <family val="2"/>
        <scheme val="minor"/>
      </rPr>
      <t xml:space="preserve"> Eligible for PrEP</t>
    </r>
  </si>
  <si>
    <t>Prep Initiation by Type (PBFW)</t>
  </si>
  <si>
    <r>
      <t xml:space="preserve">PREP_CT </t>
    </r>
    <r>
      <rPr>
        <b/>
        <sz val="20"/>
        <color theme="4"/>
        <rFont val="Calibri"/>
        <family val="2"/>
        <scheme val="minor"/>
      </rPr>
      <t>for Pregnant and Breastfeeding Women (PBFW)</t>
    </r>
  </si>
  <si>
    <r>
      <rPr>
        <b/>
        <sz val="20"/>
        <color theme="4"/>
        <rFont val="Calibri"/>
        <family val="2"/>
        <scheme val="minor"/>
      </rPr>
      <t xml:space="preserve">PBFW </t>
    </r>
    <r>
      <rPr>
        <sz val="20"/>
        <color theme="1"/>
        <rFont val="Calibri"/>
        <family val="2"/>
        <scheme val="minor"/>
      </rPr>
      <t xml:space="preserve">Clients that return for a followup visit or re-initiation to receive Prep during the quarter ( </t>
    </r>
    <r>
      <rPr>
        <b/>
        <sz val="20"/>
        <color theme="1"/>
        <rFont val="Calibri"/>
        <family val="2"/>
        <scheme val="minor"/>
      </rPr>
      <t>excluding those newly enrolled on prep within the quarter</t>
    </r>
    <r>
      <rPr>
        <sz val="20"/>
        <color theme="1"/>
        <rFont val="Calibri"/>
        <family val="2"/>
        <scheme val="minor"/>
      </rPr>
      <t xml:space="preserve"> )</t>
    </r>
    <r>
      <rPr>
        <sz val="20"/>
        <color rgb="FFFF0000"/>
        <rFont val="Calibri"/>
        <family val="2"/>
        <scheme val="minor"/>
      </rPr>
      <t xml:space="preserve">
Note: a client cannot be reported on both prep_new and prep_ct within the same quarter</t>
    </r>
  </si>
  <si>
    <r>
      <t>PREP_CT</t>
    </r>
    <r>
      <rPr>
        <sz val="20"/>
        <color theme="4"/>
        <rFont val="Calibri"/>
        <family val="2"/>
        <scheme val="minor"/>
      </rPr>
      <t xml:space="preserve"> Pregnant or Breastfeeding</t>
    </r>
  </si>
  <si>
    <r>
      <t>Prep_CT by Distribution Type (</t>
    </r>
    <r>
      <rPr>
        <sz val="20"/>
        <color theme="4"/>
        <rFont val="Calibri"/>
        <family val="2"/>
        <scheme val="minor"/>
      </rPr>
      <t>PBFW Only</t>
    </r>
    <r>
      <rPr>
        <sz val="20"/>
        <color theme="1"/>
        <rFont val="Calibri"/>
        <family val="2"/>
        <scheme val="minor"/>
      </rPr>
      <t xml:space="preserve"> )</t>
    </r>
  </si>
  <si>
    <r>
      <t>Prep_CT by Type</t>
    </r>
    <r>
      <rPr>
        <sz val="20"/>
        <color theme="4"/>
        <rFont val="Calibri"/>
        <family val="2"/>
        <scheme val="minor"/>
      </rPr>
      <t xml:space="preserve"> (PBFW Only)</t>
    </r>
  </si>
  <si>
    <r>
      <t xml:space="preserve">Prep_CT test result </t>
    </r>
    <r>
      <rPr>
        <sz val="20"/>
        <color theme="4"/>
        <rFont val="Calibri"/>
        <family val="2"/>
        <scheme val="minor"/>
      </rPr>
      <t>(PBFW Only )</t>
    </r>
  </si>
  <si>
    <t>PBFW Tested for HIV while on PrEP_CT</t>
  </si>
  <si>
    <t>PBFW Tested HIV Positive while on PrEP_CT</t>
  </si>
  <si>
    <t>This is a count of Pregnant and Breastfeeding clients who were newly initiated on Prep through facility-based delivery mechanisms.</t>
  </si>
  <si>
    <t>This is a count of  Pregnant and Breastfeeding  clients who were newly initiated on Prep through a community or other non-traditional setting (still associated with a facility) delivery mechanisms.</t>
  </si>
  <si>
    <t>Refers to the number of  Pregnant and Breastfeeding clients starting PrEP for the first time (outside of any clinical trial participation) through oral prep.</t>
  </si>
  <si>
    <t>PREP_CT for Pregnant and Breastfeeding Women</t>
  </si>
  <si>
    <t>Prep_CT test result for Pregnant and Breastfeeding Women</t>
  </si>
  <si>
    <t>Prep_CT for Pregnant and Breastfeeding women by Distribution Type</t>
  </si>
  <si>
    <t>Prep_CT for Pregnant and Breastfeeding women  by Type</t>
  </si>
  <si>
    <t>Prep Initiation  for Pregnant and Breastfeeding women by Type</t>
  </si>
  <si>
    <t>Refers to the number of returning prep Pregnant and Breastfeeding women  who received oral-based prep regimen</t>
  </si>
  <si>
    <t>Refers to the number of returning prep Pregnant and Breastfeeding women  who received long-acting Prep injection including the initial first or second injection for indivinduals new to long acting-Injectible Prep Regimen prep regimen</t>
  </si>
  <si>
    <t>Refers to the number of returning Prep refill/restart Pregnant and Breastfeeding women  who received other non Oral and Injectable prep regimens to prevent them from HIV exposure</t>
  </si>
  <si>
    <t>This is a count of returning Prep  Pregnant and Breastfeeding women  who received Prep-Refills through a community or other non-traditional setting (still associated with a facility) delivery mechanisms.</t>
  </si>
  <si>
    <t>This is a count of returning prep Pregnant and Breastfeeding women  who received Prep refills through facility-based delivery</t>
  </si>
  <si>
    <t>This is a count of returning prep  Pregnant and Breastfeeding women  who received an HIV Positive testing result</t>
  </si>
  <si>
    <t>This is a count of returning prep Pregnant and Breastfeeding women  who received an HIV testing result</t>
  </si>
  <si>
    <t>Refers to the number of  Pregnant and Breastfeeding clients  starting PrEP for the first time (outside of any clinical trial participation) through Injectable prep. An individual should be counted under ‘Injectable’ for PrEP Type after they have received the first initiation injection dose for PrEP_NEW only if they have never been on any other PrEP regimen prior to initiating injectable PrEP</t>
  </si>
  <si>
    <t>This is the count of Pregnant and Breastfeeding women by age and sex  who have been initiated on pre-exposure prophylaxis during the reporting period after meeting eligibility criteria for PrEP</t>
  </si>
  <si>
    <t>This is a count of  Pregnant and Breastfeeding women  by age and sex that were assesssed for HIV risk using the HIV screening and elligibility tool before a HIV test is performed</t>
  </si>
  <si>
    <t>This is a count of Pregnant and Breastfeeding women   who were tested for HIV before initiation to PrEP</t>
  </si>
  <si>
    <t>This is a count of all Pregnant and Breastfeeding women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</si>
  <si>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r>
      <t xml:space="preserve">PBFW Assessed for HIV risk             </t>
    </r>
    <r>
      <rPr>
        <b/>
        <sz val="22"/>
        <color theme="1"/>
        <rFont val="Calibri"/>
        <family val="2"/>
        <scheme val="minor"/>
      </rPr>
      <t xml:space="preserve">   </t>
    </r>
  </si>
  <si>
    <t>PBFW Clients tested for HIV before PrEP initiation</t>
  </si>
  <si>
    <t xml:space="preserve">PBFW Clients testing Positive </t>
  </si>
  <si>
    <r>
      <t xml:space="preserve">PBFW Clients eligible for PrEP                     </t>
    </r>
    <r>
      <rPr>
        <b/>
        <sz val="22"/>
        <color theme="1"/>
        <rFont val="Calibri"/>
        <family val="2"/>
        <scheme val="minor"/>
      </rPr>
      <t xml:space="preserve">  </t>
    </r>
  </si>
  <si>
    <t xml:space="preserve">Prep Screening and Eligibility for Pregnant and Breastfeeding women  </t>
  </si>
  <si>
    <t>Prep New (PBFW)</t>
  </si>
  <si>
    <r>
      <rPr>
        <sz val="22"/>
        <color theme="0" tint="-0.34998626667073579"/>
        <rFont val="Calibri"/>
        <family val="2"/>
        <scheme val="minor"/>
      </rPr>
      <t>HTS_RECENT-</t>
    </r>
    <r>
      <rPr>
        <sz val="22"/>
        <color theme="1"/>
        <rFont val="Calibri"/>
        <family val="2"/>
        <scheme val="minor"/>
      </rPr>
      <t xml:space="preserve"> 
</t>
    </r>
    <r>
      <rPr>
        <b/>
        <sz val="22"/>
        <color theme="1"/>
        <rFont val="Calibri"/>
        <family val="2"/>
        <scheme val="minor"/>
      </rPr>
      <t>Index Testing</t>
    </r>
  </si>
  <si>
    <r>
      <rPr>
        <sz val="22"/>
        <color theme="0" tint="-0.34998626667073579"/>
        <rFont val="Calibri"/>
        <family val="2"/>
        <scheme val="minor"/>
      </rPr>
      <t>HTS_RECENT -</t>
    </r>
    <r>
      <rPr>
        <b/>
        <sz val="22"/>
        <color theme="1"/>
        <rFont val="Calibri"/>
        <family val="2"/>
        <scheme val="minor"/>
      </rPr>
      <t>Emergency Ward</t>
    </r>
  </si>
  <si>
    <r>
      <rPr>
        <sz val="22"/>
        <color theme="0" tint="-0.34998626667073579"/>
        <rFont val="Calibri"/>
        <family val="2"/>
        <scheme val="minor"/>
      </rPr>
      <t>HTS_RECENT -</t>
    </r>
    <r>
      <rPr>
        <b/>
        <sz val="22"/>
        <color theme="1"/>
        <rFont val="Calibri"/>
        <family val="2"/>
        <scheme val="minor"/>
      </rPr>
      <t>Inpatient Services</t>
    </r>
  </si>
  <si>
    <r>
      <rPr>
        <sz val="22"/>
        <color theme="0" tint="-0.34998626667073579"/>
        <rFont val="Calibri"/>
        <family val="2"/>
        <scheme val="minor"/>
      </rPr>
      <t>HTS_RECENT -</t>
    </r>
    <r>
      <rPr>
        <sz val="22"/>
        <color theme="1"/>
        <rFont val="Calibri"/>
        <family val="2"/>
        <scheme val="minor"/>
      </rPr>
      <t xml:space="preserve">
</t>
    </r>
    <r>
      <rPr>
        <b/>
        <sz val="22"/>
        <color theme="1"/>
        <rFont val="Calibri"/>
        <family val="2"/>
        <scheme val="minor"/>
      </rPr>
      <t>PMTCT (ANC1 Only)</t>
    </r>
  </si>
  <si>
    <r>
      <rPr>
        <sz val="22"/>
        <color theme="0" tint="-0.34998626667073579"/>
        <rFont val="Calibri"/>
        <family val="2"/>
        <scheme val="minor"/>
      </rPr>
      <t>HTS_RECENT -</t>
    </r>
    <r>
      <rPr>
        <sz val="22"/>
        <color theme="1"/>
        <rFont val="Calibri"/>
        <family val="2"/>
        <scheme val="minor"/>
      </rPr>
      <t xml:space="preserve">
</t>
    </r>
    <r>
      <rPr>
        <b/>
        <sz val="22"/>
        <color theme="1"/>
        <rFont val="Calibri"/>
        <family val="2"/>
        <scheme val="minor"/>
      </rPr>
      <t>PMTCT (Post ANC1)</t>
    </r>
  </si>
  <si>
    <r>
      <rPr>
        <sz val="22"/>
        <color theme="0" tint="-0.34998626667073579"/>
        <rFont val="Calibri"/>
        <family val="2"/>
        <scheme val="minor"/>
      </rPr>
      <t>HTS_RECENT -</t>
    </r>
    <r>
      <rPr>
        <sz val="22"/>
        <color theme="1"/>
        <rFont val="Calibri"/>
        <family val="2"/>
        <scheme val="minor"/>
      </rPr>
      <t xml:space="preserve">
</t>
    </r>
    <r>
      <rPr>
        <b/>
        <sz val="22"/>
        <color theme="1"/>
        <rFont val="Calibri"/>
        <family val="2"/>
        <scheme val="minor"/>
      </rPr>
      <t>STI Clinic</t>
    </r>
  </si>
  <si>
    <r>
      <rPr>
        <sz val="22"/>
        <color theme="0" tint="-0.34998626667073579"/>
        <rFont val="Calibri"/>
        <family val="2"/>
        <scheme val="minor"/>
      </rPr>
      <t>HTS_RECENT -</t>
    </r>
    <r>
      <rPr>
        <sz val="22"/>
        <color theme="1"/>
        <rFont val="Calibri"/>
        <family val="2"/>
        <scheme val="minor"/>
      </rPr>
      <t xml:space="preserve">
</t>
    </r>
    <r>
      <rPr>
        <b/>
        <sz val="22"/>
        <color theme="1"/>
        <rFont val="Calibri"/>
        <family val="2"/>
        <scheme val="minor"/>
      </rPr>
      <t>TB Clinics</t>
    </r>
  </si>
  <si>
    <r>
      <rPr>
        <sz val="22"/>
        <color theme="0" tint="-0.34998626667073579"/>
        <rFont val="Calibri"/>
        <family val="2"/>
        <scheme val="minor"/>
      </rPr>
      <t>HTS_RECENT -</t>
    </r>
    <r>
      <rPr>
        <sz val="22"/>
        <color theme="1"/>
        <rFont val="Calibri"/>
        <family val="2"/>
        <scheme val="minor"/>
      </rPr>
      <t xml:space="preserve">
</t>
    </r>
    <r>
      <rPr>
        <b/>
        <sz val="22"/>
        <color theme="1"/>
        <rFont val="Calibri"/>
        <family val="2"/>
        <scheme val="minor"/>
      </rPr>
      <t>VCT</t>
    </r>
  </si>
  <si>
    <r>
      <rPr>
        <sz val="22"/>
        <color theme="0" tint="-0.34998626667073579"/>
        <rFont val="Calibri"/>
        <family val="2"/>
        <scheme val="minor"/>
      </rPr>
      <t>HTS_RECENT -</t>
    </r>
    <r>
      <rPr>
        <sz val="22"/>
        <color theme="1"/>
        <rFont val="Calibri"/>
        <family val="2"/>
        <scheme val="minor"/>
      </rPr>
      <t xml:space="preserve">
</t>
    </r>
    <r>
      <rPr>
        <b/>
        <sz val="22"/>
        <color theme="1"/>
        <rFont val="Calibri"/>
        <family val="2"/>
        <scheme val="minor"/>
      </rPr>
      <t>Other PITC</t>
    </r>
  </si>
  <si>
    <r>
      <rPr>
        <sz val="22"/>
        <color theme="0" tint="-0.34998626667073579"/>
        <rFont val="Calibri"/>
        <family val="2"/>
        <scheme val="minor"/>
      </rPr>
      <t>HTS_RECENT -</t>
    </r>
    <r>
      <rPr>
        <sz val="22"/>
        <color theme="1"/>
        <rFont val="Calibri"/>
        <family val="2"/>
        <scheme val="minor"/>
      </rPr>
      <t xml:space="preserve">
</t>
    </r>
    <r>
      <rPr>
        <b/>
        <sz val="22"/>
        <color theme="1"/>
        <rFont val="Calibri"/>
        <family val="2"/>
        <scheme val="minor"/>
      </rPr>
      <t>Social Network Strategy (SNS)</t>
    </r>
  </si>
  <si>
    <r>
      <t xml:space="preserve">PBFW Clients that return for a followup visit or re-initiation to receive Prep ( </t>
    </r>
    <r>
      <rPr>
        <b/>
        <sz val="22"/>
        <color theme="1"/>
        <rFont val="Calibri"/>
        <family val="2"/>
        <scheme val="minor"/>
      </rPr>
      <t>excluding those newly enrolled</t>
    </r>
    <r>
      <rPr>
        <sz val="22"/>
        <color theme="1"/>
        <rFont val="Calibri"/>
        <family val="2"/>
        <scheme val="minor"/>
      </rPr>
      <t xml:space="preserve"> )</t>
    </r>
  </si>
  <si>
    <r>
      <t>New on ART (TPT)</t>
    </r>
    <r>
      <rPr>
        <b/>
        <sz val="22"/>
        <color theme="1"/>
        <rFont val="Calibri"/>
        <family val="2"/>
        <scheme val="minor"/>
      </rPr>
      <t xml:space="preserve"> </t>
    </r>
  </si>
  <si>
    <r>
      <rPr>
        <sz val="22"/>
        <color rgb="FFFF0000"/>
        <rFont val="Calibri"/>
        <family val="2"/>
        <scheme val="minor"/>
      </rPr>
      <t>Initial Test</t>
    </r>
    <r>
      <rPr>
        <sz val="22"/>
        <color theme="1"/>
        <rFont val="Calibri"/>
        <family val="2"/>
        <scheme val="minor"/>
      </rPr>
      <t xml:space="preserve"> at PNC &gt; 6 weeks to 6 months</t>
    </r>
  </si>
  <si>
    <r>
      <t xml:space="preserve">No. of patients whose specimens were sent for </t>
    </r>
    <r>
      <rPr>
        <b/>
        <sz val="22"/>
        <color theme="1"/>
        <rFont val="Calibri"/>
        <family val="2"/>
        <scheme val="minor"/>
      </rPr>
      <t>Smear Microscopy Only</t>
    </r>
  </si>
  <si>
    <r>
      <t xml:space="preserve">No. of patients whose specimens were sent for </t>
    </r>
    <r>
      <rPr>
        <b/>
        <sz val="22"/>
        <color theme="1"/>
        <rFont val="Calibri"/>
        <family val="2"/>
        <scheme val="minor"/>
      </rPr>
      <t>mWRD (molecular WHO-recommended rapid diagnostic testing) e.g., Gene Xpert/ TB LAM, Truenat MTB</t>
    </r>
  </si>
  <si>
    <r>
      <t xml:space="preserve">No. of patients whose specimens were sent for </t>
    </r>
    <r>
      <rPr>
        <b/>
        <sz val="22"/>
        <color theme="1"/>
        <rFont val="Calibri"/>
        <family val="2"/>
        <scheme val="minor"/>
      </rPr>
      <t>Additional test other than mWRD</t>
    </r>
  </si>
  <si>
    <t>Form 1A Limited Waiver Version 9.0.3</t>
  </si>
  <si>
    <t>This is the count of contacts provided by te index clients who received a recent HIV test and they are not eligible for a HIV test.</t>
  </si>
  <si>
    <t>This is a count of contacts that were not contacted and tested due to reported adverse events risk</t>
  </si>
  <si>
    <t>Social Contacts elicited</t>
  </si>
  <si>
    <t xml:space="preserve">This is the count of social contacts elicited by seeds/recruiters who accepted SNS services. The Recruiters can be HIV positive ornegative clients </t>
  </si>
  <si>
    <t>This is the count of social contacts elicited who were eligible and they were tested for HIV.</t>
  </si>
  <si>
    <t>This is the count of social contacts who tested HIV positive durning the reporting period</t>
  </si>
  <si>
    <t>This is the count of HIV Self tests that were used for HIV testing under supervision of a trained provider or peers giving individuals an in-person demonstration before or during HIVST of how to perform the test and interpret the test result (WHO, 2016).</t>
  </si>
  <si>
    <t>This is the count of HIVST refers to when individuals self-test for HIV and only use an HIVST kit with manufacturer provided instructions for use.</t>
  </si>
  <si>
    <t>This is a a total count of clients who received HIV self-test at the facility in presence of the trained provider and results available. This is a subset of F01-30 above</t>
  </si>
  <si>
    <t>This is a count of clients who received a HIV self-test and received a HIV positive result at the facility. it is a subset of F01-30 above</t>
  </si>
  <si>
    <t>Testing Results - Unassisted</t>
  </si>
  <si>
    <t>This is a a total count of clients who received HIV self-test and returned their HIV tests results at the facility. This is a subset of F01-31 above</t>
  </si>
  <si>
    <t>This is a count of clients who received a HIV self-test and returned HIV positive results at the facility.  This is a subset of F01-31 above</t>
  </si>
  <si>
    <t xml:space="preserve">A count of PLHIV newly initiated on ART   who were started any course of IPT during the reporting period </t>
  </si>
  <si>
    <t xml:space="preserve">A count of PLHIV newly initiated on ART in the previous 3 months  who were started any course of IPT during the reporting period </t>
  </si>
  <si>
    <t>TPT register, colm  "S", "T"</t>
  </si>
  <si>
    <t>A count of PLHIV newly enrolled in HIV clinical care who start TPT and receive at least one dose six months ago when newly starting ART while they were previously receiving ART</t>
  </si>
  <si>
    <t>This is a count of the current patients on ART  who were started any course of TPT during the reporting period prior to the one being reported</t>
  </si>
  <si>
    <t>A count of PLHIV newly enrolled in HIV clinical care who completed TPT treatment from those that started and were newly starting ART</t>
  </si>
  <si>
    <t>A count of PLHIV already on ART HIV clinical care who start and complete TPT when newly starting ART while they were previously receiving ART</t>
  </si>
  <si>
    <t>A count of PLHIV already on ART HIV clinical care who start TPT and receive at least one dose six months ago when newly starting ART while they were previously receiving ART</t>
  </si>
  <si>
    <t xml:space="preserve">This is the count of rape/defilement survivors who came within 72 hours </t>
  </si>
  <si>
    <t>This is count of rape survivors who came to the facility within 120 hours (females only)</t>
  </si>
  <si>
    <t>This is a count of rape survivors that were elligible for a dose of emergency contraception pill. Count all clients with "Y" or "N" documentation (Females only)</t>
  </si>
  <si>
    <t>This is a count of rape survivors that were screened for STI during the reporting period</t>
  </si>
  <si>
    <t>This is a count of rape survivors that were tested for STI during the reporting period.</t>
  </si>
  <si>
    <t>This is count of rape surviviors who were diagnosed with STI during the reporting period.</t>
  </si>
  <si>
    <t>This is a count of rape survivors that tested positive for STI and were treated during the reporting period.</t>
  </si>
  <si>
    <t xml:space="preserve">This is a count of all women who were retested for HIV between 6 weeks to 6 months postnatal and received a positive result </t>
  </si>
  <si>
    <t>This is a count of all women who were retested for HIV between 6 weeks to 6 months postnatal</t>
  </si>
  <si>
    <t>This is an Autocalculated section of the PMTCT_STAT_POS who where alreadyo ART and Newly initiated on ART (MTCT_ART)</t>
  </si>
  <si>
    <t>CD4 Register/EMR</t>
  </si>
  <si>
    <t>This is a count of individuals Starting on ART who are eligible for IPT/TPT</t>
  </si>
  <si>
    <t>TPT register, colm  "S", "T"/ EMR</t>
  </si>
  <si>
    <t>This is an autocalculated section of the individulas starting on ART who were eligible and initiated on IPT/TPT</t>
  </si>
  <si>
    <t>This is a count of patients who have been given 2 prescriptions to last them for 6 months</t>
  </si>
  <si>
    <t>This is a count of individuals currently on ART who have ever Eligible for IPT/TPT Initiation</t>
  </si>
  <si>
    <t>EMR/ VLMIS</t>
  </si>
  <si>
    <t>This is a count of individuals currently on ART who have ever Eligible and initated on IPT/TPT Initiation</t>
  </si>
  <si>
    <t>This is an Autocalculated section of the Clients Already or Newly initiated on ART who sceened positove for TB in the reporting period</t>
  </si>
  <si>
    <t>This is a count of all HIV infected persons currently on ART who were screened for TB the last time they were seen at the clinic during a scheduled visit within the reporting period.</t>
  </si>
  <si>
    <t>This is a count of PLHIV who screened TB postive whose specimes were sent for bacteorological testing</t>
  </si>
  <si>
    <t>This is a count of clients attending OPD clinic in the reporting period</t>
  </si>
  <si>
    <t>This is a county of individuals attending OPD clinic who were screened for TB in the reporting period</t>
  </si>
  <si>
    <t>This is the count of all HIV positive individulas identified through this testing Mordality</t>
  </si>
  <si>
    <t>This is a count of all HIV positive individuals who were linked and started on ART within the same facility (UTJ supported)</t>
  </si>
  <si>
    <t>This is a count of all HIV positive individuals who were linked and started on ART in another UTJ supported facility</t>
  </si>
  <si>
    <t>This is a count of all HIV positive individuals who were linked and started on ART in another non UTJ supported facility</t>
  </si>
  <si>
    <t>This Autocalated section of the linkage within index testing mordality</t>
  </si>
  <si>
    <t>This Autocalated section of the linkage in emergency ward</t>
  </si>
  <si>
    <t>This Autocalated section of the linkage within inpatient</t>
  </si>
  <si>
    <t>This Autocalated section of the linkage in the nutrition department</t>
  </si>
  <si>
    <t>This Autocalated section of the linkage within the pediatric ward</t>
  </si>
  <si>
    <t>This Autocalated section of the linkage in the STI clinic</t>
  </si>
  <si>
    <t>This Autocalated section of the linkage in the TB clinic</t>
  </si>
  <si>
    <t>This Autocalated section of the linkage within other PITC testing mordality</t>
  </si>
  <si>
    <t>This Autocalated section of the linkage within the VCT</t>
  </si>
  <si>
    <t>This Autocalated section of the linkage within SNS testing mordality</t>
  </si>
  <si>
    <t xml:space="preserve">This Autocalated section of the linkage within 1st ANC </t>
  </si>
  <si>
    <t>This Autocalated section of the linkage within POST ANC 1 ( ANC 2 and above , L&amp;D, PNC &lt;=6 wks ) mordality</t>
  </si>
  <si>
    <t>This Autocalated section of the linkage within all testing mordality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</si>
</sst>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6" x14ac:knownFonts="1">
    <font>
      <sz val="11"/>
      <color theme="1"/>
      <name val="Calibri"/>
      <family val="2"/>
      <scheme val="minor"/>
    </font>
    <font>
      <sz val="10"/>
      <name val="Arial"/>
      <family val="2"/>
    </font>
    <font>
      <sz val="11"/>
      <color rgb="FF9C5700"/>
      <name val="Calibri"/>
      <family val="2"/>
      <scheme val="minor"/>
    </font>
    <font>
      <sz val="8"/>
      <name val="Calibri"/>
      <family val="2"/>
      <scheme val="minor"/>
    </font>
    <font>
      <sz val="26"/>
      <color theme="1"/>
      <name val="Calibri"/>
      <family val="2"/>
      <scheme val="minor"/>
    </font>
    <font>
      <sz val="18"/>
      <color theme="1"/>
      <name val="Calibri"/>
      <family val="2"/>
      <scheme val="minor"/>
    </font>
    <font>
      <u/>
      <sz val="11"/>
      <color theme="10"/>
      <name val="Calibri"/>
      <family val="2"/>
      <scheme val="minor"/>
    </font>
    <font>
      <sz val="20"/>
      <color theme="1"/>
      <name val="Calibri"/>
      <family val="2"/>
      <scheme val="minor"/>
    </font>
    <font>
      <b/>
      <sz val="20"/>
      <color theme="1"/>
      <name val="Calibri"/>
      <family val="2"/>
      <scheme val="minor"/>
    </font>
    <font>
      <b/>
      <sz val="20"/>
      <color rgb="FFFF0000"/>
      <name val="Calibri"/>
      <family val="2"/>
      <scheme val="minor"/>
    </font>
    <font>
      <sz val="20"/>
      <color theme="0"/>
      <name val="Calibri"/>
      <family val="2"/>
      <scheme val="minor"/>
    </font>
    <font>
      <b/>
      <sz val="20"/>
      <color theme="5"/>
      <name val="Calibri"/>
      <family val="2"/>
      <scheme val="minor"/>
    </font>
    <font>
      <b/>
      <sz val="18"/>
      <color theme="1"/>
      <name val="Calibri"/>
      <family val="2"/>
      <scheme val="minor"/>
    </font>
    <font>
      <b/>
      <sz val="20"/>
      <color theme="0"/>
      <name val="Calibri"/>
      <family val="2"/>
      <scheme val="minor"/>
    </font>
    <font>
      <b/>
      <sz val="20"/>
      <name val="Calibri"/>
      <family val="2"/>
      <scheme val="minor"/>
    </font>
    <font>
      <b/>
      <sz val="18"/>
      <color theme="0"/>
      <name val="Calibri"/>
      <family val="2"/>
      <scheme val="minor"/>
    </font>
    <font>
      <sz val="20"/>
      <color rgb="FFFF0000"/>
      <name val="Calibri"/>
      <family val="2"/>
      <scheme val="minor"/>
    </font>
    <font>
      <b/>
      <sz val="20"/>
      <color theme="9" tint="0.59999389629810485"/>
      <name val="Calibri"/>
      <family val="2"/>
      <scheme val="minor"/>
    </font>
    <font>
      <sz val="20"/>
      <name val="Calibri"/>
      <family val="2"/>
      <scheme val="minor"/>
    </font>
    <font>
      <sz val="20"/>
      <color theme="5"/>
      <name val="Calibri"/>
      <family val="2"/>
      <scheme val="minor"/>
    </font>
    <font>
      <sz val="20"/>
      <color theme="4"/>
      <name val="Calibri"/>
      <family val="2"/>
      <scheme val="minor"/>
    </font>
    <font>
      <i/>
      <sz val="20"/>
      <color theme="1"/>
      <name val="Calibri"/>
      <family val="2"/>
      <scheme val="minor"/>
    </font>
    <font>
      <sz val="18"/>
      <color theme="0"/>
      <name val="Calibri"/>
      <family val="2"/>
      <scheme val="minor"/>
    </font>
    <font>
      <vertAlign val="superscript"/>
      <sz val="20"/>
      <color theme="1"/>
      <name val="Calibri"/>
      <family val="2"/>
      <scheme val="minor"/>
    </font>
    <font>
      <b/>
      <i/>
      <sz val="20"/>
      <color theme="1"/>
      <name val="Calibri"/>
      <family val="2"/>
      <scheme val="minor"/>
    </font>
    <font>
      <sz val="20"/>
      <color theme="4" tint="-0.499984740745262"/>
      <name val="Calibri"/>
      <family val="2"/>
      <scheme val="minor"/>
    </font>
    <font>
      <b/>
      <sz val="18"/>
      <color theme="0" tint="-4.9989318521683403E-2"/>
      <name val="Calibri"/>
      <family val="2"/>
      <scheme val="minor"/>
    </font>
    <font>
      <sz val="20"/>
      <color theme="9" tint="0.39997558519241921"/>
      <name val="Calibri"/>
      <family val="2"/>
      <scheme val="minor"/>
    </font>
    <font>
      <b/>
      <sz val="18"/>
      <color rgb="FFFF0000"/>
      <name val="Calibri"/>
      <family val="2"/>
      <scheme val="minor"/>
    </font>
    <font>
      <b/>
      <sz val="22"/>
      <color theme="1"/>
      <name val="Calibri"/>
      <family val="2"/>
      <scheme val="minor"/>
    </font>
    <font>
      <b/>
      <sz val="36"/>
      <color theme="0"/>
      <name val="Calibri"/>
      <family val="2"/>
      <scheme val="minor"/>
    </font>
    <font>
      <sz val="36"/>
      <color theme="0"/>
      <name val="Calibri"/>
      <family val="2"/>
      <scheme val="minor"/>
    </font>
    <font>
      <sz val="36"/>
      <color theme="1"/>
      <name val="Calibri"/>
      <family val="2"/>
      <scheme val="minor"/>
    </font>
    <font>
      <b/>
      <i/>
      <sz val="26"/>
      <color theme="2" tint="-0.499984740745262"/>
      <name val="Calibri"/>
      <family val="2"/>
      <scheme val="minor"/>
    </font>
    <font>
      <b/>
      <sz val="28"/>
      <color theme="1"/>
      <name val="Calibri"/>
      <family val="2"/>
      <scheme val="minor"/>
    </font>
    <font>
      <sz val="28"/>
      <color theme="0"/>
      <name val="Calibri"/>
      <family val="2"/>
      <scheme val="minor"/>
    </font>
    <font>
      <sz val="28"/>
      <color theme="1"/>
      <name val="Calibri"/>
      <family val="2"/>
      <scheme val="minor"/>
    </font>
    <font>
      <sz val="28"/>
      <color theme="2" tint="-0.499984740745262"/>
      <name val="Calibri"/>
      <family val="2"/>
      <scheme val="minor"/>
    </font>
    <font>
      <sz val="22"/>
      <color theme="1"/>
      <name val="Calibri"/>
      <family val="2"/>
      <scheme val="minor"/>
    </font>
    <font>
      <b/>
      <sz val="24"/>
      <color theme="1"/>
      <name val="Calibri"/>
      <family val="2"/>
      <scheme val="minor"/>
    </font>
    <font>
      <sz val="20"/>
      <color theme="0" tint="-0.34998626667073579"/>
      <name val="Calibri"/>
      <family val="2"/>
      <scheme val="minor"/>
    </font>
    <font>
      <b/>
      <sz val="22"/>
      <color rgb="FFFF0000"/>
      <name val="Calibri"/>
      <family val="2"/>
      <scheme val="minor"/>
    </font>
    <font>
      <vertAlign val="superscript"/>
      <sz val="22"/>
      <color theme="1"/>
      <name val="Calibri"/>
      <family val="2"/>
      <scheme val="minor"/>
    </font>
    <font>
      <i/>
      <sz val="22"/>
      <color theme="1"/>
      <name val="Calibri"/>
      <family val="2"/>
      <scheme val="minor"/>
    </font>
    <font>
      <b/>
      <i/>
      <sz val="22"/>
      <color theme="1"/>
      <name val="Calibri"/>
      <family val="2"/>
      <scheme val="minor"/>
    </font>
    <font>
      <b/>
      <sz val="22"/>
      <name val="Calibri"/>
      <family val="2"/>
      <scheme val="minor"/>
    </font>
    <font>
      <i/>
      <sz val="20"/>
      <color theme="4"/>
      <name val="Calibri"/>
      <family val="2"/>
      <scheme val="minor"/>
    </font>
    <font>
      <b/>
      <sz val="20"/>
      <color theme="4"/>
      <name val="Calibri"/>
      <family val="2"/>
      <scheme val="minor"/>
    </font>
    <font>
      <sz val="22"/>
      <name val="Calibri"/>
      <family val="2"/>
      <scheme val="minor"/>
    </font>
    <font>
      <i/>
      <sz val="22"/>
      <color rgb="FFFF0000"/>
      <name val="Calibri"/>
      <family val="2"/>
      <scheme val="minor"/>
    </font>
    <font>
      <b/>
      <sz val="26"/>
      <color theme="1"/>
      <name val="Calibri"/>
      <family val="2"/>
      <scheme val="minor"/>
    </font>
    <font>
      <b/>
      <sz val="26"/>
      <color theme="5"/>
      <name val="Calibri"/>
      <family val="2"/>
      <scheme val="minor"/>
    </font>
    <font>
      <sz val="20"/>
      <color theme="8"/>
      <name val="Calibri"/>
      <family val="2"/>
      <scheme val="minor"/>
    </font>
    <font>
      <sz val="22"/>
      <color rgb="FFFF0000"/>
      <name val="Calibri"/>
      <family val="2"/>
      <scheme val="minor"/>
    </font>
    <font>
      <sz val="22"/>
      <color theme="0" tint="-0.34998626667073579"/>
      <name val="Calibri"/>
      <family val="2"/>
      <scheme val="minor"/>
    </font>
    <font>
      <sz val="22"/>
      <color theme="4"/>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s>
  <borders count="30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medium">
        <color theme="9"/>
      </right>
      <top style="thin">
        <color theme="2" tint="-0.249977111117893"/>
      </top>
      <bottom style="medium">
        <color theme="9"/>
      </bottom>
      <diagonal/>
    </border>
    <border>
      <left style="thin">
        <color theme="2" tint="-0.249977111117893"/>
      </left>
      <right style="thin">
        <color theme="2" tint="-0.249977111117893"/>
      </right>
      <top/>
      <bottom/>
      <diagonal/>
    </border>
    <border>
      <left style="medium">
        <color theme="9"/>
      </left>
      <right style="thin">
        <color theme="2" tint="-0.249977111117893"/>
      </right>
      <top style="medium">
        <color theme="9"/>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style="medium">
        <color theme="9"/>
      </right>
      <top style="medium">
        <color theme="9"/>
      </top>
      <bottom style="medium">
        <color theme="9"/>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thin">
        <color theme="2" tint="-0.249977111117893"/>
      </left>
      <right/>
      <top style="thin">
        <color theme="2" tint="-0.249977111117893"/>
      </top>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diagonal/>
    </border>
    <border>
      <left style="thin">
        <color theme="2" tint="-0.249977111117893"/>
      </left>
      <right style="medium">
        <color theme="9"/>
      </right>
      <top/>
      <bottom style="thin">
        <color theme="2" tint="-0.249977111117893"/>
      </bottom>
      <diagonal/>
    </border>
    <border>
      <left/>
      <right style="thin">
        <color theme="2" tint="-0.249977111117893"/>
      </right>
      <top style="thin">
        <color theme="2" tint="-0.249977111117893"/>
      </top>
      <bottom/>
      <diagonal/>
    </border>
    <border>
      <left style="thin">
        <color theme="2" tint="-0.249977111117893"/>
      </left>
      <right style="medium">
        <color theme="9"/>
      </right>
      <top style="thin">
        <color theme="2" tint="-0.249977111117893"/>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medium">
        <color theme="9"/>
      </left>
      <right/>
      <top style="thin">
        <color theme="2" tint="-0.249977111117893"/>
      </top>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thin">
        <color theme="2" tint="-0.249977111117893"/>
      </right>
      <top style="medium">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style="thin">
        <color theme="2" tint="-0.249977111117893"/>
      </top>
      <bottom style="medium">
        <color theme="9"/>
      </bottom>
      <diagonal/>
    </border>
    <border>
      <left style="medium">
        <color theme="9"/>
      </left>
      <right style="medium">
        <color theme="9"/>
      </right>
      <top/>
      <bottom style="thin">
        <color theme="9"/>
      </bottom>
      <diagonal/>
    </border>
    <border>
      <left style="thin">
        <color theme="2" tint="-0.249977111117893"/>
      </left>
      <right style="thin">
        <color theme="2" tint="-0.249977111117893"/>
      </right>
      <top style="medium">
        <color theme="9"/>
      </top>
      <bottom/>
      <diagonal/>
    </border>
    <border>
      <left/>
      <right style="medium">
        <color theme="9"/>
      </right>
      <top style="medium">
        <color theme="9"/>
      </top>
      <bottom style="thin">
        <color theme="2" tint="-0.249977111117893"/>
      </bottom>
      <diagonal/>
    </border>
    <border>
      <left/>
      <right style="medium">
        <color theme="9"/>
      </right>
      <top style="thin">
        <color theme="2" tint="-0.249977111117893"/>
      </top>
      <bottom style="thin">
        <color theme="2" tint="-0.249977111117893"/>
      </bottom>
      <diagonal/>
    </border>
    <border>
      <left/>
      <right style="medium">
        <color theme="9"/>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9"/>
      </bottom>
      <diagonal/>
    </border>
    <border>
      <left style="thin">
        <color theme="0" tint="-0.249977111117893"/>
      </left>
      <right style="thin">
        <color theme="0" tint="-0.249977111117893"/>
      </right>
      <top/>
      <bottom style="thin">
        <color theme="0" tint="-0.249977111117893"/>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style="thin">
        <color theme="2" tint="-0.249977111117893"/>
      </left>
      <right style="medium">
        <color theme="9"/>
      </right>
      <top/>
      <bottom/>
      <diagonal/>
    </border>
    <border>
      <left style="thin">
        <color theme="9"/>
      </left>
      <right style="thin">
        <color theme="9"/>
      </right>
      <top style="thin">
        <color theme="9"/>
      </top>
      <bottom style="thin">
        <color theme="9"/>
      </bottom>
      <diagonal/>
    </border>
    <border>
      <left style="thin">
        <color theme="0" tint="-0.249977111117893"/>
      </left>
      <right/>
      <top style="thin">
        <color theme="0" tint="-0.249977111117893"/>
      </top>
      <bottom style="thin">
        <color theme="0" tint="-0.249977111117893"/>
      </bottom>
      <diagonal/>
    </border>
    <border>
      <left/>
      <right style="medium">
        <color theme="9"/>
      </right>
      <top/>
      <bottom style="thin">
        <color theme="2" tint="-0.249977111117893"/>
      </bottom>
      <diagonal/>
    </border>
    <border>
      <left style="thin">
        <color theme="0" tint="-0.249977111117893"/>
      </left>
      <right style="thin">
        <color theme="0" tint="-0.249977111117893"/>
      </right>
      <top style="thin">
        <color theme="0" tint="-0.249977111117893"/>
      </top>
      <bottom style="medium">
        <color theme="9"/>
      </bottom>
      <diagonal/>
    </border>
    <border>
      <left style="medium">
        <color theme="9"/>
      </left>
      <right/>
      <top/>
      <bottom style="medium">
        <color theme="9"/>
      </bottom>
      <diagonal/>
    </border>
    <border>
      <left style="medium">
        <color theme="9"/>
      </left>
      <right style="medium">
        <color theme="9"/>
      </right>
      <top style="medium">
        <color theme="9"/>
      </top>
      <bottom style="thin">
        <color theme="2" tint="-9.9978637043366805E-2"/>
      </bottom>
      <diagonal/>
    </border>
    <border>
      <left style="medium">
        <color theme="9"/>
      </left>
      <right style="medium">
        <color theme="9"/>
      </right>
      <top style="thin">
        <color theme="2" tint="-9.9978637043366805E-2"/>
      </top>
      <bottom style="thin">
        <color theme="2" tint="-9.9978637043366805E-2"/>
      </bottom>
      <diagonal/>
    </border>
    <border>
      <left style="medium">
        <color theme="9"/>
      </left>
      <right style="medium">
        <color theme="9"/>
      </right>
      <top style="thin">
        <color theme="2" tint="-9.9978637043366805E-2"/>
      </top>
      <bottom style="medium">
        <color theme="9"/>
      </bottom>
      <diagonal/>
    </border>
    <border>
      <left style="thin">
        <color theme="0" tint="-0.249977111117893"/>
      </left>
      <right/>
      <top style="thin">
        <color theme="0" tint="-0.249977111117893"/>
      </top>
      <bottom style="medium">
        <color theme="9"/>
      </bottom>
      <diagonal/>
    </border>
    <border>
      <left style="medium">
        <color theme="9"/>
      </left>
      <right style="medium">
        <color theme="9"/>
      </right>
      <top style="thin">
        <color theme="2" tint="-9.9978637043366805E-2"/>
      </top>
      <bottom/>
      <diagonal/>
    </border>
    <border>
      <left/>
      <right style="thin">
        <color theme="6"/>
      </right>
      <top style="thin">
        <color theme="6"/>
      </top>
      <bottom style="thin">
        <color theme="6"/>
      </bottom>
      <diagonal/>
    </border>
    <border>
      <left style="thin">
        <color theme="2" tint="-0.249977111117893"/>
      </left>
      <right style="medium">
        <color theme="9"/>
      </right>
      <top/>
      <bottom style="medium">
        <color theme="9"/>
      </bottom>
      <diagonal/>
    </border>
    <border>
      <left style="thin">
        <color theme="9"/>
      </left>
      <right style="thin">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thin">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right style="thin">
        <color theme="9"/>
      </right>
      <top/>
      <bottom style="thin">
        <color theme="9"/>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right style="thin">
        <color theme="9"/>
      </right>
      <top style="medium">
        <color theme="9"/>
      </top>
      <bottom style="thin">
        <color theme="9"/>
      </bottom>
      <diagonal/>
    </border>
    <border>
      <left style="thin">
        <color theme="9"/>
      </left>
      <right style="thin">
        <color theme="9"/>
      </right>
      <top/>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medium">
        <color theme="9"/>
      </right>
      <top/>
      <bottom style="medium">
        <color theme="9"/>
      </bottom>
      <diagonal/>
    </border>
    <border>
      <left style="medium">
        <color theme="9"/>
      </left>
      <right style="thin">
        <color theme="2" tint="-9.9978637043366805E-2"/>
      </right>
      <top style="medium">
        <color theme="9"/>
      </top>
      <bottom style="thin">
        <color theme="2" tint="-9.9978637043366805E-2"/>
      </bottom>
      <diagonal/>
    </border>
    <border>
      <left style="thin">
        <color theme="2" tint="-9.9978637043366805E-2"/>
      </left>
      <right style="thin">
        <color theme="2" tint="-9.9978637043366805E-2"/>
      </right>
      <top style="medium">
        <color theme="9"/>
      </top>
      <bottom style="thin">
        <color theme="2" tint="-9.9978637043366805E-2"/>
      </bottom>
      <diagonal/>
    </border>
    <border>
      <left style="thin">
        <color theme="2" tint="-9.9978637043366805E-2"/>
      </left>
      <right style="medium">
        <color theme="9"/>
      </right>
      <top style="medium">
        <color theme="9"/>
      </top>
      <bottom style="thin">
        <color theme="2" tint="-9.9978637043366805E-2"/>
      </bottom>
      <diagonal/>
    </border>
    <border>
      <left style="medium">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medium">
        <color theme="9"/>
      </right>
      <top style="thin">
        <color theme="2" tint="-9.9978637043366805E-2"/>
      </top>
      <bottom style="thin">
        <color theme="2" tint="-9.9978637043366805E-2"/>
      </bottom>
      <diagonal/>
    </border>
    <border>
      <left style="medium">
        <color theme="9"/>
      </left>
      <right style="thin">
        <color theme="2" tint="-9.9978637043366805E-2"/>
      </right>
      <top style="thin">
        <color theme="2" tint="-9.9978637043366805E-2"/>
      </top>
      <bottom style="medium">
        <color theme="9"/>
      </bottom>
      <diagonal/>
    </border>
    <border>
      <left style="thin">
        <color theme="2" tint="-9.9978637043366805E-2"/>
      </left>
      <right style="thin">
        <color theme="2" tint="-9.9978637043366805E-2"/>
      </right>
      <top style="thin">
        <color theme="2" tint="-9.9978637043366805E-2"/>
      </top>
      <bottom style="medium">
        <color theme="9"/>
      </bottom>
      <diagonal/>
    </border>
    <border>
      <left style="thin">
        <color theme="2" tint="-9.9978637043366805E-2"/>
      </left>
      <right style="medium">
        <color theme="9"/>
      </right>
      <top style="thin">
        <color theme="2" tint="-9.9978637043366805E-2"/>
      </top>
      <bottom style="medium">
        <color theme="9"/>
      </bottom>
      <diagonal/>
    </border>
    <border>
      <left style="medium">
        <color theme="9"/>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medium">
        <color theme="9"/>
      </right>
      <top/>
      <bottom style="thin">
        <color theme="2" tint="-9.9978637043366805E-2"/>
      </bottom>
      <diagonal/>
    </border>
    <border>
      <left/>
      <right style="medium">
        <color theme="9"/>
      </right>
      <top style="medium">
        <color theme="9"/>
      </top>
      <bottom style="medium">
        <color theme="9"/>
      </bottom>
      <diagonal/>
    </border>
    <border>
      <left/>
      <right/>
      <top style="thin">
        <color theme="9"/>
      </top>
      <bottom style="thin">
        <color theme="9"/>
      </bottom>
      <diagonal/>
    </border>
    <border>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medium">
        <color theme="9"/>
      </bottom>
      <diagonal/>
    </border>
    <border>
      <left style="thin">
        <color theme="9"/>
      </left>
      <right style="thin">
        <color theme="2" tint="-9.9978637043366805E-2"/>
      </right>
      <top style="thin">
        <color theme="9"/>
      </top>
      <bottom style="thin">
        <color theme="2" tint="-9.9978637043366805E-2"/>
      </bottom>
      <diagonal/>
    </border>
    <border>
      <left style="thin">
        <color theme="2" tint="-9.9978637043366805E-2"/>
      </left>
      <right style="thin">
        <color theme="2" tint="-9.9978637043366805E-2"/>
      </right>
      <top style="thin">
        <color theme="9"/>
      </top>
      <bottom style="thin">
        <color theme="2" tint="-9.9978637043366805E-2"/>
      </bottom>
      <diagonal/>
    </border>
    <border>
      <left style="thin">
        <color theme="2" tint="-9.9978637043366805E-2"/>
      </left>
      <right style="thin">
        <color theme="9"/>
      </right>
      <top style="thin">
        <color theme="9"/>
      </top>
      <bottom style="thin">
        <color theme="2" tint="-9.9978637043366805E-2"/>
      </bottom>
      <diagonal/>
    </border>
    <border>
      <left style="thin">
        <color theme="9"/>
      </left>
      <right style="thin">
        <color theme="2" tint="-9.9978637043366805E-2"/>
      </right>
      <top/>
      <bottom style="thin">
        <color theme="2" tint="-9.9978637043366805E-2"/>
      </bottom>
      <diagonal/>
    </border>
    <border>
      <left style="thin">
        <color theme="2" tint="-9.9978637043366805E-2"/>
      </left>
      <right style="thin">
        <color theme="9"/>
      </right>
      <top/>
      <bottom style="thin">
        <color theme="2" tint="-9.9978637043366805E-2"/>
      </bottom>
      <diagonal/>
    </border>
    <border>
      <left style="thin">
        <color theme="9"/>
      </left>
      <right style="thin">
        <color theme="2" tint="-9.9978637043366805E-2"/>
      </right>
      <top/>
      <bottom style="thin">
        <color theme="9"/>
      </bottom>
      <diagonal/>
    </border>
    <border>
      <left style="thin">
        <color theme="2" tint="-9.9978637043366805E-2"/>
      </left>
      <right style="thin">
        <color theme="2" tint="-9.9978637043366805E-2"/>
      </right>
      <top/>
      <bottom style="thin">
        <color theme="9"/>
      </bottom>
      <diagonal/>
    </border>
    <border>
      <left style="thin">
        <color theme="2" tint="-9.9978637043366805E-2"/>
      </left>
      <right style="thin">
        <color theme="9"/>
      </right>
      <top/>
      <bottom style="thin">
        <color theme="9"/>
      </bottom>
      <diagonal/>
    </border>
    <border>
      <left style="thin">
        <color theme="2" tint="-9.9978637043366805E-2"/>
      </left>
      <right/>
      <top/>
      <bottom style="thin">
        <color theme="2" tint="-9.9978637043366805E-2"/>
      </bottom>
      <diagonal/>
    </border>
    <border>
      <left style="thin">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9"/>
      </right>
      <top style="thin">
        <color theme="2" tint="-9.9978637043366805E-2"/>
      </top>
      <bottom style="thin">
        <color theme="2" tint="-9.9978637043366805E-2"/>
      </bottom>
      <diagonal/>
    </border>
    <border>
      <left style="thin">
        <color theme="9"/>
      </left>
      <right style="thin">
        <color theme="2" tint="-9.9978637043366805E-2"/>
      </right>
      <top style="thin">
        <color theme="2" tint="-9.9978637043366805E-2"/>
      </top>
      <bottom style="thin">
        <color theme="9"/>
      </bottom>
      <diagonal/>
    </border>
    <border>
      <left style="thin">
        <color theme="2" tint="-9.9978637043366805E-2"/>
      </left>
      <right style="thin">
        <color theme="2" tint="-9.9978637043366805E-2"/>
      </right>
      <top style="thin">
        <color theme="2" tint="-9.9978637043366805E-2"/>
      </top>
      <bottom style="thin">
        <color theme="9"/>
      </bottom>
      <diagonal/>
    </border>
    <border>
      <left style="thin">
        <color theme="2" tint="-9.9978637043366805E-2"/>
      </left>
      <right style="thin">
        <color theme="9"/>
      </right>
      <top style="thin">
        <color theme="2" tint="-9.9978637043366805E-2"/>
      </top>
      <bottom style="thin">
        <color theme="9"/>
      </bottom>
      <diagonal/>
    </border>
    <border>
      <left style="medium">
        <color theme="9" tint="-0.249977111117893"/>
      </left>
      <right/>
      <top style="medium">
        <color theme="9" tint="-0.249977111117893"/>
      </top>
      <bottom/>
      <diagonal/>
    </border>
    <border>
      <left/>
      <right/>
      <top style="medium">
        <color theme="9" tint="-0.249977111117893"/>
      </top>
      <bottom/>
      <diagonal/>
    </border>
    <border>
      <left style="medium">
        <color theme="9" tint="-0.249977111117893"/>
      </left>
      <right/>
      <top/>
      <bottom style="medium">
        <color theme="9" tint="-0.249977111117893"/>
      </bottom>
      <diagonal/>
    </border>
    <border>
      <left/>
      <right/>
      <top/>
      <bottom style="medium">
        <color theme="9" tint="-0.249977111117893"/>
      </bottom>
      <diagonal/>
    </border>
    <border>
      <left style="medium">
        <color theme="9"/>
      </left>
      <right style="medium">
        <color theme="9" tint="-0.249977111117893"/>
      </right>
      <top style="medium">
        <color theme="9" tint="-0.249977111117893"/>
      </top>
      <bottom style="medium">
        <color theme="9" tint="-0.249977111117893"/>
      </bottom>
      <diagonal/>
    </border>
    <border>
      <left style="thin">
        <color theme="2" tint="-0.249977111117893"/>
      </left>
      <right/>
      <top style="medium">
        <color theme="9"/>
      </top>
      <bottom/>
      <diagonal/>
    </border>
    <border>
      <left/>
      <right style="medium">
        <color theme="9"/>
      </right>
      <top style="medium">
        <color theme="9"/>
      </top>
      <bottom/>
      <diagonal/>
    </border>
    <border>
      <left style="thin">
        <color theme="2" tint="-0.249977111117893"/>
      </left>
      <right/>
      <top style="medium">
        <color theme="9"/>
      </top>
      <bottom style="thin">
        <color theme="2" tint="-0.249977111117893"/>
      </bottom>
      <diagonal/>
    </border>
    <border>
      <left/>
      <right/>
      <top style="medium">
        <color theme="9"/>
      </top>
      <bottom/>
      <diagonal/>
    </border>
    <border>
      <left/>
      <right/>
      <top/>
      <bottom style="medium">
        <color theme="9"/>
      </bottom>
      <diagonal/>
    </border>
    <border>
      <left style="thin">
        <color theme="2" tint="-0.249977111117893"/>
      </left>
      <right style="thin">
        <color theme="2" tint="-0.249977111117893"/>
      </right>
      <top/>
      <bottom style="medium">
        <color theme="9"/>
      </bottom>
      <diagonal/>
    </border>
    <border>
      <left style="thin">
        <color theme="2" tint="-0.249977111117893"/>
      </left>
      <right style="medium">
        <color theme="9"/>
      </right>
      <top style="medium">
        <color theme="9"/>
      </top>
      <bottom/>
      <diagonal/>
    </border>
    <border>
      <left/>
      <right style="medium">
        <color theme="9"/>
      </right>
      <top style="thin">
        <color theme="2" tint="-0.249977111117893"/>
      </top>
      <bottom/>
      <diagonal/>
    </border>
    <border>
      <left style="thin">
        <color theme="9"/>
      </left>
      <right style="thin">
        <color theme="9"/>
      </right>
      <top style="thin">
        <color theme="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medium">
        <color theme="9"/>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theme="9"/>
      </bottom>
      <diagonal/>
    </border>
    <border>
      <left style="medium">
        <color theme="9"/>
      </left>
      <right style="medium">
        <color theme="9"/>
      </right>
      <top style="medium">
        <color theme="9"/>
      </top>
      <bottom style="thin">
        <color theme="0" tint="-0.249977111117893"/>
      </bottom>
      <diagonal/>
    </border>
    <border>
      <left style="medium">
        <color theme="9"/>
      </left>
      <right style="medium">
        <color theme="9"/>
      </right>
      <top style="thin">
        <color theme="0" tint="-0.249977111117893"/>
      </top>
      <bottom style="thin">
        <color theme="0" tint="-0.249977111117893"/>
      </bottom>
      <diagonal/>
    </border>
    <border>
      <left style="medium">
        <color theme="9"/>
      </left>
      <right style="medium">
        <color theme="9"/>
      </right>
      <top style="thin">
        <color theme="0" tint="-0.249977111117893"/>
      </top>
      <bottom style="medium">
        <color theme="9"/>
      </bottom>
      <diagonal/>
    </border>
    <border>
      <left style="thin">
        <color theme="0" tint="-0.34998626667073579"/>
      </left>
      <right/>
      <top style="medium">
        <color theme="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style="thin">
        <color theme="0" tint="-0.34998626667073579"/>
      </top>
      <bottom style="medium">
        <color theme="9"/>
      </bottom>
      <diagonal/>
    </border>
    <border>
      <left style="medium">
        <color theme="9"/>
      </left>
      <right style="thin">
        <color theme="0" tint="-0.249977111117893"/>
      </right>
      <top style="medium">
        <color theme="9"/>
      </top>
      <bottom style="thin">
        <color theme="0" tint="-0.249977111117893"/>
      </bottom>
      <diagonal/>
    </border>
    <border>
      <left style="medium">
        <color theme="9"/>
      </left>
      <right style="thin">
        <color theme="0" tint="-0.249977111117893"/>
      </right>
      <top style="thin">
        <color theme="0" tint="-0.249977111117893"/>
      </top>
      <bottom style="thin">
        <color theme="0" tint="-0.249977111117893"/>
      </bottom>
      <diagonal/>
    </border>
    <border>
      <left style="medium">
        <color theme="9"/>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medium">
        <color theme="9"/>
      </left>
      <right style="thin">
        <color theme="0" tint="-0.249977111117893"/>
      </right>
      <top/>
      <bottom style="thin">
        <color theme="0" tint="-0.249977111117893"/>
      </bottom>
      <diagonal/>
    </border>
    <border>
      <left style="thin">
        <color theme="0" tint="-0.14999847407452621"/>
      </left>
      <right style="thin">
        <color theme="0" tint="-0.14999847407452621"/>
      </right>
      <top style="medium">
        <color theme="9"/>
      </top>
      <bottom style="medium">
        <color theme="9"/>
      </bottom>
      <diagonal/>
    </border>
    <border>
      <left style="medium">
        <color theme="9"/>
      </left>
      <right style="medium">
        <color theme="9"/>
      </right>
      <top style="thin">
        <color theme="9"/>
      </top>
      <bottom/>
      <diagonal/>
    </border>
    <border>
      <left style="medium">
        <color theme="9"/>
      </left>
      <right style="thin">
        <color theme="2" tint="-0.249977111117893"/>
      </right>
      <top style="thin">
        <color theme="2" tint="-0.249977111117893"/>
      </top>
      <bottom/>
      <diagonal/>
    </border>
    <border>
      <left style="medium">
        <color theme="9"/>
      </left>
      <right style="thin">
        <color theme="2" tint="-0.249977111117893"/>
      </right>
      <top/>
      <bottom style="thin">
        <color theme="2" tint="-0.249977111117893"/>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medium">
        <color theme="0" tint="-0.499984740745262"/>
      </top>
      <bottom style="thin">
        <color theme="2" tint="-0.249977111117893"/>
      </bottom>
      <diagonal/>
    </border>
    <border>
      <left style="thin">
        <color theme="9"/>
      </left>
      <right style="thin">
        <color theme="9"/>
      </right>
      <top style="medium">
        <color theme="0" tint="-0.499984740745262"/>
      </top>
      <bottom style="thin">
        <color theme="9"/>
      </bottom>
      <diagonal/>
    </border>
    <border>
      <left style="medium">
        <color theme="9"/>
      </left>
      <right style="thin">
        <color theme="2" tint="-0.249977111117893"/>
      </right>
      <top/>
      <bottom style="medium">
        <color theme="9"/>
      </bottom>
      <diagonal/>
    </border>
    <border>
      <left style="thin">
        <color theme="0" tint="-0.14999847407452621"/>
      </left>
      <right style="thin">
        <color theme="0" tint="-0.14999847407452621"/>
      </right>
      <top style="medium">
        <color theme="9"/>
      </top>
      <bottom style="thin">
        <color theme="0" tint="-0.14999847407452621"/>
      </bottom>
      <diagonal/>
    </border>
    <border>
      <left style="thin">
        <color theme="0" tint="-0.14999847407452621"/>
      </left>
      <right style="medium">
        <color theme="9"/>
      </right>
      <top style="medium">
        <color theme="9"/>
      </top>
      <bottom style="thin">
        <color theme="0" tint="-0.14999847407452621"/>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medium">
        <color theme="9"/>
      </top>
      <bottom style="medium">
        <color theme="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
      <left/>
      <right style="thin">
        <color theme="2" tint="-0.249977111117893"/>
      </right>
      <top style="medium">
        <color theme="9"/>
      </top>
      <bottom/>
      <diagonal/>
    </border>
    <border>
      <left/>
      <right style="thin">
        <color theme="2" tint="-0.249977111117893"/>
      </right>
      <top/>
      <bottom style="medium">
        <color theme="9"/>
      </bottom>
      <diagonal/>
    </border>
    <border>
      <left style="thin">
        <color theme="2" tint="-0.249977111117893"/>
      </left>
      <right/>
      <top/>
      <bottom style="medium">
        <color theme="9"/>
      </bottom>
      <diagonal/>
    </border>
    <border>
      <left style="thin">
        <color theme="0" tint="-0.249977111117893"/>
      </left>
      <right style="thin">
        <color theme="0" tint="-0.249977111117893"/>
      </right>
      <top style="medium">
        <color theme="9"/>
      </top>
      <bottom style="thin">
        <color theme="0" tint="-0.249977111117893"/>
      </bottom>
      <diagonal/>
    </border>
    <border>
      <left/>
      <right style="thin">
        <color theme="0" tint="-0.249977111117893"/>
      </right>
      <top style="medium">
        <color theme="9"/>
      </top>
      <bottom style="thin">
        <color theme="0" tint="-0.249977111117893"/>
      </bottom>
      <diagonal/>
    </border>
    <border>
      <left/>
      <right style="thin">
        <color theme="0" tint="-0.249977111117893"/>
      </right>
      <top style="thin">
        <color theme="0" tint="-0.249977111117893"/>
      </top>
      <bottom/>
      <diagonal/>
    </border>
    <border>
      <left style="medium">
        <color theme="9"/>
      </left>
      <right style="thin">
        <color theme="0" tint="-0.249977111117893"/>
      </right>
      <top style="medium">
        <color theme="9"/>
      </top>
      <bottom style="medium">
        <color theme="9"/>
      </bottom>
      <diagonal/>
    </border>
    <border>
      <left style="medium">
        <color theme="9"/>
      </left>
      <right/>
      <top style="medium">
        <color theme="9"/>
      </top>
      <bottom style="thin">
        <color theme="0" tint="-0.249977111117893"/>
      </bottom>
      <diagonal/>
    </border>
    <border>
      <left style="medium">
        <color theme="9"/>
      </left>
      <right/>
      <top style="medium">
        <color theme="9"/>
      </top>
      <bottom style="thin">
        <color theme="0" tint="-0.34998626667073579"/>
      </bottom>
      <diagonal/>
    </border>
    <border>
      <left style="medium">
        <color theme="9"/>
      </left>
      <right/>
      <top style="thin">
        <color theme="0" tint="-0.34998626667073579"/>
      </top>
      <bottom style="thin">
        <color theme="0" tint="-0.34998626667073579"/>
      </bottom>
      <diagonal/>
    </border>
    <border>
      <left style="thin">
        <color theme="0" tint="-0.249977111117893"/>
      </left>
      <right style="medium">
        <color theme="9"/>
      </right>
      <top style="medium">
        <color theme="9"/>
      </top>
      <bottom style="thin">
        <color theme="0" tint="-0.249977111117893"/>
      </bottom>
      <diagonal/>
    </border>
    <border>
      <left style="thin">
        <color theme="0" tint="-0.249977111117893"/>
      </left>
      <right style="medium">
        <color theme="9"/>
      </right>
      <top style="thin">
        <color theme="0" tint="-0.249977111117893"/>
      </top>
      <bottom style="medium">
        <color theme="9"/>
      </bottom>
      <diagonal/>
    </border>
    <border>
      <left style="medium">
        <color theme="9"/>
      </left>
      <right style="thin">
        <color theme="0" tint="-0.34998626667073579"/>
      </right>
      <top style="medium">
        <color theme="9"/>
      </top>
      <bottom style="thin">
        <color theme="0" tint="-0.34998626667073579"/>
      </bottom>
      <diagonal/>
    </border>
    <border>
      <left style="medium">
        <color theme="9"/>
      </left>
      <right style="thin">
        <color theme="0" tint="-0.34998626667073579"/>
      </right>
      <top style="thin">
        <color theme="0" tint="-0.34998626667073579"/>
      </top>
      <bottom style="thin">
        <color theme="0" tint="-0.34998626667073579"/>
      </bottom>
      <diagonal/>
    </border>
    <border>
      <left style="medium">
        <color theme="9"/>
      </left>
      <right style="thin">
        <color theme="0" tint="-0.34998626667073579"/>
      </right>
      <top style="thin">
        <color theme="0" tint="-0.34998626667073579"/>
      </top>
      <bottom style="medium">
        <color theme="9"/>
      </bottom>
      <diagonal/>
    </border>
    <border>
      <left style="medium">
        <color theme="9"/>
      </left>
      <right/>
      <top style="thin">
        <color theme="0" tint="-0.34998626667073579"/>
      </top>
      <bottom/>
      <diagonal/>
    </border>
    <border>
      <left/>
      <right style="thin">
        <color theme="0" tint="-0.249977111117893"/>
      </right>
      <top/>
      <bottom style="thin">
        <color theme="0" tint="-0.249977111117893"/>
      </bottom>
      <diagonal/>
    </border>
    <border>
      <left style="thin">
        <color theme="9"/>
      </left>
      <right/>
      <top style="medium">
        <color theme="9"/>
      </top>
      <bottom style="thin">
        <color theme="9"/>
      </bottom>
      <diagonal/>
    </border>
    <border>
      <left style="medium">
        <color theme="0" tint="-0.34998626667073579"/>
      </left>
      <right/>
      <top style="medium">
        <color theme="0" tint="-0.34998626667073579"/>
      </top>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top style="thin">
        <color theme="2" tint="-0.249977111117893"/>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style="medium">
        <color theme="0" tint="-0.34998626667073579"/>
      </left>
      <right style="thin">
        <color theme="2" tint="-0.249977111117893"/>
      </right>
      <top/>
      <bottom style="medium">
        <color theme="0" tint="-0.34998626667073579"/>
      </bottom>
      <diagonal/>
    </border>
    <border>
      <left style="medium">
        <color theme="0" tint="-0.34998626667073579"/>
      </left>
      <right style="medium">
        <color theme="9"/>
      </right>
      <top style="medium">
        <color theme="0" tint="-0.34998626667073579"/>
      </top>
      <bottom style="thin">
        <color theme="2" tint="-0.249977111117893"/>
      </bottom>
      <diagonal/>
    </border>
    <border>
      <left style="medium">
        <color theme="9"/>
      </left>
      <right style="medium">
        <color theme="9"/>
      </right>
      <top style="medium">
        <color theme="0" tint="-0.34998626667073579"/>
      </top>
      <bottom style="thin">
        <color theme="2" tint="-0.249977111117893"/>
      </bottom>
      <diagonal/>
    </border>
    <border>
      <left style="medium">
        <color theme="9"/>
      </left>
      <right/>
      <top style="medium">
        <color theme="0" tint="-0.34998626667073579"/>
      </top>
      <bottom style="thin">
        <color theme="0" tint="-0.249977111117893"/>
      </bottom>
      <diagonal/>
    </border>
    <border>
      <left style="medium">
        <color theme="0" tint="-0.34998626667073579"/>
      </left>
      <right style="medium">
        <color theme="9"/>
      </right>
      <top style="thin">
        <color theme="2" tint="-0.249977111117893"/>
      </top>
      <bottom style="medium">
        <color theme="0" tint="-0.34998626667073579"/>
      </bottom>
      <diagonal/>
    </border>
    <border>
      <left style="medium">
        <color theme="9"/>
      </left>
      <right style="medium">
        <color theme="9"/>
      </right>
      <top style="thin">
        <color theme="2" tint="-0.249977111117893"/>
      </top>
      <bottom style="medium">
        <color theme="0" tint="-0.34998626667073579"/>
      </bottom>
      <diagonal/>
    </border>
    <border>
      <left style="medium">
        <color theme="9"/>
      </left>
      <right/>
      <top style="thin">
        <color theme="0" tint="-0.249977111117893"/>
      </top>
      <bottom style="medium">
        <color theme="0" tint="-0.34998626667073579"/>
      </bottom>
      <diagonal/>
    </border>
    <border>
      <left style="medium">
        <color theme="9"/>
      </left>
      <right/>
      <top style="thin">
        <color theme="0" tint="-0.249977111117893"/>
      </top>
      <bottom/>
      <diagonal/>
    </border>
    <border>
      <left style="medium">
        <color theme="9"/>
      </left>
      <right style="thin">
        <color theme="0" tint="-0.34998626667073579"/>
      </right>
      <top style="thin">
        <color theme="0" tint="-0.34998626667073579"/>
      </top>
      <bottom/>
      <diagonal/>
    </border>
    <border>
      <left style="thin">
        <color theme="0" tint="-0.249977111117893"/>
      </left>
      <right style="medium">
        <color theme="9"/>
      </right>
      <top style="thin">
        <color theme="0" tint="-0.249977111117893"/>
      </top>
      <bottom/>
      <diagonal/>
    </border>
    <border>
      <left/>
      <right/>
      <top style="medium">
        <color theme="0" tint="-0.34998626667073579"/>
      </top>
      <bottom style="thin">
        <color theme="2" tint="-0.249977111117893"/>
      </bottom>
      <diagonal/>
    </border>
    <border>
      <left style="medium">
        <color theme="9"/>
      </left>
      <right style="medium">
        <color theme="9"/>
      </right>
      <top style="medium">
        <color theme="0" tint="-0.34998626667073579"/>
      </top>
      <bottom style="thin">
        <color theme="0" tint="-0.249977111117893"/>
      </bottom>
      <diagonal/>
    </border>
    <border>
      <left/>
      <right/>
      <top style="thin">
        <color theme="2" tint="-0.249977111117893"/>
      </top>
      <bottom style="medium">
        <color theme="0" tint="-0.34998626667073579"/>
      </bottom>
      <diagonal/>
    </border>
    <border>
      <left style="medium">
        <color theme="9"/>
      </left>
      <right style="medium">
        <color theme="9"/>
      </right>
      <top style="thin">
        <color theme="0" tint="-0.249977111117893"/>
      </top>
      <bottom style="medium">
        <color theme="0" tint="-0.34998626667073579"/>
      </bottom>
      <diagonal/>
    </border>
    <border>
      <left/>
      <right style="medium">
        <color theme="0" tint="-0.249977111117893"/>
      </right>
      <top style="medium">
        <color theme="0" tint="-0.249977111117893"/>
      </top>
      <bottom style="thin">
        <color theme="0" tint="-0.249977111117893"/>
      </bottom>
      <diagonal/>
    </border>
    <border>
      <left/>
      <right style="medium">
        <color theme="0" tint="-0.249977111117893"/>
      </right>
      <top style="thin">
        <color theme="0" tint="-0.249977111117893"/>
      </top>
      <bottom style="thin">
        <color theme="0" tint="-0.249977111117893"/>
      </bottom>
      <diagonal/>
    </border>
    <border>
      <left/>
      <right style="medium">
        <color theme="0" tint="-0.249977111117893"/>
      </right>
      <top style="thin">
        <color theme="0" tint="-0.249977111117893"/>
      </top>
      <bottom style="medium">
        <color theme="0" tint="-0.249977111117893"/>
      </bottom>
      <diagonal/>
    </border>
    <border>
      <left style="thin">
        <color theme="0" tint="-0.249977111117893"/>
      </left>
      <right style="medium">
        <color theme="9"/>
      </right>
      <top style="thin">
        <color theme="0" tint="-0.249977111117893"/>
      </top>
      <bottom style="thin">
        <color theme="0" tint="-0.249977111117893"/>
      </bottom>
      <diagonal/>
    </border>
    <border>
      <left style="thin">
        <color theme="0" tint="-0.249977111117893"/>
      </left>
      <right style="thin">
        <color theme="0" tint="-0.249977111117893"/>
      </right>
      <top style="medium">
        <color theme="9"/>
      </top>
      <bottom style="medium">
        <color theme="9"/>
      </bottom>
      <diagonal/>
    </border>
    <border>
      <left style="thin">
        <color theme="0" tint="-0.249977111117893"/>
      </left>
      <right style="medium">
        <color theme="9"/>
      </right>
      <top style="medium">
        <color theme="9"/>
      </top>
      <bottom style="medium">
        <color theme="9"/>
      </bottom>
      <diagonal/>
    </border>
    <border>
      <left style="thin">
        <color theme="0" tint="-0.249977111117893"/>
      </left>
      <right style="medium">
        <color theme="9"/>
      </right>
      <top/>
      <bottom style="thin">
        <color theme="0" tint="-0.249977111117893"/>
      </bottom>
      <diagonal/>
    </border>
    <border>
      <left style="medium">
        <color theme="9"/>
      </left>
      <right style="thin">
        <color theme="0" tint="-0.249977111117893"/>
      </right>
      <top style="thin">
        <color theme="0" tint="-0.249977111117893"/>
      </top>
      <bottom style="medium">
        <color theme="9"/>
      </bottom>
      <diagonal/>
    </border>
    <border>
      <left style="thin">
        <color theme="0" tint="-0.249977111117893"/>
      </left>
      <right/>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bottom style="medium">
        <color theme="9"/>
      </bottom>
      <diagonal/>
    </border>
    <border>
      <left style="thin">
        <color theme="0" tint="-0.249977111117893"/>
      </left>
      <right style="thin">
        <color theme="0" tint="-0.249977111117893"/>
      </right>
      <top/>
      <bottom style="medium">
        <color theme="9"/>
      </bottom>
      <diagonal/>
    </border>
    <border>
      <left style="thin">
        <color theme="0" tint="-0.249977111117893"/>
      </left>
      <right style="medium">
        <color theme="9"/>
      </right>
      <top/>
      <bottom style="medium">
        <color theme="9"/>
      </bottom>
      <diagonal/>
    </border>
    <border>
      <left style="thin">
        <color theme="0" tint="-0.249977111117893"/>
      </left>
      <right/>
      <top style="medium">
        <color theme="9"/>
      </top>
      <bottom style="thin">
        <color theme="0" tint="-0.249977111117893"/>
      </bottom>
      <diagonal/>
    </border>
    <border>
      <left style="thin">
        <color theme="0" tint="-0.249977111117893"/>
      </left>
      <right/>
      <top style="medium">
        <color theme="9"/>
      </top>
      <bottom style="medium">
        <color theme="9"/>
      </bottom>
      <diagonal/>
    </border>
    <border>
      <left/>
      <right style="thin">
        <color theme="0" tint="-0.34998626667073579"/>
      </right>
      <top style="thin">
        <color theme="0" tint="-0.34998626667073579"/>
      </top>
      <bottom style="thin">
        <color theme="0" tint="-0.34998626667073579"/>
      </bottom>
      <diagonal/>
    </border>
    <border>
      <left style="medium">
        <color theme="9"/>
      </left>
      <right style="medium">
        <color theme="9"/>
      </right>
      <top style="medium">
        <color theme="9"/>
      </top>
      <bottom style="thin">
        <color theme="0" tint="-0.34998626667073579"/>
      </bottom>
      <diagonal/>
    </border>
    <border>
      <left style="medium">
        <color theme="9"/>
      </left>
      <right style="medium">
        <color theme="9"/>
      </right>
      <top style="thin">
        <color theme="0" tint="-0.34998626667073579"/>
      </top>
      <bottom style="thin">
        <color theme="0" tint="-0.34998626667073579"/>
      </bottom>
      <diagonal/>
    </border>
    <border>
      <left style="medium">
        <color theme="9"/>
      </left>
      <right style="medium">
        <color theme="9"/>
      </right>
      <top style="thin">
        <color theme="0" tint="-0.34998626667073579"/>
      </top>
      <bottom style="medium">
        <color theme="9"/>
      </bottom>
      <diagonal/>
    </border>
    <border>
      <left/>
      <right style="thin">
        <color theme="0" tint="-0.34998626667073579"/>
      </right>
      <top style="thin">
        <color theme="0" tint="-0.34998626667073579"/>
      </top>
      <bottom/>
      <diagonal/>
    </border>
    <border>
      <left/>
      <right style="thin">
        <color theme="0" tint="-0.34998626667073579"/>
      </right>
      <top/>
      <bottom style="thin">
        <color theme="0" tint="-0.34998626667073579"/>
      </bottom>
      <diagonal/>
    </border>
    <border>
      <left style="thin">
        <color theme="0" tint="-0.14999847407452621"/>
      </left>
      <right style="medium">
        <color theme="9"/>
      </right>
      <top style="medium">
        <color theme="9"/>
      </top>
      <bottom style="medium">
        <color theme="9"/>
      </bottom>
      <diagonal/>
    </border>
    <border>
      <left style="thin">
        <color theme="0" tint="-0.34998626667073579"/>
      </left>
      <right style="medium">
        <color theme="9"/>
      </right>
      <top style="medium">
        <color theme="9"/>
      </top>
      <bottom style="thin">
        <color theme="0" tint="-0.34998626667073579"/>
      </bottom>
      <diagonal/>
    </border>
    <border>
      <left style="thin">
        <color theme="0" tint="-0.34998626667073579"/>
      </left>
      <right style="medium">
        <color theme="9"/>
      </right>
      <top style="thin">
        <color theme="0" tint="-0.34998626667073579"/>
      </top>
      <bottom style="thin">
        <color theme="0" tint="-0.34998626667073579"/>
      </bottom>
      <diagonal/>
    </border>
    <border>
      <left style="thin">
        <color theme="0" tint="-0.34998626667073579"/>
      </left>
      <right style="medium">
        <color theme="9"/>
      </right>
      <top style="thin">
        <color theme="0" tint="-0.34998626667073579"/>
      </top>
      <bottom style="medium">
        <color theme="9"/>
      </bottom>
      <diagonal/>
    </border>
    <border>
      <left/>
      <right style="thin">
        <color theme="0" tint="-0.14999847407452621"/>
      </right>
      <top style="medium">
        <color theme="9"/>
      </top>
      <bottom style="medium">
        <color theme="9"/>
      </bottom>
      <diagonal/>
    </border>
    <border>
      <left style="thin">
        <color theme="9"/>
      </left>
      <right/>
      <top style="thin">
        <color theme="9"/>
      </top>
      <bottom style="thin">
        <color theme="9"/>
      </bottom>
      <diagonal/>
    </border>
    <border>
      <left style="medium">
        <color theme="0" tint="-0.34998626667073579"/>
      </left>
      <right style="thin">
        <color theme="0" tint="-0.249977111117893"/>
      </right>
      <top/>
      <bottom style="thin">
        <color theme="0" tint="-0.249977111117893"/>
      </bottom>
      <diagonal/>
    </border>
    <border>
      <left/>
      <right/>
      <top/>
      <bottom style="thin">
        <color theme="9"/>
      </bottom>
      <diagonal/>
    </border>
    <border>
      <left style="thin">
        <color theme="0" tint="-0.499984740745262"/>
      </left>
      <right/>
      <top style="thin">
        <color theme="0" tint="-0.499984740745262"/>
      </top>
      <bottom style="thin">
        <color theme="0" tint="-0.499984740745262"/>
      </bottom>
      <diagonal/>
    </border>
    <border>
      <left style="thin">
        <color theme="9"/>
      </left>
      <right style="medium">
        <color theme="9"/>
      </right>
      <top/>
      <bottom style="thin">
        <color theme="9"/>
      </bottom>
      <diagonal/>
    </border>
    <border>
      <left style="thin">
        <color theme="9"/>
      </left>
      <right style="medium">
        <color theme="9"/>
      </right>
      <top style="thin">
        <color theme="9"/>
      </top>
      <bottom style="thin">
        <color theme="9"/>
      </bottom>
      <diagonal/>
    </border>
    <border>
      <left style="thin">
        <color theme="9"/>
      </left>
      <right style="medium">
        <color theme="9"/>
      </right>
      <top style="thin">
        <color theme="9"/>
      </top>
      <bottom style="medium">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bottom/>
      <diagonal/>
    </border>
    <border>
      <left style="thin">
        <color theme="9"/>
      </left>
      <right style="medium">
        <color theme="9"/>
      </right>
      <top/>
      <bottom/>
      <diagonal/>
    </border>
    <border>
      <left style="medium">
        <color theme="9"/>
      </left>
      <right style="medium">
        <color theme="9"/>
      </right>
      <top style="medium">
        <color theme="0" tint="-0.499984740745262"/>
      </top>
      <bottom style="thin">
        <color theme="9"/>
      </bottom>
      <diagonal/>
    </border>
    <border>
      <left style="thin">
        <color theme="9"/>
      </left>
      <right style="medium">
        <color theme="9"/>
      </right>
      <top style="medium">
        <color theme="0" tint="-0.499984740745262"/>
      </top>
      <bottom style="thin">
        <color theme="9"/>
      </bottom>
      <diagonal/>
    </border>
    <border>
      <left style="thin">
        <color theme="9"/>
      </left>
      <right style="medium">
        <color theme="9"/>
      </right>
      <top style="thin">
        <color theme="9"/>
      </top>
      <bottom/>
      <diagonal/>
    </border>
    <border>
      <left style="medium">
        <color theme="9"/>
      </left>
      <right style="thin">
        <color theme="0" tint="-0.499984740745262"/>
      </right>
      <top style="thin">
        <color theme="0" tint="-0.499984740745262"/>
      </top>
      <bottom style="thin">
        <color theme="0" tint="-0.499984740745262"/>
      </bottom>
      <diagonal/>
    </border>
    <border>
      <left style="thin">
        <color theme="0" tint="-0.499984740745262"/>
      </left>
      <right style="medium">
        <color theme="9"/>
      </right>
      <top style="thin">
        <color theme="0" tint="-0.499984740745262"/>
      </top>
      <bottom style="thin">
        <color theme="0" tint="-0.499984740745262"/>
      </bottom>
      <diagonal/>
    </border>
    <border>
      <left style="medium">
        <color theme="9"/>
      </left>
      <right style="thin">
        <color theme="9"/>
      </right>
      <top/>
      <bottom style="thin">
        <color theme="9"/>
      </bottom>
      <diagonal/>
    </border>
    <border>
      <left style="medium">
        <color theme="9"/>
      </left>
      <right style="thin">
        <color theme="9"/>
      </right>
      <top style="thin">
        <color theme="9"/>
      </top>
      <bottom/>
      <diagonal/>
    </border>
    <border>
      <left style="medium">
        <color theme="9"/>
      </left>
      <right/>
      <top/>
      <bottom style="thin">
        <color theme="9"/>
      </bottom>
      <diagonal/>
    </border>
    <border>
      <left/>
      <right style="medium">
        <color theme="9"/>
      </right>
      <top/>
      <bottom style="thin">
        <color theme="9"/>
      </bottom>
      <diagonal/>
    </border>
    <border>
      <left style="medium">
        <color theme="9"/>
      </left>
      <right/>
      <top style="thin">
        <color theme="9"/>
      </top>
      <bottom style="thin">
        <color theme="9"/>
      </bottom>
      <diagonal/>
    </border>
    <border>
      <left/>
      <right style="medium">
        <color theme="9"/>
      </right>
      <top style="thin">
        <color theme="9"/>
      </top>
      <bottom style="thin">
        <color theme="9"/>
      </bottom>
      <diagonal/>
    </border>
    <border>
      <left style="medium">
        <color theme="9"/>
      </left>
      <right/>
      <top style="thin">
        <color theme="9"/>
      </top>
      <bottom/>
      <diagonal/>
    </border>
    <border>
      <left style="medium">
        <color theme="9"/>
      </left>
      <right style="thin">
        <color theme="2" tint="-0.249977111117893"/>
      </right>
      <top/>
      <bottom/>
      <diagonal/>
    </border>
    <border>
      <left style="thin">
        <color theme="0" tint="-0.499984740745262"/>
      </left>
      <right style="medium">
        <color theme="9"/>
      </right>
      <top style="thin">
        <color theme="0" tint="-0.499984740745262"/>
      </top>
      <bottom style="medium">
        <color theme="9"/>
      </bottom>
      <diagonal/>
    </border>
    <border>
      <left style="medium">
        <color theme="9"/>
      </left>
      <right style="thin">
        <color theme="0" tint="-0.34998626667073579"/>
      </right>
      <top/>
      <bottom/>
      <diagonal/>
    </border>
    <border>
      <left style="thin">
        <color theme="2" tint="-0.249977111117893"/>
      </left>
      <right style="thin">
        <color theme="0" tint="-0.34998626667073579"/>
      </right>
      <top style="thin">
        <color theme="2" tint="-0.249977111117893"/>
      </top>
      <bottom style="medium">
        <color theme="9"/>
      </bottom>
      <diagonal/>
    </border>
    <border>
      <left style="medium">
        <color theme="9"/>
      </left>
      <right style="thin">
        <color theme="6"/>
      </right>
      <top style="medium">
        <color theme="9"/>
      </top>
      <bottom/>
      <diagonal/>
    </border>
    <border>
      <left style="thin">
        <color theme="6"/>
      </left>
      <right style="thin">
        <color theme="6"/>
      </right>
      <top style="medium">
        <color theme="9"/>
      </top>
      <bottom/>
      <diagonal/>
    </border>
    <border>
      <left style="thin">
        <color theme="6"/>
      </left>
      <right/>
      <top style="medium">
        <color theme="9"/>
      </top>
      <bottom/>
      <diagonal/>
    </border>
    <border>
      <left style="medium">
        <color theme="9"/>
      </left>
      <right style="thin">
        <color theme="6"/>
      </right>
      <top/>
      <bottom/>
      <diagonal/>
    </border>
    <border>
      <left/>
      <right style="thin">
        <color theme="6"/>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249977111117893"/>
      </right>
      <top/>
      <bottom/>
      <diagonal/>
    </border>
    <border>
      <left/>
      <right/>
      <top style="medium">
        <color theme="9"/>
      </top>
      <bottom style="thin">
        <color theme="0" tint="-0.249977111117893"/>
      </bottom>
      <diagonal/>
    </border>
    <border>
      <left/>
      <right/>
      <top style="thin">
        <color theme="0" tint="-0.249977111117893"/>
      </top>
      <bottom style="thin">
        <color theme="0" tint="-0.249977111117893"/>
      </bottom>
      <diagonal/>
    </border>
    <border>
      <left/>
      <right/>
      <top style="thin">
        <color theme="0" tint="-0.249977111117893"/>
      </top>
      <bottom/>
      <diagonal/>
    </border>
    <border>
      <left style="medium">
        <color theme="0" tint="-0.34998626667073579"/>
      </left>
      <right style="medium">
        <color theme="9"/>
      </right>
      <top/>
      <bottom style="thin">
        <color theme="2" tint="-0.249977111117893"/>
      </bottom>
      <diagonal/>
    </border>
    <border>
      <left style="medium">
        <color theme="9"/>
      </left>
      <right/>
      <top style="thin">
        <color theme="0" tint="-0.249977111117893"/>
      </top>
      <bottom style="medium">
        <color theme="9"/>
      </bottom>
      <diagonal/>
    </border>
    <border>
      <left/>
      <right style="thin">
        <color theme="0" tint="-0.34998626667073579"/>
      </right>
      <top style="medium">
        <color theme="9"/>
      </top>
      <bottom style="thin">
        <color theme="0" tint="-0.34998626667073579"/>
      </bottom>
      <diagonal/>
    </border>
    <border>
      <left/>
      <right style="medium">
        <color theme="0" tint="-0.249977111117893"/>
      </right>
      <top style="thin">
        <color theme="0" tint="-0.249977111117893"/>
      </top>
      <bottom/>
      <diagonal/>
    </border>
    <border>
      <left/>
      <right style="medium">
        <color theme="0" tint="-0.249977111117893"/>
      </right>
      <top/>
      <bottom style="thin">
        <color theme="0" tint="-0.249977111117893"/>
      </bottom>
      <diagonal/>
    </border>
  </borders>
  <cellStyleXfs count="4">
    <xf numFmtId="0" fontId="0" fillId="0" borderId="0"/>
    <xf numFmtId="0" fontId="1" fillId="0" borderId="0" applyNumberFormat="0" applyFont="0" applyFill="0" applyBorder="0" applyAlignment="0" applyProtection="0"/>
    <xf numFmtId="0" fontId="2" fillId="11" borderId="0" applyNumberFormat="0" applyBorder="0" applyAlignment="0" applyProtection="0"/>
    <xf numFmtId="0" fontId="6" fillId="0" borderId="0" applyNumberFormat="0" applyFill="0" applyBorder="0" applyAlignment="0" applyProtection="0"/>
  </cellStyleXfs>
  <cellXfs count="1488">
    <xf numFmtId="0" fontId="0" fillId="0" borderId="0" xfId="0"/>
    <xf numFmtId="0" fontId="7" fillId="0" borderId="27" xfId="0" applyFont="1" applyBorder="1" applyAlignment="1">
      <alignment horizontal="left" vertical="center" wrapText="1"/>
    </xf>
    <xf numFmtId="0" fontId="7" fillId="0" borderId="28" xfId="0" applyFont="1" applyBorder="1" applyAlignment="1">
      <alignment horizontal="left" vertical="center" wrapText="1"/>
    </xf>
    <xf numFmtId="0" fontId="7" fillId="0" borderId="29" xfId="0" applyFont="1" applyBorder="1" applyAlignment="1">
      <alignment horizontal="left" vertical="center" wrapText="1"/>
    </xf>
    <xf numFmtId="0" fontId="8" fillId="0" borderId="10" xfId="0" applyFont="1" applyBorder="1" applyAlignment="1">
      <alignment horizontal="center" vertical="center"/>
    </xf>
    <xf numFmtId="0" fontId="8" fillId="6" borderId="47" xfId="0" applyFont="1" applyFill="1" applyBorder="1" applyAlignment="1">
      <alignment vertical="center"/>
    </xf>
    <xf numFmtId="0" fontId="12" fillId="0" borderId="0" xfId="0" applyFont="1" applyAlignment="1">
      <alignment horizontal="left" vertical="center"/>
    </xf>
    <xf numFmtId="0" fontId="8" fillId="0" borderId="0" xfId="0" applyFont="1"/>
    <xf numFmtId="0" fontId="12" fillId="0" borderId="0" xfId="0" applyFont="1"/>
    <xf numFmtId="0" fontId="7" fillId="0" borderId="0" xfId="0" applyFont="1" applyAlignment="1"/>
    <xf numFmtId="0" fontId="8" fillId="0" borderId="0" xfId="0" applyFont="1" applyAlignment="1">
      <alignment vertical="center"/>
    </xf>
    <xf numFmtId="0" fontId="12" fillId="7" borderId="40" xfId="0" applyFont="1" applyFill="1" applyBorder="1" applyAlignment="1">
      <alignment horizontal="center" vertical="center" wrapText="1"/>
    </xf>
    <xf numFmtId="0" fontId="8" fillId="8" borderId="20" xfId="0" applyFont="1" applyFill="1" applyBorder="1" applyAlignment="1">
      <alignment vertical="center"/>
    </xf>
    <xf numFmtId="0" fontId="10" fillId="0" borderId="48" xfId="0" applyFont="1" applyFill="1" applyBorder="1" applyAlignment="1">
      <alignment horizontal="center"/>
    </xf>
    <xf numFmtId="0" fontId="5" fillId="5" borderId="0" xfId="0" applyFont="1" applyFill="1"/>
    <xf numFmtId="49" fontId="14" fillId="4" borderId="14" xfId="1" applyNumberFormat="1" applyFont="1" applyFill="1" applyBorder="1" applyAlignment="1">
      <alignment horizontal="center" vertical="center"/>
    </xf>
    <xf numFmtId="0" fontId="12" fillId="0" borderId="25" xfId="0" applyFont="1" applyFill="1" applyBorder="1" applyAlignment="1">
      <alignment horizontal="center" vertical="center" wrapText="1"/>
    </xf>
    <xf numFmtId="0" fontId="8" fillId="0" borderId="45" xfId="0" applyFont="1" applyFill="1" applyBorder="1" applyAlignment="1">
      <alignment vertical="center"/>
    </xf>
    <xf numFmtId="0" fontId="5" fillId="0" borderId="0" xfId="0" applyFont="1"/>
    <xf numFmtId="0" fontId="7" fillId="4" borderId="133" xfId="0" applyFont="1" applyFill="1" applyBorder="1" applyAlignment="1" applyProtection="1">
      <alignment horizontal="center" vertical="center"/>
    </xf>
    <xf numFmtId="0" fontId="7" fillId="4" borderId="147" xfId="0" applyFont="1" applyFill="1" applyBorder="1" applyAlignment="1" applyProtection="1">
      <alignment horizontal="center" vertical="center"/>
    </xf>
    <xf numFmtId="0" fontId="7" fillId="5" borderId="139" xfId="0" applyFont="1" applyFill="1" applyBorder="1" applyAlignment="1" applyProtection="1">
      <alignment horizontal="center" vertical="center"/>
      <protection locked="0"/>
    </xf>
    <xf numFmtId="0" fontId="7" fillId="5" borderId="140" xfId="0" applyFont="1" applyFill="1" applyBorder="1" applyAlignment="1" applyProtection="1">
      <alignment horizontal="center" vertical="center"/>
      <protection locked="0"/>
    </xf>
    <xf numFmtId="0" fontId="7" fillId="5" borderId="141" xfId="0" applyFont="1" applyFill="1" applyBorder="1" applyAlignment="1" applyProtection="1">
      <alignment horizontal="center" vertical="center"/>
      <protection locked="0"/>
    </xf>
    <xf numFmtId="0" fontId="7" fillId="4" borderId="139" xfId="0" applyFont="1" applyFill="1" applyBorder="1" applyAlignment="1" applyProtection="1">
      <alignment horizontal="center" vertical="center"/>
    </xf>
    <xf numFmtId="0" fontId="7" fillId="4" borderId="140" xfId="0" applyFont="1" applyFill="1" applyBorder="1" applyAlignment="1" applyProtection="1">
      <alignment horizontal="center" vertical="center"/>
    </xf>
    <xf numFmtId="0" fontId="7" fillId="4" borderId="141" xfId="0" applyFont="1" applyFill="1" applyBorder="1" applyAlignment="1" applyProtection="1">
      <alignment horizontal="center" vertical="center"/>
    </xf>
    <xf numFmtId="0" fontId="7" fillId="5" borderId="137" xfId="0" applyFont="1" applyFill="1" applyBorder="1" applyAlignment="1" applyProtection="1">
      <alignment horizontal="center" vertical="center"/>
      <protection locked="0"/>
    </xf>
    <xf numFmtId="0" fontId="7" fillId="5" borderId="122" xfId="0" applyFont="1" applyFill="1" applyBorder="1" applyAlignment="1" applyProtection="1">
      <alignment horizontal="center" vertical="center"/>
      <protection locked="0"/>
    </xf>
    <xf numFmtId="0" fontId="8" fillId="6" borderId="13" xfId="0" applyFont="1" applyFill="1" applyBorder="1" applyAlignment="1">
      <alignment horizontal="center" vertical="center"/>
    </xf>
    <xf numFmtId="0" fontId="8" fillId="2" borderId="22" xfId="0" applyFont="1" applyFill="1" applyBorder="1" applyAlignment="1">
      <alignment vertical="top"/>
    </xf>
    <xf numFmtId="0" fontId="7" fillId="10" borderId="22" xfId="0" applyFont="1" applyFill="1" applyBorder="1" applyAlignment="1">
      <alignment horizontal="left" vertical="top" wrapText="1"/>
    </xf>
    <xf numFmtId="0" fontId="7" fillId="0" borderId="50" xfId="0" applyFont="1" applyBorder="1" applyAlignment="1">
      <alignment horizontal="left" vertical="center" wrapText="1"/>
    </xf>
    <xf numFmtId="0" fontId="7" fillId="5" borderId="148" xfId="0" applyFont="1" applyFill="1" applyBorder="1" applyAlignment="1" applyProtection="1">
      <alignment horizontal="center" vertical="center"/>
      <protection locked="0"/>
    </xf>
    <xf numFmtId="0" fontId="7" fillId="5" borderId="149" xfId="0" applyFont="1" applyFill="1" applyBorder="1" applyAlignment="1" applyProtection="1">
      <alignment horizontal="center" vertical="center"/>
      <protection locked="0"/>
    </xf>
    <xf numFmtId="0" fontId="7" fillId="4" borderId="142" xfId="0" applyFont="1" applyFill="1" applyBorder="1" applyAlignment="1" applyProtection="1">
      <alignment horizontal="center" vertical="center"/>
    </xf>
    <xf numFmtId="0" fontId="7" fillId="4" borderId="143" xfId="0" applyFont="1" applyFill="1" applyBorder="1" applyAlignment="1" applyProtection="1">
      <alignment horizontal="center" vertical="center"/>
    </xf>
    <xf numFmtId="0" fontId="7" fillId="5" borderId="150" xfId="0" applyFont="1" applyFill="1" applyBorder="1" applyAlignment="1" applyProtection="1">
      <alignment horizontal="center" vertical="center"/>
      <protection locked="0"/>
    </xf>
    <xf numFmtId="0" fontId="7" fillId="5" borderId="151" xfId="0" applyFont="1" applyFill="1" applyBorder="1" applyAlignment="1" applyProtection="1">
      <alignment horizontal="center" vertical="center"/>
      <protection locked="0"/>
    </xf>
    <xf numFmtId="0" fontId="7" fillId="5" borderId="152" xfId="0" applyFont="1" applyFill="1" applyBorder="1" applyAlignment="1" applyProtection="1">
      <alignment horizontal="center" vertical="center"/>
      <protection locked="0"/>
    </xf>
    <xf numFmtId="0" fontId="7" fillId="4" borderId="144" xfId="0" applyFont="1" applyFill="1" applyBorder="1" applyAlignment="1" applyProtection="1">
      <alignment horizontal="center" vertical="center"/>
    </xf>
    <xf numFmtId="0" fontId="7" fillId="4" borderId="145" xfId="0" applyFont="1" applyFill="1" applyBorder="1" applyAlignment="1" applyProtection="1">
      <alignment horizontal="center" vertical="center"/>
    </xf>
    <xf numFmtId="0" fontId="7" fillId="4" borderId="146" xfId="0" applyFont="1" applyFill="1" applyBorder="1" applyAlignment="1" applyProtection="1">
      <alignment horizontal="center" vertical="center"/>
    </xf>
    <xf numFmtId="0" fontId="7" fillId="5" borderId="138" xfId="0" applyFont="1" applyFill="1" applyBorder="1" applyAlignment="1" applyProtection="1">
      <alignment horizontal="center" vertical="center"/>
      <protection locked="0"/>
    </xf>
    <xf numFmtId="0" fontId="7" fillId="5" borderId="130" xfId="0" applyFont="1" applyFill="1" applyBorder="1" applyAlignment="1" applyProtection="1">
      <alignment horizontal="center" vertical="center"/>
      <protection locked="0"/>
    </xf>
    <xf numFmtId="0" fontId="8" fillId="2" borderId="22" xfId="0" applyFont="1" applyFill="1" applyBorder="1" applyAlignment="1">
      <alignment horizontal="left" vertical="top"/>
    </xf>
    <xf numFmtId="0" fontId="7" fillId="4" borderId="132" xfId="0" applyFont="1" applyFill="1" applyBorder="1" applyAlignment="1" applyProtection="1">
      <alignment horizontal="center" vertical="center"/>
    </xf>
    <xf numFmtId="0" fontId="7" fillId="4" borderId="134" xfId="0" applyFont="1" applyFill="1" applyBorder="1" applyAlignment="1" applyProtection="1">
      <alignment horizontal="center" vertical="center"/>
    </xf>
    <xf numFmtId="0" fontId="8" fillId="0" borderId="123" xfId="0" applyFont="1" applyBorder="1" applyAlignment="1" applyProtection="1">
      <alignment horizontal="center" vertical="center"/>
      <protection locked="0"/>
    </xf>
    <xf numFmtId="0" fontId="7" fillId="4" borderId="127" xfId="0" applyFont="1" applyFill="1" applyBorder="1" applyAlignment="1" applyProtection="1">
      <alignment horizontal="center" vertical="center"/>
    </xf>
    <xf numFmtId="0" fontId="7" fillId="4" borderId="122" xfId="0" applyFont="1" applyFill="1" applyBorder="1" applyAlignment="1" applyProtection="1">
      <alignment horizontal="center" vertical="center"/>
    </xf>
    <xf numFmtId="0" fontId="7" fillId="4" borderId="128" xfId="0" applyFont="1" applyFill="1" applyBorder="1" applyAlignment="1" applyProtection="1">
      <alignment horizontal="center" vertical="center"/>
    </xf>
    <xf numFmtId="0" fontId="8" fillId="6" borderId="77" xfId="0" applyFont="1" applyFill="1" applyBorder="1" applyAlignment="1">
      <alignment horizontal="center" vertical="center"/>
    </xf>
    <xf numFmtId="0" fontId="7" fillId="4" borderId="129" xfId="0" applyFont="1" applyFill="1" applyBorder="1" applyAlignment="1" applyProtection="1">
      <alignment horizontal="center" vertical="center"/>
    </xf>
    <xf numFmtId="0" fontId="7" fillId="4" borderId="130" xfId="0" applyFont="1" applyFill="1" applyBorder="1" applyAlignment="1" applyProtection="1">
      <alignment horizontal="center" vertical="center"/>
    </xf>
    <xf numFmtId="0" fontId="7" fillId="4" borderId="131" xfId="0" applyFont="1" applyFill="1" applyBorder="1" applyAlignment="1" applyProtection="1">
      <alignment horizontal="center" vertical="center"/>
    </xf>
    <xf numFmtId="0" fontId="8" fillId="6" borderId="123" xfId="0" applyFont="1" applyFill="1" applyBorder="1" applyAlignment="1">
      <alignment horizontal="center" vertical="center"/>
    </xf>
    <xf numFmtId="0" fontId="8" fillId="6" borderId="51" xfId="0" applyFont="1" applyFill="1" applyBorder="1" applyAlignment="1">
      <alignment horizontal="left" vertical="center" wrapText="1"/>
    </xf>
    <xf numFmtId="49" fontId="8" fillId="6" borderId="33" xfId="0" applyNumberFormat="1" applyFont="1" applyFill="1" applyBorder="1" applyAlignment="1" applyProtection="1">
      <alignment horizontal="center" vertical="center"/>
    </xf>
    <xf numFmtId="0" fontId="8" fillId="6" borderId="74" xfId="0" applyFont="1" applyFill="1" applyBorder="1" applyAlignment="1">
      <alignment horizontal="center" vertical="center"/>
    </xf>
    <xf numFmtId="0" fontId="7" fillId="10" borderId="22" xfId="0" applyFont="1" applyFill="1" applyBorder="1" applyAlignment="1">
      <alignment horizontal="left" vertical="top"/>
    </xf>
    <xf numFmtId="0" fontId="5" fillId="0" borderId="0" xfId="0" applyFont="1" applyAlignment="1"/>
    <xf numFmtId="0" fontId="7" fillId="4" borderId="124" xfId="0" applyFont="1" applyFill="1" applyBorder="1" applyAlignment="1" applyProtection="1">
      <alignment horizontal="center" vertical="center"/>
    </xf>
    <xf numFmtId="0" fontId="7" fillId="4" borderId="125" xfId="0" applyFont="1" applyFill="1" applyBorder="1" applyAlignment="1" applyProtection="1">
      <alignment horizontal="center" vertical="center"/>
    </xf>
    <xf numFmtId="0" fontId="7" fillId="4" borderId="126" xfId="0" applyFont="1" applyFill="1" applyBorder="1" applyAlignment="1" applyProtection="1">
      <alignment horizontal="center" vertical="center"/>
    </xf>
    <xf numFmtId="0" fontId="8" fillId="6" borderId="12" xfId="0" applyFont="1" applyFill="1" applyBorder="1" applyAlignment="1">
      <alignment horizontal="center" vertical="center"/>
    </xf>
    <xf numFmtId="0" fontId="8" fillId="6" borderId="34" xfId="0" applyFont="1" applyFill="1" applyBorder="1" applyAlignment="1">
      <alignment horizontal="center" vertical="center"/>
    </xf>
    <xf numFmtId="0" fontId="8" fillId="6" borderId="86" xfId="0" applyFont="1" applyFill="1" applyBorder="1" applyAlignment="1">
      <alignment horizontal="center" vertical="center"/>
    </xf>
    <xf numFmtId="49" fontId="18" fillId="4" borderId="14" xfId="1" applyNumberFormat="1" applyFont="1" applyFill="1" applyBorder="1" applyAlignment="1">
      <alignment horizontal="center" vertical="center"/>
    </xf>
    <xf numFmtId="0" fontId="7" fillId="0" borderId="43" xfId="0" applyFont="1" applyBorder="1" applyAlignment="1">
      <alignment horizontal="left" vertical="center" wrapText="1"/>
    </xf>
    <xf numFmtId="0" fontId="7" fillId="4" borderId="37" xfId="0" applyFont="1" applyFill="1" applyBorder="1" applyAlignment="1" applyProtection="1">
      <alignment horizontal="center" vertical="center"/>
    </xf>
    <xf numFmtId="0" fontId="7" fillId="4" borderId="9" xfId="0" applyFont="1" applyFill="1" applyBorder="1" applyAlignment="1" applyProtection="1">
      <alignment horizontal="center" vertical="center"/>
    </xf>
    <xf numFmtId="0" fontId="7" fillId="0" borderId="9" xfId="0" applyFont="1" applyBorder="1" applyAlignment="1" applyProtection="1">
      <alignment horizontal="center" vertical="center"/>
      <protection locked="0"/>
    </xf>
    <xf numFmtId="0" fontId="7" fillId="10" borderId="43" xfId="0" applyFont="1" applyFill="1" applyBorder="1" applyAlignment="1">
      <alignment horizontal="left" vertical="top" wrapText="1"/>
    </xf>
    <xf numFmtId="0" fontId="10" fillId="5" borderId="0" xfId="0" applyFont="1" applyFill="1" applyBorder="1"/>
    <xf numFmtId="0" fontId="7" fillId="0" borderId="0" xfId="0" applyFont="1" applyAlignment="1">
      <alignment horizontal="left"/>
    </xf>
    <xf numFmtId="0" fontId="7" fillId="0" borderId="22" xfId="0" applyFont="1" applyBorder="1" applyAlignment="1">
      <alignment horizontal="left" vertical="center" wrapText="1"/>
    </xf>
    <xf numFmtId="0" fontId="7" fillId="4" borderId="7" xfId="0" applyFont="1" applyFill="1" applyBorder="1" applyAlignment="1" applyProtection="1">
      <alignment horizontal="center" vertical="center"/>
    </xf>
    <xf numFmtId="0" fontId="7" fillId="4" borderId="6" xfId="0" applyFont="1" applyFill="1" applyBorder="1" applyAlignment="1" applyProtection="1">
      <alignment horizontal="center" vertical="center"/>
    </xf>
    <xf numFmtId="0" fontId="7" fillId="0" borderId="6" xfId="0" applyFont="1" applyBorder="1" applyAlignment="1" applyProtection="1">
      <alignment horizontal="center" vertical="center"/>
      <protection locked="0"/>
    </xf>
    <xf numFmtId="0" fontId="10" fillId="5" borderId="0" xfId="0" applyFont="1" applyFill="1" applyBorder="1" applyAlignment="1"/>
    <xf numFmtId="0" fontId="10" fillId="5" borderId="0" xfId="0" applyFont="1" applyFill="1" applyBorder="1" applyAlignment="1">
      <alignment vertical="center"/>
    </xf>
    <xf numFmtId="0" fontId="7" fillId="0" borderId="0" xfId="0" applyFont="1" applyAlignment="1">
      <alignment horizontal="left" vertical="center"/>
    </xf>
    <xf numFmtId="0" fontId="5" fillId="0" borderId="0" xfId="0" applyFont="1" applyAlignment="1">
      <alignment vertical="center"/>
    </xf>
    <xf numFmtId="0" fontId="8" fillId="0" borderId="22" xfId="0" applyFont="1" applyFill="1" applyBorder="1" applyAlignment="1">
      <alignment horizontal="left" vertical="center" wrapText="1"/>
    </xf>
    <xf numFmtId="0" fontId="19" fillId="0" borderId="6" xfId="0" applyFont="1" applyBorder="1" applyAlignment="1" applyProtection="1">
      <alignment horizontal="center" vertical="center"/>
      <protection locked="0"/>
    </xf>
    <xf numFmtId="0" fontId="10" fillId="4" borderId="6" xfId="0" applyFont="1" applyFill="1" applyBorder="1" applyAlignment="1" applyProtection="1">
      <alignment horizontal="center" vertical="center"/>
    </xf>
    <xf numFmtId="0" fontId="7" fillId="0" borderId="52" xfId="0" applyFont="1" applyBorder="1" applyAlignment="1">
      <alignment horizontal="left" vertical="center" wrapText="1"/>
    </xf>
    <xf numFmtId="0" fontId="10" fillId="4" borderId="14" xfId="0" applyFont="1" applyFill="1" applyBorder="1" applyAlignment="1" applyProtection="1">
      <alignment horizontal="center" vertical="center"/>
    </xf>
    <xf numFmtId="0" fontId="7" fillId="0" borderId="14" xfId="0" applyFont="1" applyBorder="1" applyAlignment="1" applyProtection="1">
      <alignment horizontal="center" vertical="center"/>
      <protection locked="0"/>
    </xf>
    <xf numFmtId="0" fontId="8" fillId="6" borderId="15" xfId="0" applyFont="1" applyFill="1" applyBorder="1" applyAlignment="1">
      <alignment horizontal="center" vertical="center"/>
    </xf>
    <xf numFmtId="0" fontId="7" fillId="0" borderId="53" xfId="0" applyFont="1" applyBorder="1" applyAlignment="1">
      <alignment horizontal="left" vertical="center" wrapText="1"/>
    </xf>
    <xf numFmtId="0" fontId="10" fillId="4" borderId="30" xfId="0" applyFont="1" applyFill="1" applyBorder="1" applyAlignment="1" applyProtection="1">
      <alignment horizontal="center" vertical="center"/>
    </xf>
    <xf numFmtId="0" fontId="10" fillId="4" borderId="11" xfId="0"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0" fontId="8" fillId="0" borderId="52" xfId="0" applyFont="1" applyBorder="1" applyAlignment="1">
      <alignment horizontal="left" vertical="center" wrapText="1"/>
    </xf>
    <xf numFmtId="0" fontId="13" fillId="4" borderId="14" xfId="0" applyFont="1" applyFill="1" applyBorder="1" applyAlignment="1" applyProtection="1">
      <alignment horizontal="center" vertical="center"/>
    </xf>
    <xf numFmtId="0" fontId="11" fillId="0" borderId="14" xfId="0" applyFont="1" applyBorder="1" applyAlignment="1" applyProtection="1">
      <alignment horizontal="center" vertical="center"/>
      <protection locked="0"/>
    </xf>
    <xf numFmtId="0" fontId="7" fillId="4" borderId="30" xfId="0" applyFont="1" applyFill="1" applyBorder="1" applyAlignment="1" applyProtection="1">
      <alignment horizontal="center" vertical="center"/>
    </xf>
    <xf numFmtId="0" fontId="7" fillId="4" borderId="11" xfId="0" applyFont="1" applyFill="1" applyBorder="1" applyAlignment="1" applyProtection="1">
      <alignment horizontal="center" vertical="center"/>
    </xf>
    <xf numFmtId="0" fontId="8" fillId="4" borderId="31" xfId="0" applyFont="1" applyFill="1" applyBorder="1" applyAlignment="1" applyProtection="1">
      <alignment horizontal="center" vertical="center"/>
    </xf>
    <xf numFmtId="0" fontId="8" fillId="4" borderId="14" xfId="0" applyFont="1" applyFill="1" applyBorder="1" applyAlignment="1" applyProtection="1">
      <alignment horizontal="center" vertical="center"/>
    </xf>
    <xf numFmtId="0" fontId="7" fillId="4" borderId="14" xfId="0" applyFont="1" applyFill="1" applyBorder="1" applyAlignment="1" applyProtection="1">
      <alignment horizontal="center" vertical="center"/>
    </xf>
    <xf numFmtId="0" fontId="7" fillId="4" borderId="31" xfId="0" applyFont="1" applyFill="1" applyBorder="1" applyAlignment="1" applyProtection="1">
      <alignment horizontal="center" vertical="center"/>
    </xf>
    <xf numFmtId="0" fontId="7" fillId="10" borderId="11" xfId="0" applyFont="1" applyFill="1" applyBorder="1" applyAlignment="1" applyProtection="1">
      <alignment horizontal="center" vertical="center"/>
    </xf>
    <xf numFmtId="0" fontId="11" fillId="0" borderId="14" xfId="0" applyFont="1" applyBorder="1" applyAlignment="1" applyProtection="1">
      <alignment horizontal="center" vertical="center"/>
    </xf>
    <xf numFmtId="0" fontId="19" fillId="0" borderId="14" xfId="0" applyFont="1" applyBorder="1" applyAlignment="1" applyProtection="1">
      <alignment horizontal="center" vertical="center"/>
      <protection locked="0"/>
    </xf>
    <xf numFmtId="0" fontId="8" fillId="6" borderId="53" xfId="0" applyFont="1" applyFill="1" applyBorder="1" applyAlignment="1">
      <alignment horizontal="left" vertical="center" wrapText="1"/>
    </xf>
    <xf numFmtId="0" fontId="8" fillId="10" borderId="22" xfId="0" applyFont="1" applyFill="1" applyBorder="1" applyAlignment="1">
      <alignment horizontal="left" vertical="top" wrapText="1"/>
    </xf>
    <xf numFmtId="0" fontId="13" fillId="5" borderId="0" xfId="0" applyFont="1" applyFill="1" applyBorder="1"/>
    <xf numFmtId="0" fontId="8" fillId="0" borderId="0" xfId="0" applyFont="1" applyAlignment="1">
      <alignment horizontal="left"/>
    </xf>
    <xf numFmtId="0" fontId="8" fillId="2" borderId="42" xfId="0" applyFont="1" applyFill="1" applyBorder="1" applyAlignment="1">
      <alignment vertical="top"/>
    </xf>
    <xf numFmtId="0" fontId="8" fillId="10" borderId="42" xfId="0" applyFont="1" applyFill="1" applyBorder="1" applyAlignment="1">
      <alignment horizontal="left" vertical="top"/>
    </xf>
    <xf numFmtId="0" fontId="13" fillId="5" borderId="0" xfId="0" applyFont="1" applyFill="1" applyBorder="1" applyAlignment="1"/>
    <xf numFmtId="0" fontId="12" fillId="0" borderId="0" xfId="0" applyFont="1" applyAlignment="1"/>
    <xf numFmtId="49" fontId="14" fillId="4" borderId="8" xfId="1" applyNumberFormat="1" applyFont="1" applyFill="1" applyBorder="1" applyAlignment="1">
      <alignment horizontal="center" vertical="center"/>
    </xf>
    <xf numFmtId="0" fontId="7" fillId="2" borderId="22" xfId="0" applyFont="1" applyFill="1" applyBorder="1" applyAlignment="1">
      <alignment horizontal="left" vertical="top"/>
    </xf>
    <xf numFmtId="0" fontId="7" fillId="6" borderId="6" xfId="0" applyFont="1" applyFill="1" applyBorder="1" applyAlignment="1" applyProtection="1">
      <alignment horizontal="center" vertical="center"/>
    </xf>
    <xf numFmtId="0" fontId="7" fillId="0" borderId="42" xfId="0" applyFont="1" applyBorder="1" applyAlignment="1">
      <alignment horizontal="left" vertical="center" wrapText="1"/>
    </xf>
    <xf numFmtId="0" fontId="7" fillId="4" borderId="73" xfId="0" applyFont="1" applyFill="1" applyBorder="1" applyAlignment="1" applyProtection="1">
      <alignment horizontal="center" vertical="center"/>
    </xf>
    <xf numFmtId="0" fontId="7" fillId="4" borderId="8" xfId="0" applyFont="1" applyFill="1" applyBorder="1" applyAlignment="1" applyProtection="1">
      <alignment horizontal="center" vertical="center"/>
    </xf>
    <xf numFmtId="0" fontId="7" fillId="0" borderId="8" xfId="0" applyFont="1" applyBorder="1" applyAlignment="1" applyProtection="1">
      <alignment horizontal="center" vertical="center"/>
      <protection locked="0"/>
    </xf>
    <xf numFmtId="0" fontId="7" fillId="2" borderId="42" xfId="0" applyFont="1" applyFill="1" applyBorder="1" applyAlignment="1">
      <alignment horizontal="left" vertical="top"/>
    </xf>
    <xf numFmtId="0" fontId="7" fillId="10" borderId="42" xfId="0" applyFont="1" applyFill="1" applyBorder="1" applyAlignment="1">
      <alignment horizontal="left" vertical="top" wrapText="1"/>
    </xf>
    <xf numFmtId="0" fontId="7" fillId="2" borderId="0" xfId="0" applyFont="1" applyFill="1" applyBorder="1" applyAlignment="1">
      <alignment horizontal="left" vertical="top"/>
    </xf>
    <xf numFmtId="0" fontId="7" fillId="10" borderId="0" xfId="0" applyFont="1" applyFill="1" applyBorder="1" applyAlignment="1">
      <alignment horizontal="left" vertical="top" wrapText="1"/>
    </xf>
    <xf numFmtId="0" fontId="8" fillId="10" borderId="0" xfId="0" applyFont="1" applyFill="1" applyBorder="1" applyAlignment="1">
      <alignment horizontal="left" vertical="top" wrapText="1"/>
    </xf>
    <xf numFmtId="0" fontId="7" fillId="5" borderId="9" xfId="0" applyFont="1" applyFill="1" applyBorder="1" applyAlignment="1" applyProtection="1">
      <alignment horizontal="center" vertical="center"/>
      <protection locked="0"/>
    </xf>
    <xf numFmtId="0" fontId="7" fillId="2" borderId="43" xfId="0" applyFont="1" applyFill="1" applyBorder="1" applyAlignment="1">
      <alignment vertical="top"/>
    </xf>
    <xf numFmtId="0" fontId="7" fillId="5" borderId="6" xfId="0" applyFont="1" applyFill="1" applyBorder="1" applyAlignment="1" applyProtection="1">
      <alignment horizontal="center" vertical="center"/>
      <protection locked="0"/>
    </xf>
    <xf numFmtId="0" fontId="7" fillId="2" borderId="22" xfId="0" applyFont="1" applyFill="1" applyBorder="1" applyAlignment="1">
      <alignment vertical="top"/>
    </xf>
    <xf numFmtId="0" fontId="7" fillId="4" borderId="35" xfId="0" applyFont="1" applyFill="1" applyBorder="1" applyAlignment="1" applyProtection="1">
      <alignment horizontal="center" vertical="center"/>
    </xf>
    <xf numFmtId="0" fontId="7" fillId="4" borderId="71" xfId="0" applyFont="1" applyFill="1" applyBorder="1" applyAlignment="1" applyProtection="1">
      <alignment horizontal="center" vertical="center"/>
    </xf>
    <xf numFmtId="0" fontId="7" fillId="4" borderId="72" xfId="0" applyFont="1" applyFill="1" applyBorder="1" applyAlignment="1" applyProtection="1">
      <alignment horizontal="center" vertical="center"/>
    </xf>
    <xf numFmtId="0" fontId="7" fillId="5" borderId="53" xfId="0" applyFont="1" applyFill="1" applyBorder="1" applyAlignment="1">
      <alignment horizontal="left" vertical="center" wrapText="1"/>
    </xf>
    <xf numFmtId="0" fontId="7" fillId="5" borderId="42" xfId="0" applyFont="1" applyFill="1" applyBorder="1" applyAlignment="1">
      <alignment horizontal="left" vertical="center" wrapText="1"/>
    </xf>
    <xf numFmtId="0" fontId="7" fillId="0" borderId="37" xfId="0" applyFont="1" applyBorder="1" applyAlignment="1" applyProtection="1">
      <alignment horizontal="center" vertical="center"/>
      <protection locked="0"/>
    </xf>
    <xf numFmtId="0" fontId="7" fillId="2" borderId="43" xfId="0" applyFont="1" applyFill="1" applyBorder="1" applyAlignment="1">
      <alignment horizontal="left" vertical="top"/>
    </xf>
    <xf numFmtId="0" fontId="7" fillId="10" borderId="43" xfId="0" applyFont="1" applyFill="1" applyBorder="1" applyAlignment="1">
      <alignment horizontal="left" vertical="top"/>
    </xf>
    <xf numFmtId="0" fontId="7" fillId="0" borderId="31" xfId="0" applyFont="1" applyBorder="1" applyAlignment="1" applyProtection="1">
      <alignment horizontal="center" vertical="center"/>
      <protection locked="0"/>
    </xf>
    <xf numFmtId="0" fontId="7" fillId="0" borderId="30" xfId="0" applyFont="1" applyBorder="1" applyAlignment="1" applyProtection="1">
      <alignment horizontal="center" vertical="center" wrapText="1"/>
      <protection locked="0"/>
    </xf>
    <xf numFmtId="0" fontId="7" fillId="0" borderId="11" xfId="0" applyFont="1" applyBorder="1" applyAlignment="1" applyProtection="1">
      <alignment horizontal="center" vertical="center" wrapText="1"/>
      <protection locked="0"/>
    </xf>
    <xf numFmtId="0" fontId="7" fillId="0" borderId="31" xfId="0" applyFont="1" applyBorder="1" applyAlignment="1" applyProtection="1">
      <alignment horizontal="center" vertical="center" wrapText="1"/>
      <protection locked="0"/>
    </xf>
    <xf numFmtId="0" fontId="7" fillId="0" borderId="14" xfId="0" applyFont="1" applyBorder="1" applyAlignment="1" applyProtection="1">
      <alignment horizontal="center" vertical="center" wrapText="1"/>
      <protection locked="0"/>
    </xf>
    <xf numFmtId="0" fontId="18" fillId="5" borderId="53" xfId="0" applyFont="1" applyFill="1" applyBorder="1" applyAlignment="1">
      <alignment horizontal="left" vertical="center" wrapText="1"/>
    </xf>
    <xf numFmtId="0" fontId="7" fillId="5" borderId="30" xfId="0" applyFont="1" applyFill="1" applyBorder="1" applyAlignment="1" applyProtection="1">
      <alignment horizontal="center" vertical="center"/>
      <protection locked="0"/>
    </xf>
    <xf numFmtId="0" fontId="7" fillId="5" borderId="11" xfId="0" applyFont="1" applyFill="1" applyBorder="1" applyAlignment="1" applyProtection="1">
      <alignment horizontal="center" vertical="center"/>
      <protection locked="0"/>
    </xf>
    <xf numFmtId="0" fontId="7" fillId="5" borderId="0" xfId="0" applyFont="1" applyFill="1" applyAlignment="1">
      <alignment horizontal="left"/>
    </xf>
    <xf numFmtId="0" fontId="18" fillId="5" borderId="52" xfId="0" applyFont="1" applyFill="1" applyBorder="1" applyAlignment="1">
      <alignment horizontal="left" vertical="center" wrapText="1"/>
    </xf>
    <xf numFmtId="0" fontId="7" fillId="5" borderId="31" xfId="0" applyFont="1" applyFill="1" applyBorder="1" applyAlignment="1" applyProtection="1">
      <alignment horizontal="center" vertical="center"/>
      <protection locked="0"/>
    </xf>
    <xf numFmtId="0" fontId="7" fillId="5" borderId="14" xfId="0" applyFont="1" applyFill="1" applyBorder="1" applyAlignment="1" applyProtection="1">
      <alignment horizontal="center" vertical="center"/>
      <protection locked="0"/>
    </xf>
    <xf numFmtId="0" fontId="18" fillId="5" borderId="43" xfId="0" applyFont="1" applyFill="1" applyBorder="1" applyAlignment="1">
      <alignment horizontal="left" vertical="center" wrapText="1"/>
    </xf>
    <xf numFmtId="0" fontId="7" fillId="5" borderId="37" xfId="0" applyFont="1" applyFill="1" applyBorder="1" applyAlignment="1" applyProtection="1">
      <alignment horizontal="center" vertical="center"/>
      <protection locked="0"/>
    </xf>
    <xf numFmtId="0" fontId="18" fillId="5" borderId="42" xfId="0" applyFont="1" applyFill="1" applyBorder="1" applyAlignment="1">
      <alignment horizontal="left" vertical="center" wrapText="1"/>
    </xf>
    <xf numFmtId="0" fontId="7" fillId="5" borderId="35" xfId="0" applyFont="1" applyFill="1" applyBorder="1" applyAlignment="1" applyProtection="1">
      <alignment horizontal="center" vertical="center"/>
      <protection locked="0"/>
    </xf>
    <xf numFmtId="0" fontId="7" fillId="5" borderId="8" xfId="0" applyFont="1" applyFill="1" applyBorder="1" applyAlignment="1" applyProtection="1">
      <alignment horizontal="center" vertical="center"/>
      <protection locked="0"/>
    </xf>
    <xf numFmtId="0" fontId="7" fillId="2" borderId="9" xfId="0" applyFont="1" applyFill="1" applyBorder="1" applyAlignment="1" applyProtection="1">
      <alignment horizontal="center" vertical="center"/>
    </xf>
    <xf numFmtId="0" fontId="7" fillId="2" borderId="6" xfId="0" applyFont="1" applyFill="1" applyBorder="1" applyAlignment="1" applyProtection="1">
      <alignment horizontal="center" vertical="center"/>
    </xf>
    <xf numFmtId="0" fontId="8" fillId="3" borderId="22" xfId="0" applyFont="1" applyFill="1" applyBorder="1" applyAlignment="1">
      <alignment horizontal="left" vertical="center" wrapText="1"/>
    </xf>
    <xf numFmtId="0" fontId="7" fillId="3" borderId="6" xfId="0" applyFont="1" applyFill="1" applyBorder="1" applyAlignment="1" applyProtection="1">
      <alignment horizontal="center" vertical="center"/>
    </xf>
    <xf numFmtId="0" fontId="7" fillId="4" borderId="6" xfId="0" applyFont="1" applyFill="1" applyBorder="1" applyAlignment="1" applyProtection="1">
      <alignment horizontal="center" vertical="center"/>
      <protection locked="0"/>
    </xf>
    <xf numFmtId="0" fontId="8" fillId="12" borderId="22" xfId="0" applyFont="1" applyFill="1" applyBorder="1" applyAlignment="1">
      <alignment horizontal="left" vertical="center" wrapText="1"/>
    </xf>
    <xf numFmtId="0" fontId="7" fillId="0" borderId="6" xfId="0" applyFont="1" applyFill="1" applyBorder="1" applyAlignment="1" applyProtection="1">
      <alignment horizontal="center" vertical="center"/>
      <protection locked="0"/>
    </xf>
    <xf numFmtId="0" fontId="7" fillId="2" borderId="14" xfId="0" applyFont="1" applyFill="1" applyBorder="1" applyAlignment="1" applyProtection="1">
      <alignment horizontal="center" vertical="center"/>
    </xf>
    <xf numFmtId="0" fontId="7" fillId="2" borderId="11" xfId="0" applyFont="1" applyFill="1" applyBorder="1" applyAlignment="1" applyProtection="1">
      <alignment horizontal="center" vertical="center"/>
    </xf>
    <xf numFmtId="0" fontId="7" fillId="0" borderId="80" xfId="0" applyFont="1" applyBorder="1" applyAlignment="1">
      <alignment horizontal="left" vertical="center" wrapText="1"/>
    </xf>
    <xf numFmtId="1" fontId="8" fillId="6" borderId="30" xfId="0" applyNumberFormat="1" applyFont="1" applyFill="1" applyBorder="1" applyAlignment="1" applyProtection="1">
      <alignment horizontal="center" vertical="center"/>
    </xf>
    <xf numFmtId="0" fontId="7" fillId="0" borderId="81" xfId="0" applyFont="1" applyBorder="1" applyAlignment="1">
      <alignment horizontal="left" vertical="center" wrapText="1"/>
    </xf>
    <xf numFmtId="0" fontId="7" fillId="0" borderId="35" xfId="0" applyFont="1" applyBorder="1" applyAlignment="1" applyProtection="1">
      <alignment horizontal="center" vertical="center" wrapText="1"/>
      <protection locked="0"/>
    </xf>
    <xf numFmtId="0" fontId="8" fillId="6" borderId="81" xfId="0" applyFont="1" applyFill="1" applyBorder="1" applyAlignment="1">
      <alignment horizontal="left" vertical="center" wrapText="1"/>
    </xf>
    <xf numFmtId="0" fontId="8" fillId="6" borderId="85" xfId="0" applyFont="1" applyFill="1" applyBorder="1" applyAlignment="1" applyProtection="1">
      <alignment horizontal="center" vertical="center" wrapText="1"/>
    </xf>
    <xf numFmtId="0" fontId="8" fillId="6" borderId="65" xfId="0" applyFont="1" applyFill="1" applyBorder="1" applyAlignment="1">
      <alignment horizontal="center" vertical="center"/>
    </xf>
    <xf numFmtId="0" fontId="7" fillId="0" borderId="70" xfId="0" applyFont="1" applyBorder="1" applyAlignment="1" applyProtection="1">
      <alignment horizontal="center" vertical="center" wrapText="1"/>
      <protection locked="0"/>
    </xf>
    <xf numFmtId="0" fontId="7" fillId="0" borderId="67" xfId="0" applyFont="1" applyBorder="1" applyAlignment="1" applyProtection="1">
      <alignment horizontal="center" vertical="center" wrapText="1"/>
      <protection locked="0"/>
    </xf>
    <xf numFmtId="0" fontId="7" fillId="0" borderId="68" xfId="0" applyFont="1" applyBorder="1" applyAlignment="1" applyProtection="1">
      <alignment horizontal="center" vertical="center" wrapText="1"/>
      <protection locked="0"/>
    </xf>
    <xf numFmtId="0" fontId="7" fillId="0" borderId="76" xfId="0" applyFont="1" applyBorder="1" applyAlignment="1" applyProtection="1">
      <alignment horizontal="center" vertical="center" wrapText="1"/>
      <protection locked="0"/>
    </xf>
    <xf numFmtId="0" fontId="7" fillId="0" borderId="82" xfId="0" applyFont="1" applyBorder="1" applyAlignment="1">
      <alignment horizontal="left" vertical="center" wrapText="1"/>
    </xf>
    <xf numFmtId="0" fontId="7" fillId="0" borderId="69" xfId="0" applyFont="1" applyBorder="1" applyAlignment="1" applyProtection="1">
      <alignment horizontal="center" vertical="center" wrapText="1"/>
      <protection locked="0"/>
    </xf>
    <xf numFmtId="0" fontId="7" fillId="0" borderId="78" xfId="0" applyFont="1" applyBorder="1" applyAlignment="1" applyProtection="1">
      <alignment horizontal="center" vertical="center" wrapText="1"/>
      <protection locked="0"/>
    </xf>
    <xf numFmtId="0" fontId="7" fillId="0" borderId="83" xfId="0" applyFont="1" applyBorder="1" applyAlignment="1" applyProtection="1">
      <alignment horizontal="center" vertical="center" wrapText="1"/>
      <protection locked="0"/>
    </xf>
    <xf numFmtId="1" fontId="8" fillId="0" borderId="30" xfId="0" applyNumberFormat="1" applyFont="1" applyFill="1" applyBorder="1" applyAlignment="1" applyProtection="1">
      <alignment horizontal="center" vertical="center"/>
      <protection locked="0"/>
    </xf>
    <xf numFmtId="0" fontId="7" fillId="0" borderId="84" xfId="0" applyFont="1" applyBorder="1" applyAlignment="1">
      <alignment horizontal="left" vertical="center" wrapText="1"/>
    </xf>
    <xf numFmtId="0" fontId="8" fillId="6" borderId="66" xfId="0" applyFont="1" applyFill="1" applyBorder="1" applyAlignment="1">
      <alignment horizontal="center" vertical="center"/>
    </xf>
    <xf numFmtId="0" fontId="8" fillId="6" borderId="64" xfId="0" applyFont="1" applyFill="1" applyBorder="1" applyAlignment="1">
      <alignment horizontal="center" vertical="center"/>
    </xf>
    <xf numFmtId="0" fontId="8" fillId="6" borderId="61" xfId="0" applyFont="1" applyFill="1" applyBorder="1" applyAlignment="1">
      <alignment horizontal="center" vertical="center"/>
    </xf>
    <xf numFmtId="0" fontId="7" fillId="0" borderId="37" xfId="0" applyFont="1" applyBorder="1" applyAlignment="1" applyProtection="1">
      <alignment horizontal="center" vertical="center" wrapText="1"/>
      <protection locked="0"/>
    </xf>
    <xf numFmtId="0" fontId="7" fillId="5" borderId="22" xfId="0" applyFont="1" applyFill="1" applyBorder="1" applyAlignment="1">
      <alignment horizontal="left" vertical="center" wrapText="1"/>
    </xf>
    <xf numFmtId="0" fontId="7" fillId="0" borderId="7" xfId="0" applyFont="1" applyBorder="1" applyAlignment="1" applyProtection="1">
      <alignment horizontal="center" vertical="center" wrapText="1"/>
      <protection locked="0"/>
    </xf>
    <xf numFmtId="0" fontId="7" fillId="0" borderId="6" xfId="0" applyFont="1" applyBorder="1" applyAlignment="1" applyProtection="1">
      <alignment horizontal="center" vertical="center" wrapText="1"/>
      <protection locked="0"/>
    </xf>
    <xf numFmtId="0" fontId="7" fillId="5" borderId="7" xfId="0" applyFont="1" applyFill="1" applyBorder="1" applyAlignment="1" applyProtection="1">
      <alignment horizontal="center" vertical="center"/>
      <protection locked="0"/>
    </xf>
    <xf numFmtId="0" fontId="7" fillId="12" borderId="43" xfId="0" applyFont="1" applyFill="1" applyBorder="1" applyAlignment="1">
      <alignment horizontal="left" vertical="center" wrapText="1"/>
    </xf>
    <xf numFmtId="0" fontId="7" fillId="10" borderId="43" xfId="0" applyFont="1" applyFill="1" applyBorder="1" applyAlignment="1">
      <alignment wrapText="1"/>
    </xf>
    <xf numFmtId="0" fontId="7" fillId="12" borderId="22" xfId="0" applyFont="1" applyFill="1" applyBorder="1" applyAlignment="1">
      <alignment horizontal="left" vertical="center" wrapText="1"/>
    </xf>
    <xf numFmtId="0" fontId="11" fillId="0" borderId="6" xfId="0" applyFont="1" applyBorder="1" applyAlignment="1" applyProtection="1">
      <alignment horizontal="center" vertical="center"/>
      <protection locked="0"/>
    </xf>
    <xf numFmtId="0" fontId="11" fillId="4" borderId="6" xfId="0" applyFont="1" applyFill="1" applyBorder="1" applyAlignment="1" applyProtection="1">
      <alignment horizontal="center" vertical="center"/>
    </xf>
    <xf numFmtId="0" fontId="7" fillId="10" borderId="22" xfId="0" applyFont="1" applyFill="1" applyBorder="1" applyAlignment="1">
      <alignment wrapText="1"/>
    </xf>
    <xf numFmtId="49" fontId="7" fillId="6" borderId="22" xfId="0" applyNumberFormat="1" applyFont="1" applyFill="1" applyBorder="1" applyAlignment="1">
      <alignment horizontal="left" vertical="center" wrapText="1"/>
    </xf>
    <xf numFmtId="49" fontId="8" fillId="6" borderId="6" xfId="0" applyNumberFormat="1" applyFont="1" applyFill="1" applyBorder="1" applyAlignment="1" applyProtection="1">
      <alignment horizontal="center" vertical="center"/>
    </xf>
    <xf numFmtId="49" fontId="7" fillId="6" borderId="52" xfId="0" applyNumberFormat="1" applyFont="1" applyFill="1" applyBorder="1" applyAlignment="1">
      <alignment horizontal="left" vertical="center" wrapText="1"/>
    </xf>
    <xf numFmtId="49" fontId="8" fillId="6" borderId="14" xfId="0" applyNumberFormat="1" applyFont="1" applyFill="1" applyBorder="1" applyAlignment="1" applyProtection="1">
      <alignment horizontal="center" vertical="center"/>
    </xf>
    <xf numFmtId="0" fontId="7" fillId="12" borderId="53" xfId="0" applyFont="1" applyFill="1" applyBorder="1" applyAlignment="1">
      <alignment horizontal="left" vertical="center" wrapText="1"/>
    </xf>
    <xf numFmtId="0" fontId="8" fillId="0" borderId="22" xfId="0" applyFont="1" applyBorder="1" applyAlignment="1">
      <alignment horizontal="left" vertical="center" wrapText="1"/>
    </xf>
    <xf numFmtId="0" fontId="11" fillId="4" borderId="14" xfId="0" applyFont="1" applyFill="1" applyBorder="1" applyAlignment="1" applyProtection="1">
      <alignment horizontal="center" vertical="center"/>
    </xf>
    <xf numFmtId="0" fontId="8" fillId="4" borderId="7" xfId="0" applyFont="1" applyFill="1" applyBorder="1" applyAlignment="1" applyProtection="1">
      <alignment horizontal="center" vertical="center"/>
    </xf>
    <xf numFmtId="0" fontId="8" fillId="4" borderId="6" xfId="0" applyFont="1" applyFill="1" applyBorder="1" applyAlignment="1" applyProtection="1">
      <alignment horizontal="center" vertical="center"/>
    </xf>
    <xf numFmtId="49" fontId="8" fillId="6" borderId="52" xfId="0" applyNumberFormat="1" applyFont="1" applyFill="1" applyBorder="1" applyAlignment="1">
      <alignment horizontal="left" vertical="center" wrapText="1"/>
    </xf>
    <xf numFmtId="49" fontId="8" fillId="6" borderId="31" xfId="0" applyNumberFormat="1" applyFont="1" applyFill="1" applyBorder="1" applyAlignment="1" applyProtection="1">
      <alignment horizontal="center" vertical="center"/>
    </xf>
    <xf numFmtId="0" fontId="11" fillId="5" borderId="30" xfId="0" applyFont="1" applyFill="1" applyBorder="1" applyAlignment="1" applyProtection="1">
      <alignment horizontal="center" vertical="center"/>
      <protection locked="0"/>
    </xf>
    <xf numFmtId="0" fontId="11" fillId="5" borderId="11" xfId="0" applyFont="1" applyFill="1" applyBorder="1" applyAlignment="1" applyProtection="1">
      <alignment horizontal="center" vertical="center"/>
      <protection locked="0"/>
    </xf>
    <xf numFmtId="0" fontId="11" fillId="5" borderId="7" xfId="0" applyFont="1" applyFill="1" applyBorder="1" applyAlignment="1" applyProtection="1">
      <alignment horizontal="center" vertical="center"/>
      <protection locked="0"/>
    </xf>
    <xf numFmtId="0" fontId="11" fillId="5" borderId="6" xfId="0" applyFont="1" applyFill="1" applyBorder="1" applyAlignment="1" applyProtection="1">
      <alignment horizontal="center" vertical="center"/>
      <protection locked="0"/>
    </xf>
    <xf numFmtId="49" fontId="8" fillId="6" borderId="42" xfId="0" applyNumberFormat="1" applyFont="1" applyFill="1" applyBorder="1" applyAlignment="1">
      <alignment horizontal="left" vertical="center" wrapText="1"/>
    </xf>
    <xf numFmtId="49" fontId="8" fillId="6" borderId="35" xfId="0" applyNumberFormat="1" applyFont="1" applyFill="1" applyBorder="1" applyAlignment="1" applyProtection="1">
      <alignment horizontal="center" vertical="center"/>
    </xf>
    <xf numFmtId="0" fontId="10" fillId="2" borderId="22" xfId="0" applyFont="1" applyFill="1" applyBorder="1" applyAlignment="1">
      <alignment horizontal="left" vertical="top"/>
    </xf>
    <xf numFmtId="0" fontId="7" fillId="4" borderId="18" xfId="0" applyFont="1" applyFill="1" applyBorder="1" applyAlignment="1" applyProtection="1">
      <alignment horizontal="center" vertical="center"/>
    </xf>
    <xf numFmtId="0" fontId="7" fillId="0" borderId="18" xfId="0" applyFont="1" applyBorder="1" applyAlignment="1" applyProtection="1">
      <alignment horizontal="center" vertical="center"/>
      <protection locked="0"/>
    </xf>
    <xf numFmtId="0" fontId="8" fillId="6" borderId="38" xfId="0" applyFont="1" applyFill="1" applyBorder="1" applyAlignment="1">
      <alignment horizontal="left" vertical="center" wrapText="1"/>
    </xf>
    <xf numFmtId="0" fontId="25" fillId="6" borderId="39" xfId="2" applyFont="1" applyFill="1" applyBorder="1" applyAlignment="1" applyProtection="1">
      <alignment horizontal="center" vertical="center" wrapText="1"/>
    </xf>
    <xf numFmtId="0" fontId="25" fillId="6" borderId="18" xfId="2" applyFont="1" applyFill="1" applyBorder="1" applyAlignment="1" applyProtection="1">
      <alignment horizontal="center" vertical="center" wrapText="1"/>
    </xf>
    <xf numFmtId="0" fontId="10" fillId="5" borderId="0" xfId="0" applyFont="1" applyFill="1" applyBorder="1" applyAlignment="1">
      <alignment wrapText="1"/>
    </xf>
    <xf numFmtId="0" fontId="7" fillId="0" borderId="0" xfId="0" applyFont="1" applyAlignment="1">
      <alignment horizontal="left" wrapText="1"/>
    </xf>
    <xf numFmtId="0" fontId="5" fillId="0" borderId="0" xfId="0" applyFont="1" applyAlignment="1">
      <alignment wrapText="1"/>
    </xf>
    <xf numFmtId="0" fontId="7" fillId="0" borderId="30" xfId="0" applyFont="1" applyBorder="1" applyAlignment="1" applyProtection="1">
      <alignment horizontal="center" vertical="center"/>
      <protection locked="0"/>
    </xf>
    <xf numFmtId="0" fontId="7" fillId="0" borderId="7" xfId="0" applyFont="1" applyBorder="1" applyAlignment="1" applyProtection="1">
      <alignment horizontal="center" vertical="center"/>
      <protection locked="0"/>
    </xf>
    <xf numFmtId="0" fontId="21" fillId="0" borderId="10" xfId="0" applyFont="1" applyBorder="1" applyAlignment="1">
      <alignment horizontal="left" vertical="center" wrapText="1"/>
    </xf>
    <xf numFmtId="0" fontId="7" fillId="0" borderId="16" xfId="0" applyFont="1" applyBorder="1" applyAlignment="1" applyProtection="1">
      <alignment horizontal="center" vertical="center"/>
      <protection locked="0"/>
    </xf>
    <xf numFmtId="0" fontId="8" fillId="6" borderId="52" xfId="0" applyFont="1" applyFill="1" applyBorder="1" applyAlignment="1">
      <alignment horizontal="left" vertical="center" wrapText="1"/>
    </xf>
    <xf numFmtId="0" fontId="25" fillId="6" borderId="31" xfId="2" applyFont="1" applyFill="1" applyBorder="1" applyAlignment="1" applyProtection="1">
      <alignment horizontal="center" vertical="center"/>
    </xf>
    <xf numFmtId="0" fontId="8" fillId="6" borderId="29" xfId="0" applyFont="1" applyFill="1" applyBorder="1" applyAlignment="1">
      <alignment horizontal="left" vertical="center" wrapText="1"/>
    </xf>
    <xf numFmtId="0" fontId="7" fillId="0" borderId="44" xfId="0" applyFont="1" applyBorder="1" applyAlignment="1">
      <alignment horizontal="left" vertical="center" wrapText="1"/>
    </xf>
    <xf numFmtId="0" fontId="7" fillId="6" borderId="31" xfId="0" applyFont="1" applyFill="1" applyBorder="1" applyAlignment="1" applyProtection="1">
      <alignment horizontal="center" vertical="center"/>
    </xf>
    <xf numFmtId="0" fontId="7" fillId="6" borderId="14" xfId="0" applyFont="1" applyFill="1" applyBorder="1" applyAlignment="1" applyProtection="1">
      <alignment horizontal="center" vertical="center"/>
    </xf>
    <xf numFmtId="0" fontId="25" fillId="6" borderId="30" xfId="2" applyFont="1" applyFill="1" applyBorder="1" applyAlignment="1" applyProtection="1">
      <alignment horizontal="center" vertical="center"/>
    </xf>
    <xf numFmtId="0" fontId="7" fillId="0" borderId="35" xfId="0" applyFont="1" applyBorder="1" applyAlignment="1" applyProtection="1">
      <alignment horizontal="center" vertical="center"/>
      <protection locked="0"/>
    </xf>
    <xf numFmtId="1" fontId="14" fillId="5" borderId="30" xfId="1" applyNumberFormat="1" applyFont="1" applyFill="1" applyBorder="1" applyAlignment="1" applyProtection="1">
      <alignment horizontal="center" vertical="center"/>
      <protection locked="0"/>
    </xf>
    <xf numFmtId="1" fontId="14" fillId="5" borderId="11" xfId="1" applyNumberFormat="1" applyFont="1" applyFill="1" applyBorder="1" applyAlignment="1" applyProtection="1">
      <alignment horizontal="center" vertical="center"/>
      <protection locked="0"/>
    </xf>
    <xf numFmtId="0" fontId="8" fillId="7" borderId="22" xfId="0" applyFont="1" applyFill="1" applyBorder="1" applyAlignment="1">
      <alignment horizontal="center" vertical="center"/>
    </xf>
    <xf numFmtId="0" fontId="8" fillId="8" borderId="22" xfId="0" applyFont="1" applyFill="1" applyBorder="1" applyAlignment="1">
      <alignment horizontal="center" vertical="center"/>
    </xf>
    <xf numFmtId="1" fontId="14" fillId="5" borderId="7" xfId="1" applyNumberFormat="1" applyFont="1" applyFill="1" applyBorder="1" applyAlignment="1" applyProtection="1">
      <alignment horizontal="center" vertical="center"/>
      <protection locked="0"/>
    </xf>
    <xf numFmtId="1" fontId="14" fillId="5" borderId="6" xfId="1" applyNumberFormat="1" applyFont="1" applyFill="1" applyBorder="1" applyAlignment="1" applyProtection="1">
      <alignment horizontal="center" vertical="center"/>
      <protection locked="0"/>
    </xf>
    <xf numFmtId="1" fontId="14" fillId="5" borderId="31" xfId="1" applyNumberFormat="1" applyFont="1" applyFill="1" applyBorder="1" applyAlignment="1" applyProtection="1">
      <alignment horizontal="center" vertical="center"/>
      <protection locked="0"/>
    </xf>
    <xf numFmtId="1" fontId="14" fillId="5" borderId="14" xfId="1" applyNumberFormat="1" applyFont="1" applyFill="1" applyBorder="1" applyAlignment="1" applyProtection="1">
      <alignment horizontal="center" vertical="center"/>
      <protection locked="0"/>
    </xf>
    <xf numFmtId="0" fontId="8" fillId="3" borderId="52" xfId="0" applyFont="1" applyFill="1" applyBorder="1" applyAlignment="1">
      <alignment horizontal="left" vertical="center" wrapText="1"/>
    </xf>
    <xf numFmtId="0" fontId="7" fillId="3" borderId="31" xfId="0" applyFont="1" applyFill="1" applyBorder="1" applyAlignment="1" applyProtection="1">
      <alignment horizontal="center" vertical="center"/>
    </xf>
    <xf numFmtId="0" fontId="7" fillId="3" borderId="14" xfId="0" applyFont="1" applyFill="1" applyBorder="1" applyAlignment="1" applyProtection="1">
      <alignment horizontal="center" vertical="center"/>
    </xf>
    <xf numFmtId="0" fontId="7" fillId="3" borderId="15" xfId="0" applyFont="1" applyFill="1" applyBorder="1" applyAlignment="1" applyProtection="1">
      <alignment horizontal="center" vertical="center"/>
      <protection locked="0"/>
    </xf>
    <xf numFmtId="0" fontId="5" fillId="5" borderId="0" xfId="0" applyFont="1" applyFill="1" applyAlignment="1"/>
    <xf numFmtId="0" fontId="7" fillId="5" borderId="27" xfId="0" applyFont="1" applyFill="1" applyBorder="1" applyAlignment="1">
      <alignment horizontal="left" vertical="center" wrapText="1"/>
    </xf>
    <xf numFmtId="49" fontId="14" fillId="4" borderId="30" xfId="1" applyNumberFormat="1" applyFont="1" applyFill="1" applyBorder="1" applyAlignment="1">
      <alignment horizontal="center" vertical="center"/>
    </xf>
    <xf numFmtId="49" fontId="14" fillId="4" borderId="11" xfId="1" applyNumberFormat="1" applyFont="1" applyFill="1" applyBorder="1" applyAlignment="1">
      <alignment horizontal="center" vertical="center"/>
    </xf>
    <xf numFmtId="49" fontId="8" fillId="6" borderId="29" xfId="0" applyNumberFormat="1" applyFont="1" applyFill="1" applyBorder="1" applyAlignment="1">
      <alignment horizontal="left" vertical="center" wrapText="1"/>
    </xf>
    <xf numFmtId="0" fontId="28" fillId="5" borderId="10" xfId="0" applyFont="1" applyFill="1" applyBorder="1" applyAlignment="1">
      <alignment horizontal="left" vertical="center"/>
    </xf>
    <xf numFmtId="0" fontId="8" fillId="5" borderId="47" xfId="0" applyFont="1" applyFill="1" applyBorder="1" applyAlignment="1">
      <alignment vertical="top"/>
    </xf>
    <xf numFmtId="0" fontId="9" fillId="5" borderId="135" xfId="0" applyFont="1" applyFill="1" applyBorder="1" applyAlignment="1">
      <alignment horizontal="left" vertical="center"/>
    </xf>
    <xf numFmtId="0" fontId="7" fillId="0" borderId="0" xfId="0" applyFont="1"/>
    <xf numFmtId="0" fontId="10" fillId="0" borderId="0" xfId="0" applyFont="1" applyFill="1" applyBorder="1"/>
    <xf numFmtId="0" fontId="29" fillId="0" borderId="0" xfId="0" applyFont="1" applyAlignment="1">
      <alignment horizontal="left" vertical="center" wrapText="1"/>
    </xf>
    <xf numFmtId="0" fontId="22" fillId="0" borderId="0" xfId="0" applyFont="1" applyFill="1" applyBorder="1"/>
    <xf numFmtId="0" fontId="22" fillId="5" borderId="0" xfId="0" applyFont="1" applyFill="1" applyBorder="1"/>
    <xf numFmtId="0" fontId="5" fillId="0" borderId="0" xfId="0" applyFont="1" applyAlignment="1">
      <alignment horizontal="left"/>
    </xf>
    <xf numFmtId="0" fontId="31" fillId="0" borderId="0" xfId="0" applyFont="1" applyFill="1" applyBorder="1" applyAlignment="1">
      <alignment vertical="center"/>
    </xf>
    <xf numFmtId="0" fontId="31" fillId="5" borderId="0" xfId="0" applyFont="1" applyFill="1" applyBorder="1" applyAlignment="1">
      <alignment vertical="center"/>
    </xf>
    <xf numFmtId="0" fontId="32" fillId="0" borderId="0" xfId="0" applyFont="1" applyAlignment="1">
      <alignment horizontal="left" vertical="center"/>
    </xf>
    <xf numFmtId="0" fontId="32" fillId="0" borderId="0" xfId="0" applyFont="1" applyAlignment="1">
      <alignment vertical="center"/>
    </xf>
    <xf numFmtId="0" fontId="35" fillId="0" borderId="0" xfId="0" applyFont="1" applyFill="1" applyBorder="1"/>
    <xf numFmtId="0" fontId="35" fillId="5" borderId="0" xfId="0" applyFont="1" applyFill="1" applyBorder="1"/>
    <xf numFmtId="0" fontId="36" fillId="0" borderId="0" xfId="0" applyFont="1" applyAlignment="1">
      <alignment horizontal="left"/>
    </xf>
    <xf numFmtId="0" fontId="36" fillId="0" borderId="0" xfId="0" applyFont="1"/>
    <xf numFmtId="0" fontId="38" fillId="0" borderId="0" xfId="0" applyFont="1" applyAlignment="1">
      <alignment horizontal="left" vertical="center" wrapText="1"/>
    </xf>
    <xf numFmtId="49" fontId="18" fillId="4" borderId="8" xfId="1" applyNumberFormat="1" applyFont="1" applyFill="1" applyBorder="1" applyAlignment="1">
      <alignment horizontal="center" vertical="center"/>
    </xf>
    <xf numFmtId="49" fontId="18" fillId="4" borderId="31" xfId="1" applyNumberFormat="1" applyFont="1" applyFill="1" applyBorder="1" applyAlignment="1">
      <alignment horizontal="center" vertical="center"/>
    </xf>
    <xf numFmtId="0" fontId="10" fillId="4" borderId="71" xfId="0" applyFont="1" applyFill="1" applyBorder="1" applyAlignment="1" applyProtection="1">
      <alignment horizontal="center" vertical="center"/>
    </xf>
    <xf numFmtId="0" fontId="13" fillId="4" borderId="73" xfId="0" applyFont="1" applyFill="1" applyBorder="1" applyAlignment="1" applyProtection="1">
      <alignment horizontal="center" vertical="center"/>
    </xf>
    <xf numFmtId="0" fontId="7" fillId="0" borderId="23" xfId="0" applyFont="1" applyBorder="1" applyAlignment="1">
      <alignment horizontal="left" vertical="center" wrapText="1"/>
    </xf>
    <xf numFmtId="0" fontId="8" fillId="0" borderId="25" xfId="0" applyFont="1" applyBorder="1" applyAlignment="1">
      <alignment horizontal="left" vertical="center" wrapText="1"/>
    </xf>
    <xf numFmtId="0" fontId="12" fillId="0" borderId="0" xfId="0" applyFont="1" applyAlignment="1">
      <alignment vertical="center"/>
    </xf>
    <xf numFmtId="0" fontId="11" fillId="6" borderId="157" xfId="3" applyFont="1" applyFill="1" applyBorder="1" applyAlignment="1">
      <alignment horizontal="left" vertical="center"/>
    </xf>
    <xf numFmtId="0" fontId="8" fillId="5" borderId="48" xfId="0" applyFont="1" applyFill="1" applyBorder="1" applyAlignment="1">
      <alignment horizontal="left"/>
    </xf>
    <xf numFmtId="0" fontId="8" fillId="6" borderId="158" xfId="0" applyFont="1" applyFill="1" applyBorder="1" applyAlignment="1">
      <alignment horizontal="left" vertical="center" wrapText="1"/>
    </xf>
    <xf numFmtId="0" fontId="8" fillId="2" borderId="42" xfId="0" applyFont="1" applyFill="1" applyBorder="1" applyAlignment="1">
      <alignment horizontal="left" vertical="top"/>
    </xf>
    <xf numFmtId="0" fontId="7" fillId="2" borderId="22" xfId="0" applyFont="1" applyFill="1" applyBorder="1" applyAlignment="1">
      <alignment horizontal="left" vertical="top"/>
    </xf>
    <xf numFmtId="0" fontId="8" fillId="2" borderId="22" xfId="0" applyFont="1" applyFill="1" applyBorder="1" applyAlignment="1">
      <alignment horizontal="left" vertical="top"/>
    </xf>
    <xf numFmtId="49" fontId="14" fillId="4" borderId="9" xfId="1" applyNumberFormat="1" applyFont="1" applyFill="1" applyBorder="1" applyAlignment="1">
      <alignment horizontal="center" vertical="center"/>
    </xf>
    <xf numFmtId="0" fontId="7" fillId="4" borderId="16" xfId="0" applyFont="1" applyFill="1" applyBorder="1" applyAlignment="1" applyProtection="1">
      <alignment horizontal="center" vertical="center"/>
    </xf>
    <xf numFmtId="0" fontId="7" fillId="5" borderId="0" xfId="0" applyFont="1" applyFill="1" applyBorder="1" applyAlignment="1" applyProtection="1">
      <alignment horizontal="center" vertical="center"/>
      <protection locked="0"/>
    </xf>
    <xf numFmtId="0" fontId="7" fillId="4" borderId="66" xfId="0" applyFont="1" applyFill="1" applyBorder="1" applyAlignment="1" applyProtection="1">
      <alignment horizontal="center" vertical="center"/>
    </xf>
    <xf numFmtId="0" fontId="7" fillId="4" borderId="123" xfId="0" applyFont="1" applyFill="1" applyBorder="1" applyAlignment="1" applyProtection="1">
      <alignment horizontal="center" vertical="center"/>
    </xf>
    <xf numFmtId="49" fontId="8" fillId="6" borderId="0" xfId="0" applyNumberFormat="1" applyFont="1" applyFill="1" applyBorder="1" applyAlignment="1" applyProtection="1">
      <alignment horizontal="center" vertical="center"/>
    </xf>
    <xf numFmtId="0" fontId="7" fillId="4" borderId="159" xfId="0" applyFont="1" applyFill="1" applyBorder="1" applyAlignment="1" applyProtection="1">
      <alignment horizontal="center" vertical="center"/>
    </xf>
    <xf numFmtId="0" fontId="7" fillId="0" borderId="20" xfId="0" applyFont="1" applyBorder="1" applyAlignment="1" applyProtection="1">
      <alignment horizontal="center" vertical="center"/>
      <protection locked="0"/>
    </xf>
    <xf numFmtId="0" fontId="7" fillId="0" borderId="21" xfId="0" applyFont="1" applyBorder="1" applyAlignment="1" applyProtection="1">
      <alignment horizontal="center" vertical="center"/>
      <protection locked="0"/>
    </xf>
    <xf numFmtId="0" fontId="19" fillId="0" borderId="21" xfId="0" applyFont="1" applyBorder="1" applyAlignment="1" applyProtection="1">
      <alignment horizontal="center" vertical="center"/>
      <protection locked="0"/>
    </xf>
    <xf numFmtId="0" fontId="7" fillId="0" borderId="45" xfId="0" applyFont="1" applyBorder="1" applyAlignment="1" applyProtection="1">
      <alignment horizontal="center" vertical="center"/>
      <protection locked="0"/>
    </xf>
    <xf numFmtId="0" fontId="7" fillId="0" borderId="160" xfId="0" applyFont="1" applyBorder="1" applyAlignment="1" applyProtection="1">
      <alignment horizontal="center" vertical="center"/>
      <protection locked="0"/>
    </xf>
    <xf numFmtId="0" fontId="11" fillId="0" borderId="45" xfId="0" applyFont="1" applyBorder="1" applyAlignment="1" applyProtection="1">
      <alignment horizontal="center" vertical="center"/>
      <protection locked="0"/>
    </xf>
    <xf numFmtId="0" fontId="7" fillId="4" borderId="160" xfId="0" applyFont="1" applyFill="1" applyBorder="1" applyAlignment="1" applyProtection="1">
      <alignment horizontal="center" vertical="center"/>
    </xf>
    <xf numFmtId="0" fontId="7" fillId="4" borderId="45" xfId="0" applyFont="1" applyFill="1" applyBorder="1" applyAlignment="1" applyProtection="1">
      <alignment horizontal="center" vertical="center"/>
    </xf>
    <xf numFmtId="0" fontId="7" fillId="10" borderId="160" xfId="0" applyFont="1" applyFill="1" applyBorder="1" applyAlignment="1" applyProtection="1">
      <alignment horizontal="center" vertical="center"/>
    </xf>
    <xf numFmtId="0" fontId="11" fillId="0" borderId="45" xfId="0" applyFont="1" applyBorder="1" applyAlignment="1" applyProtection="1">
      <alignment horizontal="center" vertical="center"/>
    </xf>
    <xf numFmtId="0" fontId="19" fillId="0" borderId="45" xfId="0" applyFont="1" applyBorder="1" applyAlignment="1" applyProtection="1">
      <alignment horizontal="center" vertical="center"/>
      <protection locked="0"/>
    </xf>
    <xf numFmtId="0" fontId="7" fillId="6" borderId="21" xfId="0" applyFont="1" applyFill="1" applyBorder="1" applyAlignment="1" applyProtection="1">
      <alignment horizontal="center" vertical="center"/>
    </xf>
    <xf numFmtId="0" fontId="7" fillId="0" borderId="26" xfId="0" applyFont="1" applyBorder="1" applyAlignment="1" applyProtection="1">
      <alignment horizontal="center" vertical="center"/>
      <protection locked="0"/>
    </xf>
    <xf numFmtId="0" fontId="7" fillId="5" borderId="20" xfId="0" applyFont="1" applyFill="1" applyBorder="1" applyAlignment="1" applyProtection="1">
      <alignment horizontal="center" vertical="center"/>
      <protection locked="0"/>
    </xf>
    <xf numFmtId="0" fontId="7" fillId="5" borderId="21" xfId="0" applyFont="1" applyFill="1" applyBorder="1" applyAlignment="1" applyProtection="1">
      <alignment horizontal="center" vertical="center"/>
      <protection locked="0"/>
    </xf>
    <xf numFmtId="0" fontId="7" fillId="0" borderId="32" xfId="0" applyFont="1" applyBorder="1" applyAlignment="1" applyProtection="1">
      <alignment horizontal="center" vertical="center"/>
      <protection locked="0"/>
    </xf>
    <xf numFmtId="0" fontId="7" fillId="4" borderId="26" xfId="0" applyFont="1" applyFill="1" applyBorder="1" applyAlignment="1" applyProtection="1">
      <alignment horizontal="center" vertical="center"/>
    </xf>
    <xf numFmtId="0" fontId="7" fillId="0" borderId="160" xfId="0" applyFont="1" applyBorder="1" applyAlignment="1" applyProtection="1">
      <alignment horizontal="center" vertical="center" wrapText="1"/>
      <protection locked="0"/>
    </xf>
    <xf numFmtId="0" fontId="7" fillId="0" borderId="45" xfId="0" applyFont="1" applyBorder="1" applyAlignment="1" applyProtection="1">
      <alignment horizontal="center" vertical="center" wrapText="1"/>
      <protection locked="0"/>
    </xf>
    <xf numFmtId="0" fontId="7" fillId="5" borderId="160" xfId="0" applyFont="1" applyFill="1" applyBorder="1" applyAlignment="1" applyProtection="1">
      <alignment horizontal="center" vertical="center"/>
      <protection locked="0"/>
    </xf>
    <xf numFmtId="0" fontId="7" fillId="5" borderId="45" xfId="0" applyFont="1" applyFill="1" applyBorder="1" applyAlignment="1" applyProtection="1">
      <alignment horizontal="center" vertical="center"/>
      <protection locked="0"/>
    </xf>
    <xf numFmtId="0" fontId="7" fillId="5" borderId="26" xfId="0" applyFont="1" applyFill="1" applyBorder="1" applyAlignment="1" applyProtection="1">
      <alignment horizontal="center" vertical="center"/>
      <protection locked="0"/>
    </xf>
    <xf numFmtId="0" fontId="7" fillId="3" borderId="21" xfId="0" applyFont="1" applyFill="1" applyBorder="1" applyAlignment="1" applyProtection="1">
      <alignment horizontal="center" vertical="center"/>
    </xf>
    <xf numFmtId="0" fontId="7" fillId="0" borderId="21" xfId="0" applyFont="1" applyFill="1" applyBorder="1" applyAlignment="1" applyProtection="1">
      <alignment horizontal="center" vertical="center"/>
      <protection locked="0"/>
    </xf>
    <xf numFmtId="0" fontId="7" fillId="0" borderId="42" xfId="0" applyFont="1" applyBorder="1" applyAlignment="1" applyProtection="1">
      <alignment horizontal="center" vertical="center" wrapText="1"/>
      <protection locked="0"/>
    </xf>
    <xf numFmtId="0" fontId="8" fillId="6" borderId="0" xfId="0" applyFont="1" applyFill="1" applyBorder="1" applyAlignment="1" applyProtection="1">
      <alignment horizontal="center" vertical="center" wrapText="1"/>
    </xf>
    <xf numFmtId="0" fontId="7" fillId="0" borderId="0" xfId="0" applyFont="1" applyBorder="1" applyAlignment="1" applyProtection="1">
      <alignment horizontal="center" vertical="center" wrapText="1"/>
      <protection locked="0"/>
    </xf>
    <xf numFmtId="1" fontId="8" fillId="0" borderId="43" xfId="0" applyNumberFormat="1" applyFont="1" applyFill="1" applyBorder="1" applyAlignment="1" applyProtection="1">
      <alignment horizontal="center" vertical="center"/>
      <protection locked="0"/>
    </xf>
    <xf numFmtId="1" fontId="8" fillId="6" borderId="43" xfId="0" applyNumberFormat="1" applyFont="1" applyFill="1" applyBorder="1" applyAlignment="1" applyProtection="1">
      <alignment horizontal="center" vertical="center"/>
    </xf>
    <xf numFmtId="0" fontId="7" fillId="0" borderId="43" xfId="0" applyFont="1" applyBorder="1" applyAlignment="1" applyProtection="1">
      <alignment horizontal="center" vertical="center" wrapText="1"/>
      <protection locked="0"/>
    </xf>
    <xf numFmtId="0" fontId="7" fillId="0" borderId="21" xfId="0" applyFont="1" applyBorder="1" applyAlignment="1" applyProtection="1">
      <alignment horizontal="center" vertical="center" wrapText="1"/>
      <protection locked="0"/>
    </xf>
    <xf numFmtId="0" fontId="7" fillId="5" borderId="22" xfId="0" applyFont="1" applyFill="1" applyBorder="1" applyAlignment="1" applyProtection="1">
      <alignment horizontal="center" vertical="center"/>
      <protection locked="0"/>
    </xf>
    <xf numFmtId="0" fontId="7" fillId="5" borderId="52" xfId="0" applyFont="1" applyFill="1" applyBorder="1" applyAlignment="1" applyProtection="1">
      <alignment horizontal="center" vertical="center"/>
      <protection locked="0"/>
    </xf>
    <xf numFmtId="0" fontId="7" fillId="4" borderId="20" xfId="0" applyFont="1" applyFill="1" applyBorder="1" applyAlignment="1" applyProtection="1">
      <alignment horizontal="center" vertical="center"/>
    </xf>
    <xf numFmtId="0" fontId="7" fillId="4" borderId="21" xfId="0" applyFont="1" applyFill="1" applyBorder="1" applyAlignment="1" applyProtection="1">
      <alignment horizontal="center" vertical="center"/>
    </xf>
    <xf numFmtId="0" fontId="7" fillId="4" borderId="51" xfId="0" applyFont="1" applyFill="1" applyBorder="1" applyAlignment="1" applyProtection="1">
      <alignment horizontal="center" vertical="center"/>
    </xf>
    <xf numFmtId="0" fontId="7" fillId="4" borderId="0" xfId="0" applyFont="1" applyFill="1" applyBorder="1" applyAlignment="1" applyProtection="1">
      <alignment horizontal="center" vertical="center"/>
    </xf>
    <xf numFmtId="0" fontId="25" fillId="6" borderId="52" xfId="2" applyFont="1" applyFill="1" applyBorder="1" applyAlignment="1" applyProtection="1">
      <alignment horizontal="center" vertical="center"/>
    </xf>
    <xf numFmtId="0" fontId="7" fillId="0" borderId="53" xfId="0" applyFont="1" applyBorder="1" applyAlignment="1" applyProtection="1">
      <alignment horizontal="center" vertical="center"/>
      <protection locked="0"/>
    </xf>
    <xf numFmtId="0" fontId="7" fillId="0" borderId="22" xfId="0" applyFont="1" applyBorder="1" applyAlignment="1" applyProtection="1">
      <alignment horizontal="center" vertical="center"/>
      <protection locked="0"/>
    </xf>
    <xf numFmtId="0" fontId="7" fillId="0" borderId="42" xfId="0" applyFont="1" applyBorder="1" applyAlignment="1" applyProtection="1">
      <alignment horizontal="center" vertical="center"/>
      <protection locked="0"/>
    </xf>
    <xf numFmtId="1" fontId="14" fillId="5" borderId="160" xfId="1" applyNumberFormat="1" applyFont="1" applyFill="1" applyBorder="1" applyAlignment="1" applyProtection="1">
      <alignment horizontal="center" vertical="center"/>
      <protection locked="0"/>
    </xf>
    <xf numFmtId="1" fontId="14" fillId="5" borderId="21" xfId="1" applyNumberFormat="1" applyFont="1" applyFill="1" applyBorder="1" applyAlignment="1" applyProtection="1">
      <alignment horizontal="center" vertical="center"/>
      <protection locked="0"/>
    </xf>
    <xf numFmtId="1" fontId="14" fillId="5" borderId="45" xfId="1" applyNumberFormat="1" applyFont="1" applyFill="1" applyBorder="1" applyAlignment="1" applyProtection="1">
      <alignment horizontal="center" vertical="center"/>
      <protection locked="0"/>
    </xf>
    <xf numFmtId="0" fontId="7" fillId="3" borderId="45" xfId="0" applyFont="1" applyFill="1" applyBorder="1" applyAlignment="1" applyProtection="1">
      <alignment horizontal="center" vertical="center"/>
    </xf>
    <xf numFmtId="0" fontId="12" fillId="10" borderId="0" xfId="0" applyFont="1" applyFill="1" applyBorder="1" applyAlignment="1">
      <alignment horizontal="left" vertical="top" wrapText="1"/>
    </xf>
    <xf numFmtId="0" fontId="8" fillId="0" borderId="29" xfId="0" applyFont="1" applyBorder="1" applyAlignment="1">
      <alignment horizontal="left" vertical="center" wrapText="1"/>
    </xf>
    <xf numFmtId="49" fontId="18" fillId="4" borderId="45"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79" xfId="1" applyNumberFormat="1" applyFont="1" applyFill="1" applyBorder="1" applyAlignment="1">
      <alignment horizontal="center" vertical="center"/>
    </xf>
    <xf numFmtId="49" fontId="18" fillId="4" borderId="162" xfId="1" applyNumberFormat="1" applyFont="1" applyFill="1" applyBorder="1" applyAlignment="1">
      <alignment horizontal="center" vertical="center"/>
    </xf>
    <xf numFmtId="49" fontId="18" fillId="4" borderId="123" xfId="1" applyNumberFormat="1" applyFont="1" applyFill="1" applyBorder="1" applyAlignment="1">
      <alignment horizontal="center" vertical="center"/>
    </xf>
    <xf numFmtId="0" fontId="11" fillId="6" borderId="61" xfId="0" applyFont="1" applyFill="1" applyBorder="1" applyAlignment="1">
      <alignment horizontal="center" vertical="center"/>
    </xf>
    <xf numFmtId="0" fontId="7" fillId="4" borderId="12" xfId="0" applyFont="1" applyFill="1" applyBorder="1" applyAlignment="1" applyProtection="1">
      <alignment horizontal="center" vertical="center"/>
    </xf>
    <xf numFmtId="0" fontId="7" fillId="4" borderId="15" xfId="0" applyFont="1" applyFill="1" applyBorder="1" applyAlignment="1" applyProtection="1">
      <alignment horizontal="center" vertical="center"/>
    </xf>
    <xf numFmtId="0" fontId="10" fillId="4" borderId="73" xfId="0" applyFont="1" applyFill="1" applyBorder="1" applyAlignment="1" applyProtection="1">
      <alignment horizontal="center" vertical="center"/>
    </xf>
    <xf numFmtId="3" fontId="7" fillId="0" borderId="11" xfId="0" applyNumberFormat="1" applyFont="1" applyBorder="1" applyAlignment="1" applyProtection="1">
      <alignment horizontal="center" vertical="center"/>
      <protection locked="0"/>
    </xf>
    <xf numFmtId="0" fontId="10" fillId="4" borderId="72" xfId="0" applyFont="1" applyFill="1" applyBorder="1" applyAlignment="1" applyProtection="1">
      <alignment horizontal="center" vertical="center"/>
    </xf>
    <xf numFmtId="0" fontId="11" fillId="6" borderId="65" xfId="0" applyFont="1" applyFill="1" applyBorder="1" applyAlignment="1">
      <alignment horizontal="center" vertical="center"/>
    </xf>
    <xf numFmtId="0" fontId="11" fillId="6" borderId="165" xfId="0" applyFont="1" applyFill="1" applyBorder="1" applyAlignment="1">
      <alignment horizontal="center" vertical="center"/>
    </xf>
    <xf numFmtId="0" fontId="7" fillId="4" borderId="13" xfId="0" applyFont="1" applyFill="1" applyBorder="1" applyAlignment="1" applyProtection="1">
      <alignment horizontal="center" vertical="center"/>
    </xf>
    <xf numFmtId="49" fontId="18" fillId="4" borderId="48" xfId="1" applyNumberFormat="1" applyFont="1" applyFill="1" applyBorder="1" applyAlignment="1">
      <alignment horizontal="center" vertical="center"/>
    </xf>
    <xf numFmtId="49" fontId="18" fillId="4" borderId="66" xfId="1" applyNumberFormat="1" applyFont="1" applyFill="1" applyBorder="1" applyAlignment="1">
      <alignment horizontal="center" vertical="center"/>
    </xf>
    <xf numFmtId="0" fontId="7" fillId="4" borderId="54" xfId="0" applyFont="1" applyFill="1" applyBorder="1" applyAlignment="1" applyProtection="1">
      <alignment horizontal="center" vertical="center"/>
    </xf>
    <xf numFmtId="0" fontId="7" fillId="4" borderId="161" xfId="0" applyFont="1" applyFill="1" applyBorder="1" applyAlignment="1" applyProtection="1">
      <alignment horizontal="center" vertical="center"/>
    </xf>
    <xf numFmtId="0" fontId="7" fillId="4" borderId="48" xfId="0" applyFont="1" applyFill="1" applyBorder="1" applyAlignment="1" applyProtection="1">
      <alignment horizontal="center" vertical="center"/>
    </xf>
    <xf numFmtId="0" fontId="7" fillId="4" borderId="79" xfId="0" applyFont="1" applyFill="1" applyBorder="1" applyAlignment="1" applyProtection="1">
      <alignment horizontal="center" vertical="center"/>
    </xf>
    <xf numFmtId="0" fontId="7" fillId="4" borderId="162" xfId="0" applyFont="1" applyFill="1" applyBorder="1" applyAlignment="1" applyProtection="1">
      <alignment horizontal="center" vertical="center"/>
    </xf>
    <xf numFmtId="0" fontId="8" fillId="6" borderId="159" xfId="0" applyFont="1" applyFill="1" applyBorder="1" applyAlignment="1">
      <alignment horizontal="center" vertical="center"/>
    </xf>
    <xf numFmtId="1" fontId="8" fillId="6" borderId="64" xfId="0" applyNumberFormat="1" applyFont="1" applyFill="1" applyBorder="1" applyAlignment="1">
      <alignment horizontal="center" vertical="center"/>
    </xf>
    <xf numFmtId="0" fontId="8" fillId="6" borderId="165" xfId="0" applyFont="1" applyFill="1" applyBorder="1" applyAlignment="1">
      <alignment horizontal="center" vertical="center"/>
    </xf>
    <xf numFmtId="49" fontId="8" fillId="6" borderId="77" xfId="0" applyNumberFormat="1" applyFont="1" applyFill="1" applyBorder="1" applyAlignment="1">
      <alignment horizontal="center" vertical="center"/>
    </xf>
    <xf numFmtId="49" fontId="8" fillId="6" borderId="65" xfId="0" applyNumberFormat="1" applyFont="1" applyFill="1" applyBorder="1" applyAlignment="1">
      <alignment horizontal="center" vertical="center"/>
    </xf>
    <xf numFmtId="49" fontId="8" fillId="6" borderId="61" xfId="0" applyNumberFormat="1" applyFont="1" applyFill="1" applyBorder="1" applyAlignment="1">
      <alignment horizontal="center" vertical="center"/>
    </xf>
    <xf numFmtId="49" fontId="8" fillId="6" borderId="64" xfId="0" applyNumberFormat="1" applyFont="1" applyFill="1" applyBorder="1" applyAlignment="1">
      <alignment horizontal="center" vertical="center"/>
    </xf>
    <xf numFmtId="49" fontId="8" fillId="6" borderId="165" xfId="0" applyNumberFormat="1" applyFont="1" applyFill="1" applyBorder="1" applyAlignment="1">
      <alignment horizontal="center" vertical="center"/>
    </xf>
    <xf numFmtId="0" fontId="11" fillId="4" borderId="0" xfId="0" applyFont="1" applyFill="1" applyBorder="1" applyAlignment="1" applyProtection="1">
      <alignment horizontal="center" vertical="center"/>
    </xf>
    <xf numFmtId="0" fontId="11" fillId="4" borderId="66" xfId="0" applyFont="1" applyFill="1" applyBorder="1" applyAlignment="1" applyProtection="1">
      <alignment horizontal="center" vertical="center"/>
    </xf>
    <xf numFmtId="0" fontId="11" fillId="0" borderId="31" xfId="0" applyFont="1" applyBorder="1" applyAlignment="1" applyProtection="1">
      <alignment horizontal="center" vertical="center"/>
      <protection locked="0"/>
    </xf>
    <xf numFmtId="0" fontId="7" fillId="6" borderId="7" xfId="0" applyFont="1" applyFill="1" applyBorder="1" applyAlignment="1" applyProtection="1">
      <alignment horizontal="center" vertical="center"/>
    </xf>
    <xf numFmtId="0" fontId="19" fillId="0" borderId="31" xfId="0" applyFont="1" applyBorder="1" applyAlignment="1" applyProtection="1">
      <alignment horizontal="center" vertical="center"/>
      <protection locked="0"/>
    </xf>
    <xf numFmtId="0" fontId="7" fillId="4" borderId="36" xfId="0" applyFont="1" applyFill="1" applyBorder="1" applyAlignment="1" applyProtection="1">
      <alignment horizontal="center" vertical="center"/>
    </xf>
    <xf numFmtId="0" fontId="8" fillId="6" borderId="23" xfId="0" applyFont="1" applyFill="1" applyBorder="1" applyAlignment="1">
      <alignment horizontal="center" vertical="center"/>
    </xf>
    <xf numFmtId="0" fontId="8" fillId="6" borderId="25" xfId="0" applyFont="1" applyFill="1" applyBorder="1" applyAlignment="1">
      <alignment horizontal="center" vertical="center"/>
    </xf>
    <xf numFmtId="0" fontId="7" fillId="0" borderId="52" xfId="0" applyFont="1" applyBorder="1" applyAlignment="1" applyProtection="1">
      <alignment horizontal="center" vertical="center"/>
      <protection locked="0"/>
    </xf>
    <xf numFmtId="0" fontId="7" fillId="0" borderId="71" xfId="0" applyFont="1" applyBorder="1" applyAlignment="1" applyProtection="1">
      <alignment horizontal="center" vertical="center"/>
      <protection locked="0"/>
    </xf>
    <xf numFmtId="0" fontId="7" fillId="0" borderId="72" xfId="0" applyFont="1" applyBorder="1" applyAlignment="1" applyProtection="1">
      <alignment horizontal="center" vertical="center"/>
      <protection locked="0"/>
    </xf>
    <xf numFmtId="0" fontId="7" fillId="0" borderId="73" xfId="0" applyFont="1" applyBorder="1" applyAlignment="1" applyProtection="1">
      <alignment horizontal="center" vertical="center"/>
      <protection locked="0"/>
    </xf>
    <xf numFmtId="0" fontId="7" fillId="0" borderId="163" xfId="0" applyFont="1" applyBorder="1" applyAlignment="1" applyProtection="1">
      <alignment horizontal="center" vertical="center"/>
      <protection locked="0"/>
    </xf>
    <xf numFmtId="0" fontId="8" fillId="6" borderId="135" xfId="0" applyFont="1" applyFill="1" applyBorder="1" applyAlignment="1">
      <alignment horizontal="center" vertical="center" wrapText="1"/>
    </xf>
    <xf numFmtId="0" fontId="38" fillId="5" borderId="0" xfId="0" applyFont="1" applyFill="1" applyAlignment="1"/>
    <xf numFmtId="0" fontId="38" fillId="5" borderId="0" xfId="0" applyFont="1" applyFill="1" applyAlignment="1">
      <alignment horizontal="left"/>
    </xf>
    <xf numFmtId="0" fontId="29" fillId="5" borderId="1" xfId="0" applyFont="1" applyFill="1" applyBorder="1" applyAlignment="1">
      <alignment vertical="center" wrapText="1"/>
    </xf>
    <xf numFmtId="0" fontId="29" fillId="5" borderId="1" xfId="0" applyFont="1" applyFill="1" applyBorder="1" applyAlignment="1">
      <alignment horizontal="left" vertical="top" wrapText="1"/>
    </xf>
    <xf numFmtId="0" fontId="29" fillId="5" borderId="5" xfId="0" applyFont="1" applyFill="1" applyBorder="1" applyAlignment="1">
      <alignment vertical="center" wrapText="1"/>
    </xf>
    <xf numFmtId="0" fontId="29" fillId="5" borderId="5" xfId="0" applyFont="1" applyFill="1" applyBorder="1" applyAlignment="1">
      <alignment horizontal="left" vertical="top" wrapText="1"/>
    </xf>
    <xf numFmtId="0" fontId="38" fillId="0" borderId="95" xfId="0" applyFont="1" applyBorder="1" applyAlignment="1">
      <alignment horizontal="left" vertical="center" wrapText="1"/>
    </xf>
    <xf numFmtId="0" fontId="38" fillId="5" borderId="87" xfId="0" applyFont="1" applyFill="1" applyBorder="1" applyAlignment="1">
      <alignment wrapText="1"/>
    </xf>
    <xf numFmtId="0" fontId="38" fillId="0" borderId="96" xfId="0" applyFont="1" applyBorder="1" applyAlignment="1">
      <alignment horizontal="left" vertical="center" wrapText="1"/>
    </xf>
    <xf numFmtId="0" fontId="38" fillId="5" borderId="75" xfId="0" applyFont="1" applyFill="1" applyBorder="1" applyAlignment="1">
      <alignment wrapText="1"/>
    </xf>
    <xf numFmtId="0" fontId="38" fillId="0" borderId="97" xfId="0" applyFont="1" applyBorder="1" applyAlignment="1">
      <alignment horizontal="left" vertical="center" wrapText="1"/>
    </xf>
    <xf numFmtId="0" fontId="38" fillId="5" borderId="92" xfId="0" applyFont="1" applyFill="1" applyBorder="1" applyAlignment="1">
      <alignment wrapText="1"/>
    </xf>
    <xf numFmtId="0" fontId="38" fillId="0" borderId="0" xfId="0" applyFont="1"/>
    <xf numFmtId="0" fontId="38" fillId="0" borderId="98" xfId="0" applyFont="1" applyBorder="1" applyAlignment="1">
      <alignment horizontal="left" vertical="center" wrapText="1"/>
    </xf>
    <xf numFmtId="0" fontId="38" fillId="0" borderId="89" xfId="0" applyFont="1" applyBorder="1" applyAlignment="1" applyProtection="1">
      <alignment horizontal="left" vertical="center" wrapText="1"/>
      <protection locked="0"/>
    </xf>
    <xf numFmtId="0" fontId="38" fillId="0" borderId="75" xfId="0" applyFont="1" applyBorder="1" applyAlignment="1" applyProtection="1">
      <alignment horizontal="left" vertical="center" wrapText="1"/>
      <protection locked="0"/>
    </xf>
    <xf numFmtId="0" fontId="38" fillId="0" borderId="92" xfId="0" applyFont="1" applyBorder="1" applyAlignment="1" applyProtection="1">
      <alignment horizontal="left" vertical="center" wrapText="1"/>
      <protection locked="0"/>
    </xf>
    <xf numFmtId="0" fontId="38" fillId="0" borderId="89" xfId="0" applyFont="1" applyBorder="1" applyAlignment="1">
      <alignment horizontal="left" vertical="center" wrapText="1"/>
    </xf>
    <xf numFmtId="0" fontId="38" fillId="0" borderId="92" xfId="0" applyFont="1" applyBorder="1" applyAlignment="1">
      <alignment horizontal="left" vertical="center" wrapText="1"/>
    </xf>
    <xf numFmtId="0" fontId="38" fillId="12" borderId="89" xfId="0" applyFont="1" applyFill="1" applyBorder="1" applyAlignment="1">
      <alignment wrapText="1"/>
    </xf>
    <xf numFmtId="0" fontId="38" fillId="0" borderId="96" xfId="0" applyFont="1" applyBorder="1" applyAlignment="1">
      <alignment vertical="center" wrapText="1"/>
    </xf>
    <xf numFmtId="0" fontId="38" fillId="12" borderId="75" xfId="0" applyFont="1" applyFill="1" applyBorder="1" applyAlignment="1">
      <alignment wrapText="1"/>
    </xf>
    <xf numFmtId="0" fontId="29" fillId="0" borderId="96" xfId="0" applyFont="1" applyBorder="1" applyAlignment="1">
      <alignment horizontal="left" vertical="center" wrapText="1"/>
    </xf>
    <xf numFmtId="0" fontId="38" fillId="12" borderId="92" xfId="0" applyFont="1" applyFill="1" applyBorder="1" applyAlignment="1">
      <alignment wrapText="1"/>
    </xf>
    <xf numFmtId="0" fontId="29" fillId="0" borderId="92" xfId="0" applyFont="1" applyBorder="1" applyAlignment="1">
      <alignment horizontal="left" vertical="center" wrapText="1"/>
    </xf>
    <xf numFmtId="0" fontId="38" fillId="5" borderId="0" xfId="0" applyFont="1" applyFill="1" applyAlignment="1">
      <alignment vertical="center"/>
    </xf>
    <xf numFmtId="0" fontId="38" fillId="12" borderId="92" xfId="0" applyFont="1" applyFill="1" applyBorder="1" applyAlignment="1">
      <alignment vertical="center" wrapText="1"/>
    </xf>
    <xf numFmtId="0" fontId="29" fillId="6" borderId="75" xfId="0" applyFont="1" applyFill="1" applyBorder="1" applyAlignment="1">
      <alignment horizontal="left" vertical="center" wrapText="1"/>
    </xf>
    <xf numFmtId="0" fontId="38" fillId="0" borderId="75" xfId="0" applyFont="1" applyBorder="1" applyAlignment="1">
      <alignment vertical="center" wrapText="1"/>
    </xf>
    <xf numFmtId="49" fontId="38" fillId="6" borderId="75" xfId="0" applyNumberFormat="1" applyFont="1" applyFill="1" applyBorder="1" applyAlignment="1">
      <alignment horizontal="left" vertical="center" wrapText="1"/>
    </xf>
    <xf numFmtId="0" fontId="38" fillId="5" borderId="75" xfId="0" applyFont="1" applyFill="1" applyBorder="1" applyAlignment="1">
      <alignment vertical="center" wrapText="1"/>
    </xf>
    <xf numFmtId="0" fontId="38" fillId="12" borderId="22" xfId="0" applyFont="1" applyFill="1" applyBorder="1" applyAlignment="1">
      <alignment horizontal="left" vertical="center" wrapText="1"/>
    </xf>
    <xf numFmtId="0" fontId="29" fillId="5" borderId="0" xfId="0" applyFont="1" applyFill="1" applyAlignment="1"/>
    <xf numFmtId="0" fontId="38" fillId="12" borderId="75" xfId="0" applyFont="1" applyFill="1" applyBorder="1" applyAlignment="1">
      <alignment horizontal="left" vertical="center" wrapText="1"/>
    </xf>
    <xf numFmtId="0" fontId="29" fillId="12" borderId="75" xfId="0" applyFont="1" applyFill="1" applyBorder="1" applyAlignment="1">
      <alignment wrapText="1"/>
    </xf>
    <xf numFmtId="0" fontId="38" fillId="12" borderId="75" xfId="0" applyFont="1" applyFill="1" applyBorder="1" applyAlignment="1">
      <alignment horizontal="left" wrapText="1"/>
    </xf>
    <xf numFmtId="49" fontId="29" fillId="6" borderId="75" xfId="0" applyNumberFormat="1" applyFont="1" applyFill="1" applyBorder="1" applyAlignment="1">
      <alignment horizontal="left" vertical="center" wrapText="1"/>
    </xf>
    <xf numFmtId="0" fontId="38" fillId="0" borderId="75" xfId="0" applyFont="1" applyFill="1" applyBorder="1" applyAlignment="1">
      <alignment horizontal="left" vertical="center" wrapText="1"/>
    </xf>
    <xf numFmtId="0" fontId="38" fillId="0" borderId="75" xfId="0" applyFont="1" applyFill="1" applyBorder="1" applyAlignment="1">
      <alignment wrapText="1"/>
    </xf>
    <xf numFmtId="0" fontId="38" fillId="0" borderId="0" xfId="0" applyFont="1" applyAlignment="1"/>
    <xf numFmtId="0" fontId="38" fillId="6" borderId="75" xfId="0" applyFont="1" applyFill="1" applyBorder="1" applyAlignment="1">
      <alignment horizontal="left" vertical="center" wrapText="1"/>
    </xf>
    <xf numFmtId="0" fontId="43" fillId="0" borderId="75" xfId="0" applyFont="1" applyBorder="1" applyAlignment="1">
      <alignment horizontal="left" vertical="center" wrapText="1"/>
    </xf>
    <xf numFmtId="0" fontId="38" fillId="0" borderId="75" xfId="0" applyFont="1" applyBorder="1" applyAlignment="1" applyProtection="1">
      <alignment horizontal="left" vertical="center" wrapText="1"/>
    </xf>
    <xf numFmtId="0" fontId="38" fillId="13" borderId="75" xfId="0" applyFont="1" applyFill="1" applyBorder="1" applyAlignment="1">
      <alignment horizontal="left" vertical="center" wrapText="1"/>
    </xf>
    <xf numFmtId="0" fontId="29" fillId="3" borderId="75" xfId="0" applyFont="1" applyFill="1" applyBorder="1" applyAlignment="1">
      <alignment horizontal="left" vertical="center" wrapText="1"/>
    </xf>
    <xf numFmtId="0" fontId="41" fillId="3" borderId="16" xfId="0" applyFont="1" applyFill="1" applyBorder="1" applyAlignment="1">
      <alignment vertical="center"/>
    </xf>
    <xf numFmtId="0" fontId="29" fillId="3" borderId="16" xfId="0" applyFont="1" applyFill="1" applyBorder="1" applyAlignment="1">
      <alignment vertical="center"/>
    </xf>
    <xf numFmtId="0" fontId="41" fillId="0" borderId="0" xfId="0" applyFont="1" applyFill="1" applyBorder="1" applyAlignment="1">
      <alignment vertical="center"/>
    </xf>
    <xf numFmtId="0" fontId="38" fillId="0" borderId="0" xfId="0" applyFont="1" applyFill="1" applyAlignment="1"/>
    <xf numFmtId="49" fontId="45" fillId="0" borderId="0" xfId="1" applyNumberFormat="1" applyFont="1" applyFill="1" applyBorder="1" applyAlignment="1">
      <alignment horizontal="center" vertical="center"/>
    </xf>
    <xf numFmtId="0" fontId="38" fillId="0" borderId="0" xfId="0" applyFont="1" applyFill="1" applyBorder="1" applyAlignment="1" applyProtection="1">
      <alignment horizontal="center" vertical="center"/>
      <protection locked="0"/>
    </xf>
    <xf numFmtId="0" fontId="29" fillId="0" borderId="0" xfId="0" applyFont="1" applyFill="1" applyBorder="1" applyAlignment="1">
      <alignment vertical="top"/>
    </xf>
    <xf numFmtId="0" fontId="41" fillId="0" borderId="0" xfId="0" applyFont="1" applyFill="1" applyBorder="1" applyAlignment="1">
      <alignment horizontal="left" vertical="center"/>
    </xf>
    <xf numFmtId="0" fontId="38" fillId="5" borderId="0" xfId="0" applyFont="1" applyFill="1" applyAlignment="1">
      <alignment vertical="center" wrapText="1"/>
    </xf>
    <xf numFmtId="0" fontId="38" fillId="5" borderId="0" xfId="0" applyFont="1" applyFill="1" applyAlignment="1">
      <alignment vertical="top" wrapText="1"/>
    </xf>
    <xf numFmtId="0" fontId="38" fillId="5" borderId="0" xfId="0" applyFont="1" applyFill="1" applyAlignment="1">
      <alignment horizontal="left" vertical="center"/>
    </xf>
    <xf numFmtId="0" fontId="38" fillId="12" borderId="166" xfId="0" applyFont="1" applyFill="1" applyBorder="1" applyAlignment="1">
      <alignment wrapText="1"/>
    </xf>
    <xf numFmtId="0" fontId="41" fillId="0" borderId="75" xfId="0" applyFont="1" applyFill="1" applyBorder="1" applyAlignment="1">
      <alignment horizontal="left" vertical="center"/>
    </xf>
    <xf numFmtId="0" fontId="25" fillId="6" borderId="53" xfId="2" applyFont="1" applyFill="1" applyBorder="1" applyAlignment="1" applyProtection="1">
      <alignment horizontal="center" vertical="center"/>
    </xf>
    <xf numFmtId="0" fontId="25" fillId="6" borderId="0" xfId="2" applyFont="1" applyFill="1" applyBorder="1" applyAlignment="1" applyProtection="1">
      <alignment horizontal="center" vertical="center"/>
    </xf>
    <xf numFmtId="0" fontId="25" fillId="6" borderId="48" xfId="2" applyFont="1" applyFill="1" applyBorder="1" applyAlignment="1" applyProtection="1">
      <alignment horizontal="center" vertical="center"/>
    </xf>
    <xf numFmtId="0" fontId="25" fillId="6" borderId="66" xfId="2" applyFont="1" applyFill="1" applyBorder="1" applyAlignment="1" applyProtection="1">
      <alignment horizontal="center" vertical="center"/>
    </xf>
    <xf numFmtId="0" fontId="21" fillId="0" borderId="0" xfId="0" applyFont="1" applyBorder="1" applyAlignment="1">
      <alignment horizontal="left" vertical="center" wrapText="1"/>
    </xf>
    <xf numFmtId="0" fontId="7" fillId="4" borderId="63" xfId="0" applyFont="1" applyFill="1" applyBorder="1" applyAlignment="1" applyProtection="1">
      <alignment horizontal="center" vertical="center"/>
    </xf>
    <xf numFmtId="0" fontId="8" fillId="2" borderId="22" xfId="0" applyFont="1" applyFill="1" applyBorder="1" applyAlignment="1">
      <alignment horizontal="left" vertical="top"/>
    </xf>
    <xf numFmtId="0" fontId="10" fillId="0" borderId="0" xfId="0" applyFont="1" applyFill="1" applyBorder="1" applyAlignment="1">
      <alignment horizontal="center"/>
    </xf>
    <xf numFmtId="0" fontId="8" fillId="2" borderId="0" xfId="0" applyFont="1" applyFill="1" applyBorder="1" applyAlignment="1">
      <alignment horizontal="left" vertical="top"/>
    </xf>
    <xf numFmtId="0" fontId="11" fillId="5" borderId="0" xfId="3" applyFont="1" applyFill="1" applyBorder="1" applyAlignment="1">
      <alignment horizontal="left" vertical="center"/>
    </xf>
    <xf numFmtId="0" fontId="7" fillId="0" borderId="167" xfId="0" applyFont="1" applyBorder="1" applyAlignment="1">
      <alignment horizontal="left" vertical="center" wrapText="1"/>
    </xf>
    <xf numFmtId="0" fontId="7" fillId="4" borderId="167" xfId="0" applyFont="1" applyFill="1" applyBorder="1" applyAlignment="1" applyProtection="1">
      <alignment horizontal="center" vertical="center"/>
    </xf>
    <xf numFmtId="0" fontId="8" fillId="0" borderId="162" xfId="0" applyFont="1" applyBorder="1" applyAlignment="1" applyProtection="1">
      <alignment horizontal="left" vertical="center" wrapText="1"/>
      <protection locked="0"/>
    </xf>
    <xf numFmtId="0" fontId="8" fillId="2" borderId="168" xfId="0" applyFont="1" applyFill="1" applyBorder="1" applyAlignment="1">
      <alignment horizontal="left" vertical="center" wrapText="1"/>
    </xf>
    <xf numFmtId="0" fontId="11" fillId="6" borderId="170" xfId="0" applyFont="1" applyFill="1" applyBorder="1" applyAlignment="1">
      <alignment horizontal="center" vertical="center"/>
    </xf>
    <xf numFmtId="0" fontId="8" fillId="6" borderId="171" xfId="0" applyFont="1" applyFill="1" applyBorder="1" applyAlignment="1">
      <alignment horizontal="center" vertical="center"/>
    </xf>
    <xf numFmtId="0" fontId="11" fillId="6" borderId="171" xfId="0" applyFont="1" applyFill="1" applyBorder="1" applyAlignment="1">
      <alignment horizontal="center" vertical="center"/>
    </xf>
    <xf numFmtId="0" fontId="11" fillId="6" borderId="172" xfId="0" applyFont="1" applyFill="1" applyBorder="1" applyAlignment="1">
      <alignment horizontal="center" vertical="center"/>
    </xf>
    <xf numFmtId="0" fontId="8" fillId="0" borderId="67" xfId="0" applyFont="1" applyBorder="1" applyAlignment="1" applyProtection="1">
      <alignment horizontal="center" vertical="center"/>
      <protection locked="0"/>
    </xf>
    <xf numFmtId="0" fontId="38" fillId="0" borderId="75" xfId="0" applyFont="1" applyBorder="1" applyAlignment="1">
      <alignment horizontal="left" vertical="center" wrapText="1"/>
    </xf>
    <xf numFmtId="0" fontId="38" fillId="5" borderId="75" xfId="0" applyFont="1" applyFill="1" applyBorder="1" applyAlignment="1">
      <alignment horizontal="left" vertical="center" wrapText="1"/>
    </xf>
    <xf numFmtId="49" fontId="14" fillId="4" borderId="9" xfId="1" applyNumberFormat="1" applyFont="1" applyFill="1" applyBorder="1" applyAlignment="1">
      <alignment horizontal="center" vertical="center"/>
    </xf>
    <xf numFmtId="0" fontId="7" fillId="2" borderId="22" xfId="0" applyFont="1" applyFill="1" applyBorder="1" applyAlignment="1">
      <alignment horizontal="left" vertical="top"/>
    </xf>
    <xf numFmtId="0" fontId="8" fillId="6" borderId="135" xfId="0" applyFont="1" applyFill="1" applyBorder="1" applyAlignment="1">
      <alignment horizontal="center" vertical="center"/>
    </xf>
    <xf numFmtId="0" fontId="11" fillId="4" borderId="181" xfId="0" applyFont="1" applyFill="1" applyBorder="1" applyAlignment="1" applyProtection="1">
      <alignment horizontal="center" vertical="center"/>
    </xf>
    <xf numFmtId="0" fontId="8" fillId="0" borderId="179" xfId="0" applyFont="1" applyBorder="1" applyAlignment="1" applyProtection="1">
      <alignment horizontal="center" vertical="center"/>
      <protection locked="0"/>
    </xf>
    <xf numFmtId="0" fontId="8" fillId="6" borderId="167" xfId="0" applyFont="1" applyFill="1" applyBorder="1" applyAlignment="1">
      <alignment horizontal="center" vertical="center"/>
    </xf>
    <xf numFmtId="49" fontId="18" fillId="4" borderId="26" xfId="1" applyNumberFormat="1" applyFont="1" applyFill="1" applyBorder="1" applyAlignment="1">
      <alignment horizontal="center" vertical="center"/>
    </xf>
    <xf numFmtId="1" fontId="8" fillId="6" borderId="37" xfId="0" applyNumberFormat="1" applyFont="1" applyFill="1" applyBorder="1" applyAlignment="1" applyProtection="1">
      <alignment horizontal="center" vertical="center"/>
    </xf>
    <xf numFmtId="0" fontId="7" fillId="4" borderId="183" xfId="0" applyFont="1" applyFill="1" applyBorder="1" applyAlignment="1" applyProtection="1">
      <alignment horizontal="center" vertical="center"/>
    </xf>
    <xf numFmtId="0" fontId="7" fillId="4" borderId="184" xfId="0" applyFont="1" applyFill="1" applyBorder="1" applyAlignment="1" applyProtection="1">
      <alignment horizontal="center" vertical="center"/>
    </xf>
    <xf numFmtId="0" fontId="7" fillId="4" borderId="34" xfId="0" applyFont="1" applyFill="1" applyBorder="1" applyAlignment="1" applyProtection="1">
      <alignment horizontal="center" vertical="center"/>
    </xf>
    <xf numFmtId="0" fontId="7" fillId="0" borderId="64" xfId="0" applyFont="1" applyBorder="1" applyAlignment="1" applyProtection="1">
      <alignment horizontal="center" vertical="center"/>
      <protection locked="0"/>
    </xf>
    <xf numFmtId="0" fontId="7" fillId="0" borderId="61" xfId="0" applyFont="1" applyBorder="1" applyAlignment="1" applyProtection="1">
      <alignment horizontal="center" vertical="center"/>
      <protection locked="0"/>
    </xf>
    <xf numFmtId="0" fontId="7" fillId="0" borderId="0" xfId="0" applyFont="1" applyBorder="1" applyAlignment="1">
      <alignment horizontal="left" vertical="center" wrapText="1"/>
    </xf>
    <xf numFmtId="0" fontId="38" fillId="5" borderId="166" xfId="0" applyFont="1" applyFill="1" applyBorder="1" applyAlignment="1">
      <alignment wrapText="1"/>
    </xf>
    <xf numFmtId="0" fontId="38" fillId="5" borderId="185" xfId="0" applyFont="1" applyFill="1" applyBorder="1" applyAlignment="1">
      <alignment vertical="top" wrapText="1"/>
    </xf>
    <xf numFmtId="0" fontId="38" fillId="5" borderId="87" xfId="0" applyFont="1" applyFill="1" applyBorder="1" applyAlignment="1">
      <alignment horizontal="left" vertical="center" wrapText="1"/>
    </xf>
    <xf numFmtId="0" fontId="7" fillId="0" borderId="166" xfId="0" applyFont="1" applyBorder="1" applyAlignment="1">
      <alignment horizontal="left" vertical="center" wrapText="1"/>
    </xf>
    <xf numFmtId="0" fontId="38" fillId="12" borderId="187" xfId="0" applyFont="1" applyFill="1" applyBorder="1" applyAlignment="1">
      <alignment wrapText="1"/>
    </xf>
    <xf numFmtId="0" fontId="7" fillId="0" borderId="12"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7" fillId="4" borderId="188" xfId="0" applyFont="1" applyFill="1" applyBorder="1" applyAlignment="1" applyProtection="1">
      <alignment horizontal="center" vertical="center"/>
    </xf>
    <xf numFmtId="0" fontId="7" fillId="4" borderId="163" xfId="0" applyFont="1" applyFill="1" applyBorder="1" applyAlignment="1" applyProtection="1">
      <alignment horizontal="center" vertical="center"/>
    </xf>
    <xf numFmtId="0" fontId="7" fillId="0" borderId="86" xfId="0" applyFont="1" applyBorder="1" applyAlignment="1" applyProtection="1">
      <alignment horizontal="center" vertical="center"/>
      <protection locked="0"/>
    </xf>
    <xf numFmtId="0" fontId="7" fillId="0" borderId="89" xfId="0" applyFont="1" applyBorder="1" applyAlignment="1">
      <alignment horizontal="left" vertical="center" wrapText="1"/>
    </xf>
    <xf numFmtId="0" fontId="7" fillId="0" borderId="189" xfId="0" applyFont="1" applyBorder="1" applyAlignment="1" applyProtection="1">
      <alignment horizontal="center" vertical="center"/>
      <protection locked="0"/>
    </xf>
    <xf numFmtId="0" fontId="7" fillId="0" borderId="190" xfId="0" applyFont="1" applyBorder="1" applyAlignment="1" applyProtection="1">
      <alignment horizontal="center" vertical="center"/>
      <protection locked="0"/>
    </xf>
    <xf numFmtId="0" fontId="7" fillId="0" borderId="162" xfId="0" applyFont="1" applyBorder="1" applyAlignment="1">
      <alignment horizontal="left" vertical="center" wrapText="1"/>
    </xf>
    <xf numFmtId="0" fontId="25" fillId="6" borderId="183" xfId="2" applyFont="1" applyFill="1" applyBorder="1" applyAlignment="1" applyProtection="1">
      <alignment horizontal="center" vertical="center"/>
    </xf>
    <xf numFmtId="0" fontId="25" fillId="6" borderId="8" xfId="2" applyFont="1" applyFill="1" applyBorder="1" applyAlignment="1" applyProtection="1">
      <alignment horizontal="center" vertical="center"/>
    </xf>
    <xf numFmtId="0" fontId="25" fillId="6" borderId="26" xfId="2" applyFont="1" applyFill="1" applyBorder="1" applyAlignment="1" applyProtection="1">
      <alignment horizontal="center" vertical="center"/>
    </xf>
    <xf numFmtId="0" fontId="8" fillId="6" borderId="191" xfId="0" applyFont="1" applyFill="1" applyBorder="1" applyAlignment="1">
      <alignment horizontal="center" vertical="center"/>
    </xf>
    <xf numFmtId="0" fontId="25" fillId="6" borderId="35" xfId="2" applyFont="1" applyFill="1" applyBorder="1" applyAlignment="1" applyProtection="1">
      <alignment horizontal="center" vertical="center"/>
    </xf>
    <xf numFmtId="0" fontId="8" fillId="6" borderId="36" xfId="0" applyFont="1" applyFill="1" applyBorder="1" applyAlignment="1">
      <alignment horizontal="center" vertical="center"/>
    </xf>
    <xf numFmtId="0" fontId="8" fillId="6" borderId="192" xfId="0" applyFont="1" applyFill="1" applyBorder="1" applyAlignment="1">
      <alignment horizontal="center" vertical="center"/>
    </xf>
    <xf numFmtId="0" fontId="8" fillId="6" borderId="19" xfId="0" applyFont="1" applyFill="1" applyBorder="1" applyAlignment="1">
      <alignment horizontal="center" vertical="center"/>
    </xf>
    <xf numFmtId="0" fontId="8" fillId="6" borderId="193" xfId="0" applyFont="1" applyFill="1" applyBorder="1" applyAlignment="1">
      <alignment horizontal="center" vertical="center"/>
    </xf>
    <xf numFmtId="0" fontId="7" fillId="0" borderId="161" xfId="0" applyFont="1" applyBorder="1" applyAlignment="1">
      <alignment horizontal="left" vertical="center" wrapText="1"/>
    </xf>
    <xf numFmtId="0" fontId="7" fillId="0" borderId="33" xfId="0" applyFont="1" applyBorder="1" applyAlignment="1" applyProtection="1">
      <alignment horizontal="center" vertical="center"/>
      <protection locked="0"/>
    </xf>
    <xf numFmtId="0" fontId="8" fillId="6" borderId="194" xfId="0" applyFont="1" applyFill="1" applyBorder="1" applyAlignment="1">
      <alignment horizontal="center" vertical="center"/>
    </xf>
    <xf numFmtId="0" fontId="7" fillId="0" borderId="161" xfId="0" applyFont="1" applyBorder="1" applyAlignment="1" applyProtection="1">
      <alignment horizontal="center" vertical="center"/>
      <protection locked="0"/>
    </xf>
    <xf numFmtId="0" fontId="7" fillId="0" borderId="158" xfId="0" applyFont="1" applyBorder="1" applyAlignment="1" applyProtection="1">
      <alignment horizontal="center" vertical="center"/>
      <protection locked="0"/>
    </xf>
    <xf numFmtId="0" fontId="8" fillId="6" borderId="164" xfId="0" applyFont="1" applyFill="1" applyBorder="1" applyAlignment="1">
      <alignment horizontal="center" vertical="center"/>
    </xf>
    <xf numFmtId="0" fontId="7" fillId="0" borderId="184" xfId="0" applyFont="1" applyBorder="1" applyAlignment="1" applyProtection="1">
      <alignment horizontal="center" vertical="center"/>
      <protection locked="0"/>
    </xf>
    <xf numFmtId="0" fontId="7" fillId="0" borderId="43" xfId="0" applyFont="1" applyBorder="1" applyAlignment="1" applyProtection="1">
      <alignment horizontal="center" vertical="center"/>
      <protection locked="0"/>
    </xf>
    <xf numFmtId="0" fontId="25" fillId="6" borderId="39" xfId="2" applyFont="1" applyFill="1" applyBorder="1" applyAlignment="1" applyProtection="1">
      <alignment horizontal="center" vertical="center"/>
    </xf>
    <xf numFmtId="0" fontId="25" fillId="6" borderId="19" xfId="2" applyFont="1" applyFill="1" applyBorder="1" applyAlignment="1" applyProtection="1">
      <alignment horizontal="center" vertical="center"/>
    </xf>
    <xf numFmtId="49" fontId="8" fillId="5" borderId="161" xfId="0" applyNumberFormat="1" applyFont="1" applyFill="1" applyBorder="1" applyAlignment="1">
      <alignment horizontal="left" vertical="center" wrapText="1"/>
    </xf>
    <xf numFmtId="0" fontId="7" fillId="4" borderId="195" xfId="0" applyFont="1" applyFill="1" applyBorder="1" applyAlignment="1" applyProtection="1">
      <alignment horizontal="center" vertical="center"/>
    </xf>
    <xf numFmtId="0" fontId="7" fillId="4" borderId="196" xfId="0" applyFont="1" applyFill="1" applyBorder="1" applyAlignment="1" applyProtection="1">
      <alignment horizontal="center" vertical="center"/>
    </xf>
    <xf numFmtId="0" fontId="7" fillId="0" borderId="197" xfId="0" applyFont="1" applyBorder="1" applyAlignment="1" applyProtection="1">
      <alignment horizontal="center" vertical="center"/>
      <protection locked="0"/>
    </xf>
    <xf numFmtId="1" fontId="8" fillId="6" borderId="63" xfId="0" applyNumberFormat="1" applyFont="1" applyFill="1" applyBorder="1" applyAlignment="1" applyProtection="1">
      <alignment horizontal="center" vertical="center"/>
    </xf>
    <xf numFmtId="0" fontId="7" fillId="2" borderId="22" xfId="0" applyFont="1" applyFill="1" applyBorder="1" applyAlignment="1">
      <alignment horizontal="left" vertical="top"/>
    </xf>
    <xf numFmtId="0" fontId="7" fillId="0" borderId="28" xfId="0" applyFont="1" applyBorder="1" applyAlignment="1">
      <alignment horizontal="left" vertical="center"/>
    </xf>
    <xf numFmtId="0" fontId="8" fillId="2" borderId="22" xfId="0" applyFont="1" applyFill="1" applyBorder="1" applyAlignment="1">
      <alignment horizontal="left" vertical="top"/>
    </xf>
    <xf numFmtId="0" fontId="7" fillId="5" borderId="169" xfId="0" applyFont="1" applyFill="1" applyBorder="1" applyAlignment="1">
      <alignment horizontal="left" vertical="center" wrapText="1"/>
    </xf>
    <xf numFmtId="0" fontId="8" fillId="0" borderId="198" xfId="0" applyFont="1" applyBorder="1" applyAlignment="1" applyProtection="1">
      <alignment horizontal="center" vertical="center"/>
      <protection locked="0"/>
    </xf>
    <xf numFmtId="0" fontId="7" fillId="2" borderId="22" xfId="0" applyFont="1" applyFill="1" applyBorder="1" applyAlignment="1">
      <alignment horizontal="left" vertical="top"/>
    </xf>
    <xf numFmtId="0" fontId="9" fillId="5" borderId="78" xfId="0" applyFont="1" applyFill="1" applyBorder="1" applyAlignment="1" applyProtection="1">
      <alignment horizontal="center" vertical="center"/>
      <protection locked="0"/>
    </xf>
    <xf numFmtId="0" fontId="8" fillId="0" borderId="199" xfId="0" applyFont="1" applyBorder="1" applyAlignment="1" applyProtection="1">
      <alignment horizontal="center" vertical="center"/>
      <protection locked="0"/>
    </xf>
    <xf numFmtId="0" fontId="8" fillId="0" borderId="68" xfId="0" applyFont="1" applyBorder="1" applyAlignment="1" applyProtection="1">
      <alignment horizontal="center" vertical="center"/>
      <protection locked="0"/>
    </xf>
    <xf numFmtId="0" fontId="8" fillId="0" borderId="200" xfId="0" applyFont="1" applyBorder="1" applyAlignment="1" applyProtection="1">
      <alignment horizontal="center" vertical="center"/>
      <protection locked="0"/>
    </xf>
    <xf numFmtId="0" fontId="9" fillId="5" borderId="69" xfId="0" applyFont="1" applyFill="1" applyBorder="1" applyAlignment="1" applyProtection="1">
      <alignment horizontal="center" vertical="center"/>
      <protection locked="0"/>
    </xf>
    <xf numFmtId="0" fontId="7" fillId="4" borderId="59" xfId="0" applyFont="1" applyFill="1" applyBorder="1" applyAlignment="1">
      <alignment vertical="center"/>
    </xf>
    <xf numFmtId="0" fontId="16" fillId="4" borderId="49" xfId="0" applyFont="1" applyFill="1" applyBorder="1" applyAlignment="1">
      <alignment vertical="center"/>
    </xf>
    <xf numFmtId="0" fontId="16" fillId="4" borderId="60" xfId="0" applyFont="1" applyFill="1" applyBorder="1" applyAlignment="1">
      <alignment vertical="center"/>
    </xf>
    <xf numFmtId="0" fontId="16" fillId="4" borderId="59" xfId="0" applyFont="1" applyFill="1" applyBorder="1" applyAlignment="1">
      <alignment vertical="center"/>
    </xf>
    <xf numFmtId="0" fontId="7" fillId="4" borderId="23" xfId="0" applyFont="1" applyFill="1" applyBorder="1" applyAlignment="1">
      <alignment vertical="center"/>
    </xf>
    <xf numFmtId="0" fontId="7" fillId="4" borderId="24" xfId="0" applyFont="1" applyFill="1" applyBorder="1" applyAlignment="1">
      <alignment vertical="center"/>
    </xf>
    <xf numFmtId="0" fontId="7" fillId="4" borderId="25" xfId="0" applyFont="1" applyFill="1" applyBorder="1" applyAlignment="1">
      <alignment vertical="center"/>
    </xf>
    <xf numFmtId="0" fontId="7" fillId="4" borderId="49" xfId="0" applyFont="1" applyFill="1" applyBorder="1" applyAlignment="1">
      <alignment vertical="center"/>
    </xf>
    <xf numFmtId="0" fontId="7" fillId="4" borderId="56" xfId="0" applyFont="1" applyFill="1" applyBorder="1" applyAlignment="1">
      <alignment vertical="center"/>
    </xf>
    <xf numFmtId="0" fontId="7" fillId="4" borderId="57" xfId="0" applyFont="1" applyFill="1" applyBorder="1" applyAlignment="1">
      <alignment vertical="center"/>
    </xf>
    <xf numFmtId="0" fontId="7" fillId="4" borderId="182" xfId="0" applyFont="1" applyFill="1" applyBorder="1" applyAlignment="1">
      <alignment vertical="center"/>
    </xf>
    <xf numFmtId="0" fontId="7" fillId="4" borderId="58" xfId="0" applyFont="1" applyFill="1" applyBorder="1" applyAlignment="1">
      <alignment vertical="center"/>
    </xf>
    <xf numFmtId="0" fontId="7" fillId="4" borderId="62" xfId="0" applyFont="1" applyFill="1" applyBorder="1" applyAlignment="1">
      <alignment vertical="center"/>
    </xf>
    <xf numFmtId="0" fontId="16" fillId="4" borderId="57" xfId="0" applyFont="1" applyFill="1" applyBorder="1" applyAlignment="1">
      <alignment vertical="center"/>
    </xf>
    <xf numFmtId="0" fontId="16" fillId="4" borderId="58" xfId="0" applyFont="1" applyFill="1" applyBorder="1" applyAlignment="1">
      <alignment vertical="center"/>
    </xf>
    <xf numFmtId="0" fontId="7" fillId="4" borderId="60" xfId="0" applyFont="1" applyFill="1" applyBorder="1" applyAlignment="1">
      <alignment vertical="center"/>
    </xf>
    <xf numFmtId="0" fontId="7" fillId="4" borderId="28" xfId="0" applyFont="1" applyFill="1" applyBorder="1" applyAlignment="1">
      <alignment vertical="center"/>
    </xf>
    <xf numFmtId="0" fontId="7" fillId="4" borderId="54" xfId="0" applyFont="1" applyFill="1" applyBorder="1" applyAlignment="1">
      <alignment vertical="center"/>
    </xf>
    <xf numFmtId="0" fontId="7" fillId="4" borderId="29" xfId="0" applyFont="1" applyFill="1" applyBorder="1" applyAlignment="1">
      <alignment vertical="center"/>
    </xf>
    <xf numFmtId="0" fontId="18" fillId="4" borderId="23" xfId="0" applyFont="1" applyFill="1" applyBorder="1" applyAlignment="1">
      <alignment vertical="center"/>
    </xf>
    <xf numFmtId="0" fontId="18" fillId="4" borderId="25" xfId="0" applyFont="1" applyFill="1" applyBorder="1" applyAlignment="1">
      <alignment vertical="center"/>
    </xf>
    <xf numFmtId="0" fontId="18" fillId="4" borderId="40" xfId="0" applyFont="1" applyFill="1" applyBorder="1" applyAlignment="1">
      <alignment vertical="center"/>
    </xf>
    <xf numFmtId="0" fontId="7" fillId="4" borderId="40" xfId="0" applyFont="1" applyFill="1" applyBorder="1" applyAlignment="1">
      <alignment vertical="center"/>
    </xf>
    <xf numFmtId="0" fontId="7" fillId="4" borderId="10" xfId="0" applyFont="1" applyFill="1" applyBorder="1" applyAlignment="1">
      <alignment vertical="center"/>
    </xf>
    <xf numFmtId="0" fontId="27" fillId="3" borderId="25" xfId="0" applyFont="1" applyFill="1" applyBorder="1" applyAlignment="1">
      <alignment vertical="center"/>
    </xf>
    <xf numFmtId="0" fontId="16" fillId="4" borderId="23" xfId="0" applyFont="1" applyFill="1" applyBorder="1" applyAlignment="1">
      <alignment vertical="center"/>
    </xf>
    <xf numFmtId="0" fontId="8" fillId="2" borderId="22" xfId="0" applyFont="1" applyFill="1" applyBorder="1" applyAlignment="1">
      <alignment horizontal="left" vertical="top"/>
    </xf>
    <xf numFmtId="0" fontId="7" fillId="4" borderId="25" xfId="0" applyFont="1" applyFill="1" applyBorder="1" applyAlignment="1">
      <alignment vertical="center"/>
    </xf>
    <xf numFmtId="0" fontId="7" fillId="4" borderId="41" xfId="0" applyFont="1" applyFill="1" applyBorder="1" applyAlignment="1">
      <alignment vertical="center"/>
    </xf>
    <xf numFmtId="0" fontId="7" fillId="2" borderId="22" xfId="0" applyFont="1" applyFill="1" applyBorder="1" applyAlignment="1">
      <alignment horizontal="left" vertical="top"/>
    </xf>
    <xf numFmtId="0" fontId="7" fillId="4" borderId="23" xfId="0" applyFont="1" applyFill="1" applyBorder="1" applyAlignment="1">
      <alignment vertical="center"/>
    </xf>
    <xf numFmtId="0" fontId="7" fillId="4" borderId="41" xfId="0" applyFont="1" applyFill="1" applyBorder="1" applyAlignment="1">
      <alignment vertical="center"/>
    </xf>
    <xf numFmtId="0" fontId="8" fillId="8" borderId="48" xfId="0" applyFont="1" applyFill="1" applyBorder="1" applyAlignment="1">
      <alignment horizontal="center" vertical="center" wrapText="1"/>
    </xf>
    <xf numFmtId="0" fontId="7" fillId="4" borderId="25" xfId="0" applyFont="1" applyFill="1" applyBorder="1" applyAlignment="1">
      <alignment vertical="center"/>
    </xf>
    <xf numFmtId="0" fontId="7" fillId="2" borderId="22" xfId="0" applyFont="1" applyFill="1" applyBorder="1" applyAlignment="1">
      <alignment horizontal="left" vertical="top"/>
    </xf>
    <xf numFmtId="0" fontId="7" fillId="4" borderId="27" xfId="0" applyFont="1" applyFill="1" applyBorder="1" applyAlignment="1">
      <alignment vertical="center"/>
    </xf>
    <xf numFmtId="0" fontId="7" fillId="4" borderId="29" xfId="0" applyFont="1" applyFill="1" applyBorder="1" applyAlignment="1">
      <alignment vertical="center"/>
    </xf>
    <xf numFmtId="0" fontId="7" fillId="4" borderId="40" xfId="0" applyFont="1" applyFill="1" applyBorder="1" applyAlignment="1">
      <alignment vertical="center"/>
    </xf>
    <xf numFmtId="0" fontId="8" fillId="6" borderId="23" xfId="0" applyFont="1" applyFill="1" applyBorder="1" applyAlignment="1">
      <alignment horizontal="center" vertical="center" wrapText="1"/>
    </xf>
    <xf numFmtId="0" fontId="8" fillId="6" borderId="24" xfId="0" applyFont="1" applyFill="1" applyBorder="1" applyAlignment="1">
      <alignment horizontal="center" vertical="center" wrapText="1"/>
    </xf>
    <xf numFmtId="0" fontId="8" fillId="6" borderId="25" xfId="0" applyFont="1" applyFill="1" applyBorder="1" applyAlignment="1">
      <alignment horizontal="center" vertical="center" wrapText="1"/>
    </xf>
    <xf numFmtId="0" fontId="8" fillId="6" borderId="24" xfId="0" applyFont="1" applyFill="1" applyBorder="1" applyAlignment="1">
      <alignment horizontal="center" vertical="center"/>
    </xf>
    <xf numFmtId="0" fontId="7" fillId="2" borderId="20" xfId="0" applyFont="1" applyFill="1" applyBorder="1" applyAlignment="1" applyProtection="1">
      <alignment horizontal="center" vertical="center"/>
    </xf>
    <xf numFmtId="0" fontId="7" fillId="2" borderId="21" xfId="0" applyFont="1" applyFill="1" applyBorder="1" applyAlignment="1" applyProtection="1">
      <alignment horizontal="center" vertical="center"/>
    </xf>
    <xf numFmtId="0" fontId="7" fillId="2" borderId="45" xfId="0" applyFont="1" applyFill="1" applyBorder="1" applyAlignment="1" applyProtection="1">
      <alignment horizontal="center" vertical="center"/>
    </xf>
    <xf numFmtId="0" fontId="7" fillId="2" borderId="160" xfId="0" applyFont="1" applyFill="1" applyBorder="1" applyAlignment="1" applyProtection="1">
      <alignment horizontal="center" vertical="center"/>
    </xf>
    <xf numFmtId="0" fontId="7" fillId="2" borderId="37" xfId="0" applyFont="1" applyFill="1" applyBorder="1" applyAlignment="1" applyProtection="1">
      <alignment horizontal="center" vertical="center"/>
    </xf>
    <xf numFmtId="0" fontId="7" fillId="2" borderId="7" xfId="0" applyFont="1" applyFill="1" applyBorder="1" applyAlignment="1" applyProtection="1">
      <alignment horizontal="center" vertical="center"/>
    </xf>
    <xf numFmtId="0" fontId="7" fillId="2" borderId="31" xfId="0" applyFont="1" applyFill="1" applyBorder="1" applyAlignment="1" applyProtection="1">
      <alignment horizontal="center" vertical="center"/>
    </xf>
    <xf numFmtId="0" fontId="7" fillId="2" borderId="30" xfId="0" applyFont="1" applyFill="1" applyBorder="1" applyAlignment="1" applyProtection="1">
      <alignment horizontal="center" vertical="center"/>
    </xf>
    <xf numFmtId="0" fontId="8" fillId="6" borderId="67" xfId="0" applyFont="1" applyFill="1" applyBorder="1" applyAlignment="1">
      <alignment horizontal="center" vertical="center"/>
    </xf>
    <xf numFmtId="0" fontId="8" fillId="6" borderId="70" xfId="0" applyFont="1" applyFill="1" applyBorder="1" applyAlignment="1">
      <alignment horizontal="center" vertical="center"/>
    </xf>
    <xf numFmtId="49" fontId="18" fillId="4" borderId="73" xfId="1" applyNumberFormat="1" applyFont="1" applyFill="1" applyBorder="1" applyAlignment="1">
      <alignment horizontal="center" vertical="center"/>
    </xf>
    <xf numFmtId="49" fontId="18" fillId="4" borderId="15" xfId="1" applyNumberFormat="1" applyFont="1" applyFill="1" applyBorder="1" applyAlignment="1">
      <alignment horizontal="center" vertical="center"/>
    </xf>
    <xf numFmtId="0" fontId="8" fillId="0" borderId="42" xfId="0" applyFont="1" applyBorder="1" applyAlignment="1">
      <alignment horizontal="left" vertical="center" wrapText="1"/>
    </xf>
    <xf numFmtId="0" fontId="7" fillId="4" borderId="204" xfId="0" applyFont="1" applyFill="1" applyBorder="1" applyAlignment="1">
      <alignment vertical="center"/>
    </xf>
    <xf numFmtId="0" fontId="10" fillId="4" borderId="35" xfId="0" applyFont="1" applyFill="1" applyBorder="1" applyAlignment="1" applyProtection="1">
      <alignment horizontal="center" vertical="center"/>
    </xf>
    <xf numFmtId="0" fontId="10" fillId="4" borderId="8" xfId="0" applyFont="1" applyFill="1" applyBorder="1" applyAlignment="1" applyProtection="1">
      <alignment horizontal="center" vertical="center"/>
    </xf>
    <xf numFmtId="0" fontId="11" fillId="0" borderId="8" xfId="0" applyFont="1" applyBorder="1" applyAlignment="1" applyProtection="1">
      <alignment horizontal="center" vertical="center"/>
      <protection locked="0"/>
    </xf>
    <xf numFmtId="0" fontId="7" fillId="0" borderId="198" xfId="0" applyFont="1" applyBorder="1" applyAlignment="1" applyProtection="1">
      <alignment horizontal="center" vertical="center"/>
      <protection locked="0"/>
    </xf>
    <xf numFmtId="0" fontId="7" fillId="0" borderId="205" xfId="0" applyFont="1" applyBorder="1" applyAlignment="1" applyProtection="1">
      <alignment horizontal="center" vertical="center"/>
      <protection locked="0"/>
    </xf>
    <xf numFmtId="0" fontId="7" fillId="0" borderId="199" xfId="0" applyFont="1" applyBorder="1" applyAlignment="1" applyProtection="1">
      <alignment horizontal="center" vertical="center"/>
      <protection locked="0"/>
    </xf>
    <xf numFmtId="0" fontId="7" fillId="0" borderId="68" xfId="0" applyFont="1" applyBorder="1" applyAlignment="1" applyProtection="1">
      <alignment horizontal="center" vertical="center"/>
      <protection locked="0"/>
    </xf>
    <xf numFmtId="0" fontId="10" fillId="4" borderId="207" xfId="0" applyFont="1" applyFill="1" applyBorder="1" applyAlignment="1" applyProtection="1">
      <alignment horizontal="center" vertical="center"/>
    </xf>
    <xf numFmtId="0" fontId="10" fillId="4" borderId="168" xfId="0" applyFont="1" applyFill="1" applyBorder="1" applyAlignment="1" applyProtection="1">
      <alignment horizontal="center" vertical="center"/>
    </xf>
    <xf numFmtId="0" fontId="7" fillId="4" borderId="208" xfId="0" applyFont="1" applyFill="1" applyBorder="1" applyAlignment="1" applyProtection="1">
      <alignment horizontal="center" vertical="center"/>
    </xf>
    <xf numFmtId="0" fontId="7" fillId="4" borderId="210" xfId="0" applyFont="1" applyFill="1" applyBorder="1" applyAlignment="1">
      <alignment vertical="center"/>
    </xf>
    <xf numFmtId="0" fontId="8" fillId="6" borderId="53" xfId="0" applyFont="1" applyFill="1" applyBorder="1" applyAlignment="1">
      <alignment horizontal="center" vertical="center"/>
    </xf>
    <xf numFmtId="0" fontId="11" fillId="6" borderId="42" xfId="0" applyFont="1" applyFill="1" applyBorder="1" applyAlignment="1">
      <alignment horizontal="center" vertical="center"/>
    </xf>
    <xf numFmtId="0" fontId="11" fillId="6" borderId="52" xfId="0" applyFont="1" applyFill="1" applyBorder="1" applyAlignment="1">
      <alignment horizontal="center" vertical="center"/>
    </xf>
    <xf numFmtId="0" fontId="11" fillId="4" borderId="8" xfId="0" applyFont="1" applyFill="1" applyBorder="1" applyAlignment="1" applyProtection="1">
      <alignment horizontal="center" vertical="center"/>
    </xf>
    <xf numFmtId="0" fontId="11" fillId="4" borderId="15" xfId="0" applyFont="1" applyFill="1" applyBorder="1" applyAlignment="1" applyProtection="1">
      <alignment horizontal="center" vertical="center"/>
    </xf>
    <xf numFmtId="0" fontId="8" fillId="0" borderId="50" xfId="0" applyFont="1" applyBorder="1" applyAlignment="1">
      <alignment horizontal="left" vertical="center" wrapText="1"/>
    </xf>
    <xf numFmtId="0" fontId="7" fillId="0" borderId="38" xfId="0" applyFont="1" applyBorder="1" applyAlignment="1">
      <alignment horizontal="left" vertical="center"/>
    </xf>
    <xf numFmtId="0" fontId="7" fillId="4" borderId="214" xfId="0" applyFont="1" applyFill="1" applyBorder="1" applyAlignment="1" applyProtection="1">
      <alignment horizontal="center" vertical="center"/>
    </xf>
    <xf numFmtId="0" fontId="7" fillId="0" borderId="214" xfId="0" applyFont="1" applyBorder="1" applyAlignment="1" applyProtection="1">
      <alignment horizontal="center" vertical="center"/>
      <protection locked="0"/>
    </xf>
    <xf numFmtId="0" fontId="7" fillId="0" borderId="215" xfId="0" applyFont="1" applyBorder="1" applyAlignment="1" applyProtection="1">
      <alignment horizontal="center" vertical="center"/>
      <protection locked="0"/>
    </xf>
    <xf numFmtId="0" fontId="7" fillId="4" borderId="217" xfId="0" applyFont="1" applyFill="1" applyBorder="1" applyAlignment="1" applyProtection="1">
      <alignment horizontal="center" vertical="center"/>
    </xf>
    <xf numFmtId="0" fontId="7" fillId="0" borderId="217" xfId="0" applyFont="1" applyBorder="1" applyAlignment="1" applyProtection="1">
      <alignment horizontal="center" vertical="center"/>
      <protection locked="0"/>
    </xf>
    <xf numFmtId="0" fontId="7" fillId="4" borderId="218" xfId="0" applyFont="1" applyFill="1" applyBorder="1" applyAlignment="1" applyProtection="1">
      <alignment horizontal="center" vertical="center"/>
    </xf>
    <xf numFmtId="0" fontId="14" fillId="6" borderId="219" xfId="0" applyFont="1" applyFill="1" applyBorder="1" applyAlignment="1">
      <alignment horizontal="center" vertical="center"/>
    </xf>
    <xf numFmtId="0" fontId="7" fillId="4" borderId="227" xfId="0" applyFont="1" applyFill="1" applyBorder="1" applyAlignment="1" applyProtection="1">
      <alignment horizontal="center" vertical="center"/>
    </xf>
    <xf numFmtId="0" fontId="7" fillId="4" borderId="191" xfId="0" applyFont="1" applyFill="1" applyBorder="1" applyAlignment="1" applyProtection="1">
      <alignment horizontal="center" vertical="center"/>
    </xf>
    <xf numFmtId="0" fontId="11" fillId="0" borderId="200" xfId="0" applyFont="1" applyBorder="1" applyAlignment="1" applyProtection="1">
      <alignment horizontal="center" vertical="center"/>
      <protection locked="0"/>
    </xf>
    <xf numFmtId="0" fontId="11" fillId="0" borderId="179" xfId="0" applyFont="1" applyBorder="1" applyAlignment="1" applyProtection="1">
      <alignment horizontal="center" vertical="center"/>
      <protection locked="0"/>
    </xf>
    <xf numFmtId="0" fontId="8" fillId="6" borderId="229" xfId="0" applyFont="1" applyFill="1" applyBorder="1" applyAlignment="1">
      <alignment horizontal="left" vertical="center" wrapText="1"/>
    </xf>
    <xf numFmtId="0" fontId="8" fillId="6" borderId="231" xfId="0" applyFont="1" applyFill="1" applyBorder="1" applyAlignment="1">
      <alignment horizontal="left" vertical="center" wrapText="1"/>
    </xf>
    <xf numFmtId="0" fontId="7" fillId="4" borderId="44" xfId="0" applyFont="1" applyFill="1" applyBorder="1" applyAlignment="1">
      <alignment vertical="center"/>
    </xf>
    <xf numFmtId="0" fontId="7" fillId="4" borderId="38" xfId="0" applyFont="1" applyFill="1" applyBorder="1" applyAlignment="1">
      <alignment vertical="center"/>
    </xf>
    <xf numFmtId="49" fontId="18" fillId="4" borderId="35" xfId="1" applyNumberFormat="1" applyFont="1" applyFill="1" applyBorder="1" applyAlignment="1">
      <alignment horizontal="center" vertical="center"/>
    </xf>
    <xf numFmtId="49" fontId="18" fillId="4" borderId="36" xfId="1" applyNumberFormat="1" applyFont="1" applyFill="1" applyBorder="1" applyAlignment="1">
      <alignment horizontal="center" vertical="center"/>
    </xf>
    <xf numFmtId="0" fontId="7" fillId="4" borderId="67" xfId="0" applyFont="1" applyFill="1" applyBorder="1" applyAlignment="1" applyProtection="1">
      <alignment horizontal="center" vertical="center"/>
    </xf>
    <xf numFmtId="0" fontId="7" fillId="0" borderId="67" xfId="0" applyFont="1" applyBorder="1" applyAlignment="1" applyProtection="1">
      <alignment horizontal="center" vertical="center"/>
      <protection locked="0"/>
    </xf>
    <xf numFmtId="0" fontId="7" fillId="2" borderId="67" xfId="0" applyFont="1" applyFill="1" applyBorder="1" applyAlignment="1" applyProtection="1">
      <alignment horizontal="center" vertical="center"/>
    </xf>
    <xf numFmtId="0" fontId="8" fillId="6" borderId="68" xfId="0" applyFont="1" applyFill="1" applyBorder="1" applyAlignment="1">
      <alignment horizontal="center" vertical="center"/>
    </xf>
    <xf numFmtId="0" fontId="7" fillId="4" borderId="70" xfId="0" applyFont="1" applyFill="1" applyBorder="1" applyAlignment="1" applyProtection="1">
      <alignment horizontal="center" vertical="center"/>
    </xf>
    <xf numFmtId="0" fontId="7" fillId="0" borderId="70" xfId="0" applyFont="1" applyBorder="1" applyAlignment="1" applyProtection="1">
      <alignment horizontal="center" vertical="center"/>
      <protection locked="0"/>
    </xf>
    <xf numFmtId="0" fontId="7" fillId="4" borderId="233" xfId="0" applyFont="1" applyFill="1" applyBorder="1" applyAlignment="1" applyProtection="1">
      <alignment horizontal="center" vertical="center"/>
    </xf>
    <xf numFmtId="0" fontId="7" fillId="4" borderId="234" xfId="0" applyFont="1" applyFill="1" applyBorder="1" applyAlignment="1" applyProtection="1">
      <alignment horizontal="center" vertical="center"/>
    </xf>
    <xf numFmtId="0" fontId="7" fillId="4" borderId="235" xfId="0" applyFont="1" applyFill="1" applyBorder="1" applyAlignment="1" applyProtection="1">
      <alignment horizontal="center" vertical="center"/>
    </xf>
    <xf numFmtId="0" fontId="7" fillId="4" borderId="198" xfId="0" applyFont="1" applyFill="1" applyBorder="1" applyAlignment="1" applyProtection="1">
      <alignment horizontal="center" vertical="center"/>
    </xf>
    <xf numFmtId="0" fontId="7" fillId="2" borderId="198" xfId="0" applyFont="1" applyFill="1" applyBorder="1" applyAlignment="1" applyProtection="1">
      <alignment horizontal="center" vertical="center"/>
    </xf>
    <xf numFmtId="0" fontId="7" fillId="0" borderId="236" xfId="0" applyFont="1" applyBorder="1" applyAlignment="1" applyProtection="1">
      <alignment horizontal="center" vertical="center"/>
      <protection locked="0"/>
    </xf>
    <xf numFmtId="0" fontId="7" fillId="4" borderId="78" xfId="0" applyFont="1" applyFill="1" applyBorder="1" applyAlignment="1" applyProtection="1">
      <alignment horizontal="center" vertical="center"/>
    </xf>
    <xf numFmtId="49" fontId="8" fillId="6" borderId="78" xfId="0" applyNumberFormat="1" applyFont="1" applyFill="1" applyBorder="1" applyAlignment="1" applyProtection="1">
      <alignment horizontal="center" vertical="center"/>
    </xf>
    <xf numFmtId="49" fontId="8" fillId="6" borderId="206" xfId="0" applyNumberFormat="1" applyFont="1" applyFill="1" applyBorder="1" applyAlignment="1" applyProtection="1">
      <alignment horizontal="center" vertical="center"/>
    </xf>
    <xf numFmtId="0" fontId="7" fillId="4" borderId="211" xfId="0" applyFont="1" applyFill="1" applyBorder="1" applyAlignment="1" applyProtection="1">
      <alignment horizontal="center" vertical="center"/>
    </xf>
    <xf numFmtId="0" fontId="7" fillId="4" borderId="68" xfId="0" applyFont="1" applyFill="1" applyBorder="1" applyAlignment="1" applyProtection="1">
      <alignment horizontal="center" vertical="center"/>
    </xf>
    <xf numFmtId="0" fontId="7" fillId="0" borderId="78" xfId="0" applyFont="1" applyBorder="1" applyAlignment="1" applyProtection="1">
      <alignment horizontal="center" vertical="center"/>
      <protection locked="0"/>
    </xf>
    <xf numFmtId="0" fontId="7" fillId="2" borderId="78" xfId="0" applyFont="1" applyFill="1" applyBorder="1" applyAlignment="1" applyProtection="1">
      <alignment horizontal="center" vertical="center"/>
    </xf>
    <xf numFmtId="0" fontId="7" fillId="0" borderId="206" xfId="0" applyFont="1" applyBorder="1" applyAlignment="1" applyProtection="1">
      <alignment horizontal="center" vertical="center"/>
      <protection locked="0"/>
    </xf>
    <xf numFmtId="0" fontId="7" fillId="4" borderId="206" xfId="0" applyFont="1" applyFill="1" applyBorder="1" applyAlignment="1" applyProtection="1">
      <alignment horizontal="center" vertical="center"/>
    </xf>
    <xf numFmtId="0" fontId="7" fillId="4" borderId="69" xfId="0" applyFont="1" applyFill="1" applyBorder="1" applyAlignment="1" applyProtection="1">
      <alignment horizontal="center" vertical="center"/>
    </xf>
    <xf numFmtId="0" fontId="7" fillId="4" borderId="179" xfId="0" applyFont="1" applyFill="1" applyBorder="1" applyAlignment="1" applyProtection="1">
      <alignment horizontal="center" vertical="center"/>
    </xf>
    <xf numFmtId="0" fontId="7" fillId="0" borderId="179" xfId="0" applyFont="1" applyBorder="1" applyAlignment="1" applyProtection="1">
      <alignment horizontal="center" vertical="center"/>
      <protection locked="0"/>
    </xf>
    <xf numFmtId="0" fontId="7" fillId="4" borderId="201" xfId="0" applyFont="1" applyFill="1" applyBorder="1" applyAlignment="1" applyProtection="1">
      <alignment horizontal="center" vertical="center"/>
    </xf>
    <xf numFmtId="0" fontId="7" fillId="4" borderId="237" xfId="0" applyFont="1" applyFill="1" applyBorder="1" applyAlignment="1" applyProtection="1">
      <alignment horizontal="center" vertical="center"/>
    </xf>
    <xf numFmtId="0" fontId="7" fillId="0" borderId="237" xfId="0" applyFont="1" applyBorder="1" applyAlignment="1" applyProtection="1">
      <alignment horizontal="center" vertical="center"/>
      <protection locked="0"/>
    </xf>
    <xf numFmtId="0" fontId="7" fillId="4" borderId="238" xfId="0" applyFont="1" applyFill="1" applyBorder="1" applyAlignment="1" applyProtection="1">
      <alignment horizontal="center" vertical="center"/>
    </xf>
    <xf numFmtId="0" fontId="8" fillId="6" borderId="205" xfId="0" applyFont="1" applyFill="1" applyBorder="1" applyAlignment="1">
      <alignment horizontal="center" vertical="center"/>
    </xf>
    <xf numFmtId="0" fontId="8" fillId="6" borderId="206" xfId="0" applyFont="1" applyFill="1" applyBorder="1" applyAlignment="1">
      <alignment horizontal="center" vertical="center"/>
    </xf>
    <xf numFmtId="0" fontId="7" fillId="0" borderId="176" xfId="0" applyFont="1" applyBorder="1" applyAlignment="1" applyProtection="1">
      <alignment horizontal="center" vertical="center"/>
      <protection locked="0"/>
    </xf>
    <xf numFmtId="0" fontId="7" fillId="0" borderId="240" xfId="0" applyFont="1" applyBorder="1" applyAlignment="1" applyProtection="1">
      <alignment horizontal="center" vertical="center"/>
      <protection locked="0"/>
    </xf>
    <xf numFmtId="0" fontId="7" fillId="4" borderId="243" xfId="0" applyFont="1" applyFill="1" applyBorder="1" applyAlignment="1" applyProtection="1">
      <alignment horizontal="center" vertical="center"/>
    </xf>
    <xf numFmtId="0" fontId="7" fillId="4" borderId="244" xfId="0" applyFont="1" applyFill="1" applyBorder="1" applyAlignment="1" applyProtection="1">
      <alignment horizontal="center" vertical="center"/>
    </xf>
    <xf numFmtId="0" fontId="7" fillId="4" borderId="245" xfId="0" applyFont="1" applyFill="1" applyBorder="1" applyAlignment="1" applyProtection="1">
      <alignment horizontal="center" vertical="center"/>
    </xf>
    <xf numFmtId="0" fontId="7" fillId="4" borderId="176" xfId="0" applyFont="1" applyFill="1" applyBorder="1" applyAlignment="1" applyProtection="1">
      <alignment horizontal="center" vertical="center"/>
    </xf>
    <xf numFmtId="0" fontId="7" fillId="4" borderId="205" xfId="0" applyFont="1" applyFill="1" applyBorder="1" applyAlignment="1" applyProtection="1">
      <alignment horizontal="center" vertical="center"/>
    </xf>
    <xf numFmtId="0" fontId="7" fillId="4" borderId="177" xfId="0" applyFont="1" applyFill="1" applyBorder="1" applyAlignment="1" applyProtection="1">
      <alignment horizontal="center" vertical="center"/>
    </xf>
    <xf numFmtId="0" fontId="7" fillId="4" borderId="236" xfId="0" applyFont="1" applyFill="1" applyBorder="1" applyAlignment="1" applyProtection="1">
      <alignment horizontal="center" vertical="center"/>
    </xf>
    <xf numFmtId="0" fontId="7" fillId="4" borderId="240" xfId="0" applyFont="1" applyFill="1" applyBorder="1" applyAlignment="1" applyProtection="1">
      <alignment horizontal="center" vertical="center"/>
    </xf>
    <xf numFmtId="0" fontId="7" fillId="0" borderId="177" xfId="0" applyFont="1" applyBorder="1" applyAlignment="1" applyProtection="1">
      <alignment horizontal="center" vertical="center"/>
      <protection locked="0"/>
    </xf>
    <xf numFmtId="0" fontId="7" fillId="4" borderId="246" xfId="0" applyFont="1" applyFill="1" applyBorder="1" applyAlignment="1" applyProtection="1">
      <alignment horizontal="center" vertical="center"/>
    </xf>
    <xf numFmtId="0" fontId="7" fillId="4" borderId="76" xfId="0" applyFont="1" applyFill="1" applyBorder="1" applyAlignment="1" applyProtection="1">
      <alignment horizontal="center" vertical="center"/>
    </xf>
    <xf numFmtId="0" fontId="7" fillId="4" borderId="83" xfId="0" applyFont="1" applyFill="1" applyBorder="1" applyAlignment="1" applyProtection="1">
      <alignment horizontal="center" vertical="center"/>
    </xf>
    <xf numFmtId="0" fontId="7" fillId="4" borderId="241" xfId="0" applyFont="1" applyFill="1" applyBorder="1" applyAlignment="1" applyProtection="1">
      <alignment horizontal="center" vertical="center"/>
    </xf>
    <xf numFmtId="0" fontId="7" fillId="4" borderId="242" xfId="0" applyFont="1" applyFill="1" applyBorder="1" applyAlignment="1" applyProtection="1">
      <alignment horizontal="center" vertical="center"/>
    </xf>
    <xf numFmtId="0" fontId="7" fillId="4" borderId="247" xfId="0" applyFont="1" applyFill="1" applyBorder="1" applyAlignment="1" applyProtection="1">
      <alignment horizontal="center" vertical="center"/>
    </xf>
    <xf numFmtId="49" fontId="8" fillId="6" borderId="69" xfId="0" applyNumberFormat="1" applyFont="1" applyFill="1" applyBorder="1" applyAlignment="1" applyProtection="1">
      <alignment horizontal="center" vertical="center"/>
    </xf>
    <xf numFmtId="0" fontId="7" fillId="0" borderId="69" xfId="0" applyFont="1" applyBorder="1" applyAlignment="1" applyProtection="1">
      <alignment horizontal="center" vertical="center"/>
      <protection locked="0"/>
    </xf>
    <xf numFmtId="0" fontId="7" fillId="4" borderId="199" xfId="0" applyFont="1" applyFill="1" applyBorder="1" applyAlignment="1" applyProtection="1">
      <alignment horizontal="center" vertical="center"/>
    </xf>
    <xf numFmtId="0" fontId="8" fillId="6" borderId="236" xfId="0" applyFont="1" applyFill="1" applyBorder="1" applyAlignment="1">
      <alignment horizontal="center" vertical="center"/>
    </xf>
    <xf numFmtId="49" fontId="8" fillId="6" borderId="240" xfId="0" applyNumberFormat="1" applyFont="1" applyFill="1" applyBorder="1" applyAlignment="1" applyProtection="1">
      <alignment horizontal="center" vertical="center"/>
    </xf>
    <xf numFmtId="0" fontId="7" fillId="0" borderId="180" xfId="0" applyFont="1" applyBorder="1" applyAlignment="1" applyProtection="1">
      <alignment horizontal="center" vertical="center"/>
      <protection locked="0"/>
    </xf>
    <xf numFmtId="0" fontId="8" fillId="6" borderId="239" xfId="0" applyFont="1" applyFill="1" applyBorder="1" applyAlignment="1">
      <alignment horizontal="center" vertical="center"/>
    </xf>
    <xf numFmtId="0" fontId="7" fillId="0" borderId="178" xfId="0" applyFont="1" applyBorder="1" applyAlignment="1" applyProtection="1">
      <alignment horizontal="center" vertical="center"/>
      <protection locked="0"/>
    </xf>
    <xf numFmtId="0" fontId="8" fillId="6" borderId="228" xfId="0" applyFont="1" applyFill="1" applyBorder="1" applyAlignment="1">
      <alignment horizontal="center" vertical="center"/>
    </xf>
    <xf numFmtId="0" fontId="7" fillId="0" borderId="201" xfId="0" applyFont="1" applyBorder="1" applyAlignment="1" applyProtection="1">
      <alignment horizontal="center" vertical="center"/>
      <protection locked="0"/>
    </xf>
    <xf numFmtId="0" fontId="9" fillId="5" borderId="179" xfId="0" applyFont="1" applyFill="1" applyBorder="1" applyAlignment="1" applyProtection="1">
      <alignment horizontal="center" vertical="center"/>
      <protection locked="0"/>
    </xf>
    <xf numFmtId="0" fontId="8" fillId="4" borderId="67" xfId="0" applyFont="1" applyFill="1" applyBorder="1" applyAlignment="1" applyProtection="1">
      <alignment horizontal="center" vertical="center"/>
    </xf>
    <xf numFmtId="0" fontId="8" fillId="15" borderId="67" xfId="0" applyFont="1" applyFill="1" applyBorder="1" applyAlignment="1" applyProtection="1">
      <alignment horizontal="center" vertical="center"/>
    </xf>
    <xf numFmtId="0" fontId="7" fillId="4" borderId="173" xfId="0" applyFont="1" applyFill="1" applyBorder="1" applyAlignment="1">
      <alignment vertical="center"/>
    </xf>
    <xf numFmtId="0" fontId="7" fillId="4" borderId="174" xfId="0" applyFont="1" applyFill="1" applyBorder="1" applyAlignment="1">
      <alignment vertical="center"/>
    </xf>
    <xf numFmtId="0" fontId="7" fillId="4" borderId="175" xfId="0" applyFont="1" applyFill="1" applyBorder="1" applyAlignment="1">
      <alignment vertical="center"/>
    </xf>
    <xf numFmtId="0" fontId="8" fillId="4" borderId="179" xfId="0" applyFont="1" applyFill="1" applyBorder="1" applyAlignment="1" applyProtection="1">
      <alignment horizontal="center" vertical="center"/>
    </xf>
    <xf numFmtId="0" fontId="8" fillId="4" borderId="207" xfId="0" applyFont="1" applyFill="1" applyBorder="1" applyAlignment="1" applyProtection="1">
      <alignment horizontal="center" vertical="center"/>
    </xf>
    <xf numFmtId="0" fontId="8" fillId="15" borderId="236" xfId="0" applyFont="1" applyFill="1" applyBorder="1" applyAlignment="1" applyProtection="1">
      <alignment horizontal="center" vertical="center"/>
    </xf>
    <xf numFmtId="0" fontId="8" fillId="4" borderId="208" xfId="0" applyFont="1" applyFill="1" applyBorder="1" applyAlignment="1" applyProtection="1">
      <alignment horizontal="center" vertical="center"/>
    </xf>
    <xf numFmtId="0" fontId="8" fillId="4" borderId="209" xfId="0" applyFont="1" applyFill="1" applyBorder="1" applyAlignment="1" applyProtection="1">
      <alignment horizontal="center" vertical="center"/>
    </xf>
    <xf numFmtId="0" fontId="9" fillId="15" borderId="78" xfId="0" applyFont="1" applyFill="1" applyBorder="1" applyAlignment="1" applyProtection="1">
      <alignment horizontal="center" vertical="center"/>
    </xf>
    <xf numFmtId="0" fontId="9" fillId="15" borderId="206" xfId="0" applyFont="1" applyFill="1" applyBorder="1" applyAlignment="1" applyProtection="1">
      <alignment horizontal="center" vertical="center"/>
    </xf>
    <xf numFmtId="0" fontId="11" fillId="4" borderId="198" xfId="0" applyFont="1" applyFill="1" applyBorder="1" applyAlignment="1" applyProtection="1">
      <alignment horizontal="center" vertical="center"/>
    </xf>
    <xf numFmtId="0" fontId="11" fillId="4" borderId="205" xfId="0" applyFont="1" applyFill="1" applyBorder="1" applyAlignment="1" applyProtection="1">
      <alignment horizontal="center" vertical="center"/>
    </xf>
    <xf numFmtId="0" fontId="8" fillId="0" borderId="236" xfId="0" applyFont="1" applyBorder="1" applyAlignment="1" applyProtection="1">
      <alignment horizontal="center" vertical="center"/>
      <protection locked="0"/>
    </xf>
    <xf numFmtId="0" fontId="8" fillId="4" borderId="78" xfId="0" applyFont="1" applyFill="1" applyBorder="1" applyAlignment="1" applyProtection="1">
      <alignment horizontal="center" vertical="center"/>
    </xf>
    <xf numFmtId="0" fontId="9" fillId="5" borderId="206" xfId="0" applyFont="1" applyFill="1" applyBorder="1" applyAlignment="1" applyProtection="1">
      <alignment horizontal="center" vertical="center"/>
      <protection locked="0"/>
    </xf>
    <xf numFmtId="0" fontId="8" fillId="15" borderId="70" xfId="0" applyFont="1" applyFill="1" applyBorder="1" applyAlignment="1" applyProtection="1">
      <alignment horizontal="center" vertical="center"/>
    </xf>
    <xf numFmtId="0" fontId="11" fillId="4" borderId="199" xfId="0" applyFont="1" applyFill="1" applyBorder="1" applyAlignment="1" applyProtection="1">
      <alignment horizontal="center" vertical="center"/>
    </xf>
    <xf numFmtId="0" fontId="8" fillId="2" borderId="173" xfId="0" applyFont="1" applyFill="1" applyBorder="1" applyAlignment="1">
      <alignment horizontal="left" vertical="center" wrapText="1"/>
    </xf>
    <xf numFmtId="0" fontId="7" fillId="0" borderId="174" xfId="0" applyFont="1" applyBorder="1" applyAlignment="1">
      <alignment horizontal="left" vertical="center" wrapText="1"/>
    </xf>
    <xf numFmtId="0" fontId="7" fillId="5" borderId="175" xfId="0" applyFont="1" applyFill="1" applyBorder="1" applyAlignment="1">
      <alignment horizontal="left" vertical="center" wrapText="1"/>
    </xf>
    <xf numFmtId="0" fontId="8" fillId="4" borderId="248" xfId="0" applyFont="1" applyFill="1" applyBorder="1" applyAlignment="1" applyProtection="1">
      <alignment horizontal="center" vertical="center"/>
    </xf>
    <xf numFmtId="0" fontId="7" fillId="4" borderId="249" xfId="0" applyFont="1" applyFill="1" applyBorder="1" applyAlignment="1">
      <alignment vertical="center"/>
    </xf>
    <xf numFmtId="0" fontId="7" fillId="4" borderId="250" xfId="0" applyFont="1" applyFill="1" applyBorder="1" applyAlignment="1">
      <alignment vertical="center"/>
    </xf>
    <xf numFmtId="0" fontId="7" fillId="4" borderId="251" xfId="0" applyFont="1" applyFill="1" applyBorder="1" applyAlignment="1">
      <alignment vertical="center"/>
    </xf>
    <xf numFmtId="0" fontId="8" fillId="4" borderId="252" xfId="0" applyFont="1" applyFill="1" applyBorder="1" applyAlignment="1" applyProtection="1">
      <alignment horizontal="center" vertical="center"/>
    </xf>
    <xf numFmtId="0" fontId="8" fillId="4" borderId="253" xfId="0" applyFont="1" applyFill="1" applyBorder="1" applyAlignment="1" applyProtection="1">
      <alignment horizontal="center" vertical="center"/>
    </xf>
    <xf numFmtId="0" fontId="11" fillId="15" borderId="211" xfId="0" applyFont="1" applyFill="1" applyBorder="1" applyAlignment="1" applyProtection="1">
      <alignment horizontal="center" vertical="center"/>
    </xf>
    <xf numFmtId="0" fontId="11" fillId="15" borderId="70" xfId="0" applyFont="1" applyFill="1" applyBorder="1" applyAlignment="1" applyProtection="1">
      <alignment horizontal="center" vertical="center"/>
    </xf>
    <xf numFmtId="0" fontId="11" fillId="15" borderId="239" xfId="0" applyFont="1" applyFill="1" applyBorder="1" applyAlignment="1" applyProtection="1">
      <alignment horizontal="center" vertical="center"/>
    </xf>
    <xf numFmtId="0" fontId="11" fillId="4" borderId="254" xfId="0" applyFont="1" applyFill="1" applyBorder="1" applyAlignment="1" applyProtection="1">
      <alignment horizontal="center" vertical="center"/>
    </xf>
    <xf numFmtId="0" fontId="8" fillId="0" borderId="205" xfId="0" applyFont="1" applyBorder="1" applyAlignment="1" applyProtection="1">
      <alignment horizontal="center" vertical="center"/>
      <protection locked="0"/>
    </xf>
    <xf numFmtId="0" fontId="8" fillId="0" borderId="228" xfId="0" applyFont="1" applyBorder="1" applyAlignment="1" applyProtection="1">
      <alignment horizontal="center" vertical="center"/>
      <protection locked="0"/>
    </xf>
    <xf numFmtId="0" fontId="13" fillId="4" borderId="255" xfId="0" applyFont="1" applyFill="1" applyBorder="1" applyAlignment="1" applyProtection="1">
      <alignment horizontal="center" vertical="center"/>
    </xf>
    <xf numFmtId="0" fontId="7" fillId="4" borderId="256" xfId="0" applyFont="1" applyFill="1" applyBorder="1" applyAlignment="1" applyProtection="1">
      <alignment horizontal="center" vertical="center"/>
    </xf>
    <xf numFmtId="0" fontId="8" fillId="4" borderId="256" xfId="0" applyFont="1" applyFill="1" applyBorder="1" applyAlignment="1" applyProtection="1">
      <alignment horizontal="center" vertical="center"/>
    </xf>
    <xf numFmtId="0" fontId="8" fillId="4" borderId="257" xfId="0" applyFont="1" applyFill="1" applyBorder="1" applyAlignment="1" applyProtection="1">
      <alignment horizontal="center" vertical="center"/>
    </xf>
    <xf numFmtId="0" fontId="8" fillId="15" borderId="211" xfId="0" applyFont="1" applyFill="1" applyBorder="1" applyAlignment="1" applyProtection="1">
      <alignment horizontal="center" vertical="center"/>
    </xf>
    <xf numFmtId="0" fontId="8" fillId="15" borderId="68" xfId="0" applyFont="1" applyFill="1" applyBorder="1" applyAlignment="1" applyProtection="1">
      <alignment horizontal="center" vertical="center"/>
    </xf>
    <xf numFmtId="0" fontId="9" fillId="15" borderId="69" xfId="0" applyFont="1" applyFill="1" applyBorder="1" applyAlignment="1" applyProtection="1">
      <alignment horizontal="center" vertical="center"/>
    </xf>
    <xf numFmtId="0" fontId="9" fillId="5" borderId="200" xfId="0" applyFont="1" applyFill="1" applyBorder="1" applyAlignment="1" applyProtection="1">
      <alignment horizontal="center" vertical="center"/>
      <protection locked="0"/>
    </xf>
    <xf numFmtId="0" fontId="9" fillId="5" borderId="228" xfId="0" applyFont="1" applyFill="1" applyBorder="1" applyAlignment="1" applyProtection="1">
      <alignment horizontal="center" vertical="center"/>
      <protection locked="0"/>
    </xf>
    <xf numFmtId="0" fontId="8" fillId="15" borderId="239" xfId="0" applyFont="1" applyFill="1" applyBorder="1" applyAlignment="1" applyProtection="1">
      <alignment horizontal="center" vertical="center"/>
    </xf>
    <xf numFmtId="0" fontId="9" fillId="4" borderId="209" xfId="0" applyFont="1" applyFill="1" applyBorder="1" applyAlignment="1" applyProtection="1">
      <alignment horizontal="center" vertical="center"/>
    </xf>
    <xf numFmtId="0" fontId="11" fillId="4" borderId="258" xfId="0" applyFont="1" applyFill="1" applyBorder="1" applyAlignment="1" applyProtection="1">
      <alignment horizontal="center" vertical="center"/>
    </xf>
    <xf numFmtId="0" fontId="38" fillId="5" borderId="96" xfId="0" applyFont="1" applyFill="1" applyBorder="1" applyAlignment="1">
      <alignment wrapText="1"/>
    </xf>
    <xf numFmtId="0" fontId="38" fillId="5" borderId="95" xfId="0" applyFont="1" applyFill="1" applyBorder="1" applyAlignment="1">
      <alignment wrapText="1"/>
    </xf>
    <xf numFmtId="0" fontId="29" fillId="5" borderId="1" xfId="0" applyFont="1" applyFill="1" applyBorder="1" applyAlignment="1">
      <alignment wrapText="1"/>
    </xf>
    <xf numFmtId="0" fontId="29" fillId="5" borderId="4" xfId="0" applyFont="1" applyFill="1" applyBorder="1" applyAlignment="1">
      <alignment wrapText="1"/>
    </xf>
    <xf numFmtId="0" fontId="38" fillId="5" borderId="0" xfId="0" applyFont="1" applyFill="1" applyAlignment="1">
      <alignment wrapText="1"/>
    </xf>
    <xf numFmtId="0" fontId="29" fillId="5" borderId="1" xfId="0" applyFont="1" applyFill="1" applyBorder="1" applyAlignment="1">
      <alignment vertical="top"/>
    </xf>
    <xf numFmtId="0" fontId="29" fillId="5" borderId="5" xfId="0" applyFont="1" applyFill="1" applyBorder="1" applyAlignment="1">
      <alignment vertical="top"/>
    </xf>
    <xf numFmtId="0" fontId="29" fillId="4" borderId="87" xfId="0" applyFont="1" applyFill="1" applyBorder="1" applyAlignment="1">
      <alignment vertical="center"/>
    </xf>
    <xf numFmtId="0" fontId="29" fillId="4" borderId="75" xfId="0" applyFont="1" applyFill="1" applyBorder="1" applyAlignment="1">
      <alignment vertical="center"/>
    </xf>
    <xf numFmtId="0" fontId="29" fillId="4" borderId="92" xfId="0" applyFont="1" applyFill="1" applyBorder="1" applyAlignment="1">
      <alignment vertical="center"/>
    </xf>
    <xf numFmtId="0" fontId="29" fillId="4" borderId="89" xfId="0" applyFont="1" applyFill="1" applyBorder="1" applyAlignment="1">
      <alignment vertical="center"/>
    </xf>
    <xf numFmtId="0" fontId="29" fillId="4" borderId="187" xfId="0" applyFont="1" applyFill="1" applyBorder="1" applyAlignment="1">
      <alignment vertical="center"/>
    </xf>
    <xf numFmtId="0" fontId="38" fillId="4" borderId="75" xfId="0" applyFont="1" applyFill="1" applyBorder="1" applyAlignment="1">
      <alignment vertical="center"/>
    </xf>
    <xf numFmtId="0" fontId="7" fillId="4" borderId="48" xfId="0" applyFont="1" applyFill="1" applyBorder="1" applyAlignment="1">
      <alignment vertical="center"/>
    </xf>
    <xf numFmtId="0" fontId="38" fillId="4" borderId="24" xfId="0" applyFont="1" applyFill="1" applyBorder="1" applyAlignment="1">
      <alignment vertical="center" wrapText="1"/>
    </xf>
    <xf numFmtId="0" fontId="29" fillId="4" borderId="75" xfId="0" applyFont="1" applyFill="1" applyBorder="1" applyAlignment="1">
      <alignment vertical="center" wrapText="1"/>
    </xf>
    <xf numFmtId="0" fontId="29" fillId="0" borderId="75" xfId="0" applyFont="1" applyFill="1" applyBorder="1" applyAlignment="1">
      <alignment vertical="center"/>
    </xf>
    <xf numFmtId="0" fontId="29" fillId="4" borderId="49" xfId="0" applyFont="1" applyFill="1" applyBorder="1" applyAlignment="1">
      <alignment vertical="center" wrapText="1"/>
    </xf>
    <xf numFmtId="0" fontId="29" fillId="3" borderId="75" xfId="0" applyFont="1" applyFill="1" applyBorder="1" applyAlignment="1">
      <alignment vertical="center"/>
    </xf>
    <xf numFmtId="0" fontId="38" fillId="5" borderId="0" xfId="0" applyFont="1" applyFill="1" applyAlignment="1">
      <alignment vertical="top"/>
    </xf>
    <xf numFmtId="0" fontId="38" fillId="0" borderId="87" xfId="0" applyFont="1" applyBorder="1" applyAlignment="1">
      <alignment horizontal="left" vertical="center" wrapText="1"/>
    </xf>
    <xf numFmtId="0" fontId="38" fillId="12" borderId="87" xfId="0" applyFont="1" applyFill="1" applyBorder="1" applyAlignment="1">
      <alignment wrapText="1"/>
    </xf>
    <xf numFmtId="0" fontId="38" fillId="5" borderId="185" xfId="0" applyFont="1" applyFill="1" applyBorder="1" applyAlignment="1"/>
    <xf numFmtId="0" fontId="7" fillId="0" borderId="10" xfId="0" applyFont="1" applyBorder="1" applyAlignment="1" applyProtection="1">
      <alignment horizontal="center" vertical="center"/>
      <protection locked="0"/>
    </xf>
    <xf numFmtId="0" fontId="11" fillId="4" borderId="48" xfId="0" applyFont="1" applyFill="1" applyBorder="1" applyAlignment="1" applyProtection="1">
      <alignment horizontal="center" vertical="center"/>
    </xf>
    <xf numFmtId="0" fontId="8" fillId="2" borderId="259" xfId="0" applyFont="1" applyFill="1" applyBorder="1" applyAlignment="1">
      <alignment vertical="top"/>
    </xf>
    <xf numFmtId="0" fontId="7" fillId="2" borderId="259" xfId="0" applyFont="1" applyFill="1" applyBorder="1" applyAlignment="1">
      <alignment horizontal="left" vertical="top"/>
    </xf>
    <xf numFmtId="0" fontId="8" fillId="2" borderId="59" xfId="0" applyFont="1" applyFill="1" applyBorder="1" applyAlignment="1">
      <alignment horizontal="center" vertical="center" wrapText="1"/>
    </xf>
    <xf numFmtId="0" fontId="8" fillId="2" borderId="49" xfId="0" applyFont="1" applyFill="1" applyBorder="1" applyAlignment="1">
      <alignment horizontal="center" vertical="center" wrapText="1"/>
    </xf>
    <xf numFmtId="0" fontId="8" fillId="2" borderId="60" xfId="0" applyFont="1" applyFill="1" applyBorder="1" applyAlignment="1">
      <alignment horizontal="center" vertical="center" wrapText="1"/>
    </xf>
    <xf numFmtId="0" fontId="8" fillId="8" borderId="48" xfId="0" applyFont="1" applyFill="1" applyBorder="1" applyAlignment="1">
      <alignment horizontal="center" vertical="center" wrapText="1"/>
    </xf>
    <xf numFmtId="0" fontId="7" fillId="2" borderId="22" xfId="0" applyFont="1" applyFill="1" applyBorder="1" applyAlignment="1">
      <alignment horizontal="left" vertical="top"/>
    </xf>
    <xf numFmtId="0" fontId="18" fillId="4" borderId="41" xfId="0" applyFont="1" applyFill="1" applyBorder="1" applyAlignment="1">
      <alignment vertical="center"/>
    </xf>
    <xf numFmtId="0" fontId="7" fillId="0" borderId="9" xfId="0" applyFont="1" applyBorder="1" applyAlignment="1" applyProtection="1">
      <alignment horizontal="center" vertical="center" wrapText="1"/>
      <protection locked="0"/>
    </xf>
    <xf numFmtId="0" fontId="7" fillId="0" borderId="20" xfId="0" applyFont="1" applyBorder="1" applyAlignment="1" applyProtection="1">
      <alignment horizontal="center" vertical="center" wrapText="1"/>
      <protection locked="0"/>
    </xf>
    <xf numFmtId="0" fontId="7" fillId="0" borderId="61" xfId="0" applyFont="1" applyBorder="1" applyAlignment="1">
      <alignment horizontal="left" vertical="center" wrapText="1"/>
    </xf>
    <xf numFmtId="0" fontId="8" fillId="6" borderId="221" xfId="0" applyFont="1" applyFill="1" applyBorder="1" applyAlignment="1">
      <alignment horizontal="left" vertical="center" wrapText="1"/>
    </xf>
    <xf numFmtId="0" fontId="8" fillId="6" borderId="224" xfId="0" applyFont="1" applyFill="1" applyBorder="1" applyAlignment="1">
      <alignment horizontal="left" vertical="center" wrapText="1"/>
    </xf>
    <xf numFmtId="0" fontId="7" fillId="0" borderId="212" xfId="0" applyFont="1" applyBorder="1" applyAlignment="1">
      <alignment horizontal="left" vertical="center" wrapText="1"/>
    </xf>
    <xf numFmtId="0" fontId="7" fillId="4" borderId="222" xfId="0" applyFont="1" applyFill="1" applyBorder="1" applyAlignment="1">
      <alignment vertical="center"/>
    </xf>
    <xf numFmtId="0" fontId="7" fillId="4" borderId="225" xfId="0" applyFont="1" applyFill="1" applyBorder="1" applyAlignment="1">
      <alignment vertical="center"/>
    </xf>
    <xf numFmtId="0" fontId="14" fillId="6" borderId="260" xfId="0" applyFont="1" applyFill="1" applyBorder="1" applyAlignment="1">
      <alignment horizontal="center" vertical="center"/>
    </xf>
    <xf numFmtId="0" fontId="14" fillId="6" borderId="198" xfId="0" applyFont="1" applyFill="1" applyBorder="1" applyAlignment="1">
      <alignment horizontal="center" vertical="center"/>
    </xf>
    <xf numFmtId="0" fontId="14" fillId="6" borderId="205" xfId="0" applyFont="1" applyFill="1" applyBorder="1" applyAlignment="1">
      <alignment horizontal="center" vertical="center"/>
    </xf>
    <xf numFmtId="0" fontId="14" fillId="6" borderId="240" xfId="0" applyFont="1" applyFill="1" applyBorder="1" applyAlignment="1">
      <alignment horizontal="center" vertical="center"/>
    </xf>
    <xf numFmtId="0" fontId="14" fillId="6" borderId="78" xfId="0" applyFont="1" applyFill="1" applyBorder="1" applyAlignment="1">
      <alignment horizontal="center" vertical="center"/>
    </xf>
    <xf numFmtId="0" fontId="14" fillId="6" borderId="206" xfId="0" applyFont="1" applyFill="1" applyBorder="1" applyAlignment="1">
      <alignment horizontal="center" vertical="center"/>
    </xf>
    <xf numFmtId="0" fontId="38" fillId="5" borderId="0" xfId="0" applyFont="1" applyFill="1" applyBorder="1" applyAlignment="1"/>
    <xf numFmtId="0" fontId="38" fillId="5" borderId="262" xfId="0" applyFont="1" applyFill="1" applyBorder="1" applyAlignment="1"/>
    <xf numFmtId="0" fontId="7" fillId="0" borderId="75" xfId="0" applyFont="1" applyBorder="1" applyAlignment="1">
      <alignment horizontal="left" vertical="center" wrapText="1"/>
    </xf>
    <xf numFmtId="0" fontId="29" fillId="5" borderId="3" xfId="0" applyFont="1" applyFill="1" applyBorder="1" applyAlignment="1"/>
    <xf numFmtId="0" fontId="29" fillId="5" borderId="2" xfId="0" applyFont="1" applyFill="1" applyBorder="1" applyAlignment="1">
      <alignment horizontal="left" vertical="center"/>
    </xf>
    <xf numFmtId="0" fontId="29" fillId="5" borderId="5" xfId="0" applyFont="1" applyFill="1" applyBorder="1" applyAlignment="1">
      <alignment horizontal="left" vertical="center"/>
    </xf>
    <xf numFmtId="0" fontId="38" fillId="5" borderId="0" xfId="0" applyFont="1" applyFill="1" applyBorder="1" applyAlignment="1">
      <alignment horizontal="left"/>
    </xf>
    <xf numFmtId="0" fontId="38" fillId="0" borderId="0" xfId="0" applyFont="1" applyBorder="1"/>
    <xf numFmtId="0" fontId="38" fillId="5" borderId="0" xfId="0" applyFont="1" applyFill="1" applyBorder="1" applyAlignment="1">
      <alignment vertical="center"/>
    </xf>
    <xf numFmtId="0" fontId="38" fillId="0" borderId="0" xfId="0" applyFont="1" applyFill="1" applyBorder="1" applyAlignment="1"/>
    <xf numFmtId="0" fontId="9" fillId="0" borderId="0" xfId="0" applyFont="1" applyFill="1" applyBorder="1" applyAlignment="1">
      <alignment vertical="center"/>
    </xf>
    <xf numFmtId="0" fontId="7" fillId="0" borderId="0" xfId="0" applyFont="1" applyBorder="1" applyAlignment="1">
      <alignment horizontal="left"/>
    </xf>
    <xf numFmtId="0" fontId="5" fillId="0" borderId="0" xfId="0" applyFont="1" applyBorder="1"/>
    <xf numFmtId="0" fontId="29" fillId="5" borderId="0" xfId="0" applyFont="1" applyFill="1" applyBorder="1" applyAlignment="1"/>
    <xf numFmtId="0" fontId="38" fillId="0" borderId="0" xfId="0" applyFont="1" applyBorder="1" applyAlignment="1"/>
    <xf numFmtId="0" fontId="38" fillId="5" borderId="263" xfId="0" applyFont="1" applyFill="1" applyBorder="1" applyAlignment="1"/>
    <xf numFmtId="0" fontId="38" fillId="5" borderId="264" xfId="0" applyFont="1" applyFill="1" applyBorder="1" applyAlignment="1"/>
    <xf numFmtId="0" fontId="38" fillId="5" borderId="265" xfId="0" applyFont="1" applyFill="1" applyBorder="1" applyAlignment="1"/>
    <xf numFmtId="0" fontId="38" fillId="0" borderId="266" xfId="0" applyFont="1" applyBorder="1" applyAlignment="1" applyProtection="1">
      <alignment horizontal="left" vertical="center"/>
      <protection locked="0"/>
    </xf>
    <xf numFmtId="0" fontId="38" fillId="0" borderId="264" xfId="0" applyFont="1" applyBorder="1" applyAlignment="1" applyProtection="1">
      <alignment horizontal="left" vertical="center"/>
      <protection locked="0"/>
    </xf>
    <xf numFmtId="0" fontId="38" fillId="0" borderId="265" xfId="0" applyFont="1" applyBorder="1" applyAlignment="1" applyProtection="1">
      <alignment horizontal="left" vertical="center"/>
      <protection locked="0"/>
    </xf>
    <xf numFmtId="0" fontId="38" fillId="12" borderId="270" xfId="0" applyFont="1" applyFill="1" applyBorder="1" applyAlignment="1"/>
    <xf numFmtId="0" fontId="38" fillId="12" borderId="264" xfId="0" applyFont="1" applyFill="1" applyBorder="1" applyAlignment="1"/>
    <xf numFmtId="0" fontId="38" fillId="12" borderId="271" xfId="0" applyFont="1" applyFill="1" applyBorder="1" applyAlignment="1"/>
    <xf numFmtId="0" fontId="38" fillId="12" borderId="265" xfId="0" applyFont="1" applyFill="1" applyBorder="1" applyAlignment="1"/>
    <xf numFmtId="0" fontId="38" fillId="12" borderId="266" xfId="0" applyFont="1" applyFill="1" applyBorder="1" applyAlignment="1"/>
    <xf numFmtId="0" fontId="38" fillId="12" borderId="265" xfId="0" applyFont="1" applyFill="1" applyBorder="1" applyAlignment="1">
      <alignment vertical="center"/>
    </xf>
    <xf numFmtId="0" fontId="38" fillId="5" borderId="271" xfId="0" applyFont="1" applyFill="1" applyBorder="1" applyAlignment="1"/>
    <xf numFmtId="0" fontId="41" fillId="0" borderId="264" xfId="0" applyFont="1" applyFill="1" applyBorder="1" applyAlignment="1">
      <alignment horizontal="left" vertical="center"/>
    </xf>
    <xf numFmtId="0" fontId="38" fillId="12" borderId="263" xfId="0" applyFont="1" applyFill="1" applyBorder="1" applyAlignment="1"/>
    <xf numFmtId="0" fontId="38" fillId="12" borderId="264" xfId="0" applyFont="1" applyFill="1" applyBorder="1" applyAlignment="1">
      <alignment wrapText="1"/>
    </xf>
    <xf numFmtId="49" fontId="29" fillId="6" borderId="264" xfId="0" applyNumberFormat="1" applyFont="1" applyFill="1" applyBorder="1" applyAlignment="1">
      <alignment horizontal="center" vertical="center"/>
    </xf>
    <xf numFmtId="0" fontId="38" fillId="12" borderId="264" xfId="0" applyFont="1" applyFill="1" applyBorder="1"/>
    <xf numFmtId="0" fontId="29" fillId="12" borderId="264" xfId="0" applyFont="1" applyFill="1" applyBorder="1" applyAlignment="1"/>
    <xf numFmtId="0" fontId="38" fillId="13" borderId="264" xfId="0" applyFont="1" applyFill="1" applyBorder="1" applyAlignment="1"/>
    <xf numFmtId="0" fontId="38" fillId="5" borderId="264" xfId="0" applyFont="1" applyFill="1" applyBorder="1" applyAlignment="1">
      <alignment horizontal="left" vertical="center"/>
    </xf>
    <xf numFmtId="0" fontId="38" fillId="0" borderId="264" xfId="0" applyFont="1" applyBorder="1" applyAlignment="1" applyProtection="1">
      <alignment horizontal="center" vertical="center"/>
    </xf>
    <xf numFmtId="0" fontId="41" fillId="3" borderId="281" xfId="0" applyFont="1" applyFill="1" applyBorder="1" applyAlignment="1">
      <alignment vertical="center"/>
    </xf>
    <xf numFmtId="0" fontId="41" fillId="3" borderId="74" xfId="0" applyFont="1" applyFill="1" applyBorder="1" applyAlignment="1">
      <alignment vertical="center"/>
    </xf>
    <xf numFmtId="0" fontId="41" fillId="5" borderId="27" xfId="0" applyFont="1" applyFill="1" applyBorder="1" applyAlignment="1">
      <alignment vertical="center" wrapText="1"/>
    </xf>
    <xf numFmtId="0" fontId="38" fillId="5" borderId="273" xfId="0" applyFont="1" applyFill="1" applyBorder="1" applyAlignment="1">
      <alignment horizontal="left" vertical="center"/>
    </xf>
    <xf numFmtId="0" fontId="38" fillId="5" borderId="282" xfId="0" applyFont="1" applyFill="1" applyBorder="1" applyAlignment="1">
      <alignment horizontal="left" vertical="center"/>
    </xf>
    <xf numFmtId="0" fontId="7" fillId="4" borderId="41" xfId="0" applyFont="1" applyFill="1" applyBorder="1" applyAlignment="1">
      <alignment vertical="center"/>
    </xf>
    <xf numFmtId="0" fontId="7" fillId="2" borderId="22" xfId="0" applyFont="1" applyFill="1" applyBorder="1" applyAlignment="1">
      <alignment horizontal="left" vertical="top"/>
    </xf>
    <xf numFmtId="0" fontId="7" fillId="4" borderId="23" xfId="0" applyFont="1" applyFill="1" applyBorder="1" applyAlignment="1">
      <alignment vertical="center"/>
    </xf>
    <xf numFmtId="0" fontId="7" fillId="4" borderId="25" xfId="0" applyFont="1" applyFill="1" applyBorder="1" applyAlignment="1">
      <alignment vertical="center"/>
    </xf>
    <xf numFmtId="0" fontId="7" fillId="4" borderId="41" xfId="0" applyFont="1" applyFill="1" applyBorder="1" applyAlignment="1">
      <alignment vertical="center"/>
    </xf>
    <xf numFmtId="0" fontId="7" fillId="4" borderId="40" xfId="0" applyFont="1" applyFill="1" applyBorder="1" applyAlignment="1">
      <alignment vertical="center"/>
    </xf>
    <xf numFmtId="0" fontId="7" fillId="2" borderId="22" xfId="0" applyFont="1" applyFill="1" applyBorder="1" applyAlignment="1">
      <alignment horizontal="left" vertical="top"/>
    </xf>
    <xf numFmtId="0" fontId="7" fillId="4" borderId="207" xfId="0" applyFont="1" applyFill="1" applyBorder="1" applyAlignment="1" applyProtection="1">
      <alignment horizontal="center" vertical="center"/>
    </xf>
    <xf numFmtId="0" fontId="7" fillId="4" borderId="168" xfId="0" applyFont="1" applyFill="1" applyBorder="1" applyAlignment="1" applyProtection="1">
      <alignment horizontal="center" vertical="center"/>
    </xf>
    <xf numFmtId="0" fontId="7" fillId="0" borderId="168" xfId="0" applyFont="1" applyBorder="1" applyAlignment="1" applyProtection="1">
      <alignment horizontal="center" vertical="center"/>
      <protection locked="0"/>
    </xf>
    <xf numFmtId="0" fontId="7" fillId="0" borderId="255" xfId="0" applyFont="1" applyBorder="1" applyAlignment="1" applyProtection="1">
      <alignment horizontal="center" vertical="center"/>
      <protection locked="0"/>
    </xf>
    <xf numFmtId="0" fontId="7" fillId="4" borderId="209" xfId="0" applyFont="1" applyFill="1" applyBorder="1" applyAlignment="1" applyProtection="1">
      <alignment horizontal="center" vertical="center"/>
    </xf>
    <xf numFmtId="0" fontId="7" fillId="4" borderId="169" xfId="0" applyFont="1" applyFill="1" applyBorder="1" applyAlignment="1" applyProtection="1">
      <alignment horizontal="center" vertical="center"/>
    </xf>
    <xf numFmtId="0" fontId="7" fillId="0" borderId="169" xfId="0" applyFont="1" applyBorder="1" applyAlignment="1" applyProtection="1">
      <alignment horizontal="center" vertical="center"/>
      <protection locked="0"/>
    </xf>
    <xf numFmtId="0" fontId="7" fillId="0" borderId="257" xfId="0" applyFont="1" applyBorder="1" applyAlignment="1" applyProtection="1">
      <alignment horizontal="center" vertical="center"/>
      <protection locked="0"/>
    </xf>
    <xf numFmtId="0" fontId="7" fillId="4" borderId="283" xfId="0" applyFont="1" applyFill="1" applyBorder="1" applyAlignment="1" applyProtection="1">
      <alignment horizontal="center" vertical="center"/>
    </xf>
    <xf numFmtId="0" fontId="7" fillId="4" borderId="194" xfId="0" applyFont="1" applyFill="1" applyBorder="1" applyAlignment="1" applyProtection="1">
      <alignment horizontal="center" vertical="center"/>
    </xf>
    <xf numFmtId="0" fontId="7" fillId="2" borderId="22" xfId="0" applyFont="1" applyFill="1" applyBorder="1" applyAlignment="1">
      <alignment horizontal="left" vertical="top"/>
    </xf>
    <xf numFmtId="0" fontId="7" fillId="0" borderId="43" xfId="0" applyFont="1" applyBorder="1" applyAlignment="1">
      <alignment horizontal="left" wrapText="1"/>
    </xf>
    <xf numFmtId="0" fontId="7" fillId="4" borderId="40" xfId="0" applyFont="1" applyFill="1" applyBorder="1" applyAlignment="1"/>
    <xf numFmtId="0" fontId="7" fillId="0" borderId="9" xfId="0" applyFont="1" applyBorder="1" applyAlignment="1" applyProtection="1">
      <alignment horizontal="center"/>
      <protection locked="0"/>
    </xf>
    <xf numFmtId="0" fontId="8" fillId="6" borderId="167" xfId="0" applyFont="1" applyFill="1" applyBorder="1" applyAlignment="1">
      <alignment horizontal="center"/>
    </xf>
    <xf numFmtId="0" fontId="8" fillId="6" borderId="77" xfId="0" applyFont="1" applyFill="1" applyBorder="1" applyAlignment="1">
      <alignment horizontal="center"/>
    </xf>
    <xf numFmtId="0" fontId="8" fillId="2" borderId="43" xfId="0" applyFont="1" applyFill="1" applyBorder="1" applyAlignment="1"/>
    <xf numFmtId="0" fontId="7" fillId="10" borderId="43" xfId="0" applyFont="1" applyFill="1" applyBorder="1" applyAlignment="1">
      <alignment horizontal="left" wrapText="1"/>
    </xf>
    <xf numFmtId="0" fontId="7" fillId="5" borderId="22" xfId="0" applyFont="1" applyFill="1" applyBorder="1" applyAlignment="1">
      <alignment horizontal="left" wrapText="1"/>
    </xf>
    <xf numFmtId="0" fontId="7" fillId="4" borderId="24" xfId="0" applyFont="1" applyFill="1" applyBorder="1" applyAlignment="1"/>
    <xf numFmtId="0" fontId="7" fillId="0" borderId="6" xfId="0" applyFont="1" applyBorder="1" applyAlignment="1" applyProtection="1">
      <alignment horizontal="center" wrapText="1"/>
      <protection locked="0"/>
    </xf>
    <xf numFmtId="0" fontId="8" fillId="6" borderId="65" xfId="0" applyFont="1" applyFill="1" applyBorder="1" applyAlignment="1">
      <alignment horizontal="center"/>
    </xf>
    <xf numFmtId="0" fontId="7" fillId="2" borderId="22" xfId="0" applyFont="1" applyFill="1" applyBorder="1" applyAlignment="1"/>
    <xf numFmtId="0" fontId="7" fillId="10" borderId="22" xfId="0" applyFont="1" applyFill="1" applyBorder="1" applyAlignment="1">
      <alignment horizontal="left" wrapText="1"/>
    </xf>
    <xf numFmtId="49" fontId="8" fillId="6" borderId="22" xfId="0" applyNumberFormat="1" applyFont="1" applyFill="1" applyBorder="1" applyAlignment="1">
      <alignment horizontal="left" wrapText="1"/>
    </xf>
    <xf numFmtId="49" fontId="14" fillId="4" borderId="7" xfId="1" applyNumberFormat="1" applyFont="1" applyFill="1" applyBorder="1" applyAlignment="1">
      <alignment horizontal="center"/>
    </xf>
    <xf numFmtId="49" fontId="14" fillId="4" borderId="6" xfId="1" applyNumberFormat="1" applyFont="1" applyFill="1" applyBorder="1" applyAlignment="1">
      <alignment horizontal="center"/>
    </xf>
    <xf numFmtId="0" fontId="7" fillId="3" borderId="6" xfId="0" applyFont="1" applyFill="1" applyBorder="1" applyAlignment="1" applyProtection="1">
      <alignment horizontal="center"/>
    </xf>
    <xf numFmtId="0" fontId="7" fillId="5" borderId="6" xfId="0" applyFont="1" applyFill="1" applyBorder="1" applyAlignment="1" applyProtection="1">
      <alignment horizontal="center"/>
      <protection locked="0"/>
    </xf>
    <xf numFmtId="0" fontId="8" fillId="2" borderId="22" xfId="0" applyFont="1" applyFill="1" applyBorder="1" applyAlignment="1"/>
    <xf numFmtId="0" fontId="7" fillId="10" borderId="22" xfId="0" applyFont="1" applyFill="1" applyBorder="1" applyAlignment="1">
      <alignment horizontal="left"/>
    </xf>
    <xf numFmtId="0" fontId="7" fillId="0" borderId="6" xfId="0" applyFont="1" applyBorder="1" applyAlignment="1" applyProtection="1">
      <alignment horizontal="center"/>
      <protection locked="0"/>
    </xf>
    <xf numFmtId="49" fontId="8" fillId="6" borderId="42" xfId="0" applyNumberFormat="1" applyFont="1" applyFill="1" applyBorder="1" applyAlignment="1">
      <alignment horizontal="left" wrapText="1"/>
    </xf>
    <xf numFmtId="0" fontId="7" fillId="4" borderId="41" xfId="0" applyFont="1" applyFill="1" applyBorder="1" applyAlignment="1"/>
    <xf numFmtId="0" fontId="7" fillId="3" borderId="8" xfId="0" applyFont="1" applyFill="1" applyBorder="1" applyAlignment="1" applyProtection="1">
      <alignment horizontal="center"/>
    </xf>
    <xf numFmtId="0" fontId="8" fillId="6" borderId="165" xfId="0" applyFont="1" applyFill="1" applyBorder="1" applyAlignment="1">
      <alignment horizontal="center"/>
    </xf>
    <xf numFmtId="0" fontId="7" fillId="2" borderId="22" xfId="0" applyFont="1" applyFill="1" applyBorder="1" applyAlignment="1">
      <alignment horizontal="left"/>
    </xf>
    <xf numFmtId="0" fontId="7" fillId="5" borderId="27" xfId="0" applyFont="1" applyFill="1" applyBorder="1" applyAlignment="1">
      <alignment horizontal="left" wrapText="1"/>
    </xf>
    <xf numFmtId="0" fontId="7" fillId="4" borderId="23" xfId="0" applyFont="1" applyFill="1" applyBorder="1" applyAlignment="1"/>
    <xf numFmtId="0" fontId="7" fillId="0" borderId="11" xfId="0" applyFont="1" applyBorder="1" applyAlignment="1" applyProtection="1">
      <alignment horizontal="center"/>
      <protection locked="0"/>
    </xf>
    <xf numFmtId="0" fontId="8" fillId="6" borderId="64" xfId="0" applyFont="1" applyFill="1" applyBorder="1" applyAlignment="1">
      <alignment horizontal="center"/>
    </xf>
    <xf numFmtId="0" fontId="7" fillId="5" borderId="28" xfId="0" applyFont="1" applyFill="1" applyBorder="1" applyAlignment="1">
      <alignment horizontal="left" wrapText="1"/>
    </xf>
    <xf numFmtId="49" fontId="8" fillId="6" borderId="29" xfId="0" applyNumberFormat="1" applyFont="1" applyFill="1" applyBorder="1" applyAlignment="1">
      <alignment horizontal="left" wrapText="1"/>
    </xf>
    <xf numFmtId="0" fontId="7" fillId="4" borderId="25" xfId="0" applyFont="1" applyFill="1" applyBorder="1" applyAlignment="1"/>
    <xf numFmtId="0" fontId="7" fillId="3" borderId="14" xfId="0" applyFont="1" applyFill="1" applyBorder="1" applyAlignment="1" applyProtection="1">
      <alignment horizontal="center"/>
    </xf>
    <xf numFmtId="0" fontId="8" fillId="6" borderId="61" xfId="0" applyFont="1" applyFill="1" applyBorder="1" applyAlignment="1">
      <alignment horizontal="center"/>
    </xf>
    <xf numFmtId="0" fontId="7" fillId="0" borderId="284" xfId="0" applyFont="1" applyBorder="1" applyAlignment="1" applyProtection="1">
      <alignment horizontal="center" vertical="center"/>
      <protection locked="0"/>
    </xf>
    <xf numFmtId="0" fontId="7" fillId="0" borderId="195" xfId="0" applyFont="1" applyBorder="1" applyAlignment="1" applyProtection="1">
      <alignment horizontal="center" vertical="center"/>
      <protection locked="0"/>
    </xf>
    <xf numFmtId="0" fontId="8" fillId="6" borderId="10" xfId="0" applyFont="1" applyFill="1" applyBorder="1" applyAlignment="1">
      <alignment horizontal="left" vertical="center" wrapText="1"/>
    </xf>
    <xf numFmtId="0" fontId="7" fillId="12" borderId="49" xfId="0" applyFont="1" applyFill="1" applyBorder="1" applyAlignment="1">
      <alignment horizontal="left" vertical="top" wrapText="1"/>
    </xf>
    <xf numFmtId="0" fontId="7" fillId="6" borderId="54" xfId="0" applyFont="1" applyFill="1" applyBorder="1" applyAlignment="1">
      <alignment horizontal="left" vertical="top" wrapText="1"/>
    </xf>
    <xf numFmtId="0" fontId="7" fillId="5" borderId="59" xfId="0" applyFont="1" applyFill="1" applyBorder="1" applyAlignment="1">
      <alignment horizontal="left" vertical="top" wrapText="1"/>
    </xf>
    <xf numFmtId="0" fontId="7" fillId="5" borderId="60" xfId="0" applyFont="1" applyFill="1" applyBorder="1" applyAlignment="1">
      <alignment horizontal="left" vertical="top" wrapText="1"/>
    </xf>
    <xf numFmtId="0" fontId="7" fillId="5" borderId="10" xfId="0" applyFont="1" applyFill="1" applyBorder="1" applyAlignment="1">
      <alignment horizontal="left" vertical="top" wrapText="1"/>
    </xf>
    <xf numFmtId="0" fontId="8" fillId="0" borderId="38" xfId="0" applyFont="1" applyBorder="1" applyAlignment="1">
      <alignment horizontal="left" vertical="top"/>
    </xf>
    <xf numFmtId="0" fontId="7" fillId="0" borderId="10" xfId="0" applyFont="1" applyBorder="1" applyAlignment="1">
      <alignment horizontal="left" vertical="top" wrapText="1"/>
    </xf>
    <xf numFmtId="0" fontId="9" fillId="0" borderId="0" xfId="0" applyFont="1" applyAlignment="1">
      <alignment horizontal="left" vertical="top" wrapText="1"/>
    </xf>
    <xf numFmtId="0" fontId="29" fillId="0" borderId="0" xfId="0" applyFont="1" applyAlignment="1">
      <alignment horizontal="left" vertical="top" wrapText="1"/>
    </xf>
    <xf numFmtId="0" fontId="38" fillId="0" borderId="0" xfId="0" applyFont="1" applyAlignment="1">
      <alignment horizontal="left" vertical="top" wrapText="1"/>
    </xf>
    <xf numFmtId="0" fontId="48" fillId="0" borderId="53" xfId="0" applyFont="1" applyBorder="1" applyAlignment="1">
      <alignment horizontal="left" vertical="center" wrapText="1"/>
    </xf>
    <xf numFmtId="0" fontId="45" fillId="0" borderId="52" xfId="0" applyFont="1" applyBorder="1" applyAlignment="1">
      <alignment horizontal="left" vertical="center" wrapText="1"/>
    </xf>
    <xf numFmtId="0" fontId="29" fillId="4" borderId="0" xfId="0" applyFont="1" applyFill="1" applyBorder="1" applyAlignment="1">
      <alignment vertical="center" wrapText="1"/>
    </xf>
    <xf numFmtId="0" fontId="7" fillId="0" borderId="54" xfId="0" applyFont="1" applyBorder="1" applyAlignment="1">
      <alignment horizontal="left" vertical="center" wrapText="1"/>
    </xf>
    <xf numFmtId="0" fontId="7" fillId="4" borderId="203" xfId="0" applyFont="1" applyFill="1" applyBorder="1" applyAlignment="1">
      <alignment vertical="center"/>
    </xf>
    <xf numFmtId="0" fontId="7" fillId="0" borderId="48" xfId="0" applyFont="1" applyBorder="1" applyAlignment="1">
      <alignment horizontal="left" vertical="center" wrapText="1"/>
    </xf>
    <xf numFmtId="0" fontId="7" fillId="4" borderId="61" xfId="0" applyFont="1" applyFill="1" applyBorder="1" applyAlignment="1">
      <alignment vertical="center"/>
    </xf>
    <xf numFmtId="0" fontId="7" fillId="4" borderId="213" xfId="0" applyFont="1" applyFill="1" applyBorder="1" applyAlignment="1">
      <alignment vertical="center"/>
    </xf>
    <xf numFmtId="0" fontId="7" fillId="4" borderId="216" xfId="0" applyFont="1" applyFill="1" applyBorder="1" applyAlignment="1">
      <alignment vertical="center"/>
    </xf>
    <xf numFmtId="0" fontId="8" fillId="6" borderId="40" xfId="0" applyFont="1" applyFill="1" applyBorder="1" applyAlignment="1">
      <alignment horizontal="center" vertical="center"/>
    </xf>
    <xf numFmtId="0" fontId="38" fillId="12" borderId="75" xfId="0" applyFont="1" applyFill="1" applyBorder="1" applyAlignment="1"/>
    <xf numFmtId="0" fontId="38" fillId="5" borderId="75" xfId="0" applyFont="1" applyFill="1" applyBorder="1" applyAlignment="1"/>
    <xf numFmtId="0" fontId="38" fillId="12" borderId="96" xfId="0" applyFont="1" applyFill="1" applyBorder="1" applyAlignment="1"/>
    <xf numFmtId="0" fontId="38" fillId="12" borderId="166" xfId="0" applyFont="1" applyFill="1" applyBorder="1" applyAlignment="1"/>
    <xf numFmtId="0" fontId="15" fillId="2" borderId="59" xfId="0" applyFont="1" applyFill="1" applyBorder="1" applyAlignment="1">
      <alignment horizontal="left" vertical="top" wrapText="1"/>
    </xf>
    <xf numFmtId="0" fontId="15" fillId="2" borderId="49" xfId="0" applyFont="1" applyFill="1" applyBorder="1" applyAlignment="1">
      <alignment horizontal="left" vertical="top" wrapText="1"/>
    </xf>
    <xf numFmtId="0" fontId="15" fillId="2" borderId="60" xfId="0" applyFont="1" applyFill="1" applyBorder="1" applyAlignment="1">
      <alignment horizontal="left" vertical="top" wrapText="1"/>
    </xf>
    <xf numFmtId="0" fontId="8" fillId="6" borderId="174" xfId="0" applyFont="1" applyFill="1" applyBorder="1" applyAlignment="1">
      <alignment horizontal="center" vertical="center"/>
    </xf>
    <xf numFmtId="0" fontId="19" fillId="0" borderId="72" xfId="0" applyFont="1" applyBorder="1" applyAlignment="1" applyProtection="1">
      <alignment horizontal="center" vertical="center"/>
      <protection locked="0"/>
    </xf>
    <xf numFmtId="0" fontId="19" fillId="0" borderId="13" xfId="0" applyFont="1" applyBorder="1" applyAlignment="1" applyProtection="1">
      <alignment horizontal="center" vertical="center"/>
      <protection locked="0"/>
    </xf>
    <xf numFmtId="0" fontId="7" fillId="0" borderId="15" xfId="0" applyFont="1" applyBorder="1" applyAlignment="1" applyProtection="1">
      <alignment horizontal="center" vertical="center"/>
      <protection locked="0"/>
    </xf>
    <xf numFmtId="0" fontId="11" fillId="0" borderId="73" xfId="0" applyFont="1" applyBorder="1" applyAlignment="1" applyProtection="1">
      <alignment horizontal="center" vertical="center"/>
      <protection locked="0"/>
    </xf>
    <xf numFmtId="0" fontId="11" fillId="0" borderId="15" xfId="0" applyFont="1" applyBorder="1" applyAlignment="1" applyProtection="1">
      <alignment horizontal="center" vertical="center"/>
      <protection locked="0"/>
    </xf>
    <xf numFmtId="0" fontId="7" fillId="0" borderId="34" xfId="0" applyFont="1" applyBorder="1" applyAlignment="1" applyProtection="1">
      <alignment horizontal="center" vertical="center"/>
      <protection locked="0"/>
    </xf>
    <xf numFmtId="0" fontId="5" fillId="0" borderId="0" xfId="0" applyFont="1" applyProtection="1">
      <protection locked="0"/>
    </xf>
    <xf numFmtId="0" fontId="7" fillId="2" borderId="22" xfId="0" applyFont="1" applyFill="1" applyBorder="1" applyAlignment="1">
      <alignment horizontal="left" vertical="center"/>
    </xf>
    <xf numFmtId="0" fontId="7" fillId="10" borderId="22" xfId="0" applyFont="1" applyFill="1" applyBorder="1" applyAlignment="1">
      <alignment horizontal="left" vertical="center" wrapText="1"/>
    </xf>
    <xf numFmtId="0" fontId="10" fillId="0" borderId="48" xfId="0" applyFont="1" applyFill="1" applyBorder="1" applyAlignment="1">
      <alignment horizontal="center" vertical="center"/>
    </xf>
    <xf numFmtId="0" fontId="7" fillId="2" borderId="22" xfId="0" applyFont="1" applyFill="1" applyBorder="1" applyAlignment="1">
      <alignment horizontal="left" vertical="top"/>
    </xf>
    <xf numFmtId="0" fontId="49" fillId="5" borderId="264" xfId="0" applyFont="1" applyFill="1" applyBorder="1" applyAlignment="1"/>
    <xf numFmtId="0" fontId="8" fillId="0" borderId="38" xfId="0" applyFont="1" applyBorder="1" applyAlignment="1">
      <alignment wrapText="1"/>
    </xf>
    <xf numFmtId="0" fontId="8" fillId="0" borderId="47" xfId="0" applyFont="1" applyBorder="1" applyAlignment="1">
      <alignment wrapText="1"/>
    </xf>
    <xf numFmtId="0" fontId="8" fillId="0" borderId="135" xfId="0" applyFont="1" applyBorder="1" applyAlignment="1">
      <alignment wrapText="1"/>
    </xf>
    <xf numFmtId="0" fontId="50" fillId="0" borderId="47" xfId="0" applyFont="1" applyBorder="1" applyAlignment="1">
      <alignment horizontal="left" vertical="center" wrapText="1"/>
    </xf>
    <xf numFmtId="0" fontId="7" fillId="0" borderId="59" xfId="0" applyFont="1" applyBorder="1" applyAlignment="1">
      <alignment vertical="top" wrapText="1"/>
    </xf>
    <xf numFmtId="0" fontId="8" fillId="8" borderId="48" xfId="0" applyFont="1" applyFill="1" applyBorder="1" applyAlignment="1">
      <alignment horizontal="center" vertical="center" wrapText="1"/>
    </xf>
    <xf numFmtId="0" fontId="7" fillId="4" borderId="23" xfId="0" applyFont="1" applyFill="1" applyBorder="1" applyAlignment="1">
      <alignment vertical="center"/>
    </xf>
    <xf numFmtId="0" fontId="7" fillId="4" borderId="41" xfId="0" applyFont="1" applyFill="1" applyBorder="1" applyAlignment="1">
      <alignment vertical="center"/>
    </xf>
    <xf numFmtId="0" fontId="7" fillId="2" borderId="22" xfId="0" applyFont="1" applyFill="1" applyBorder="1" applyAlignment="1">
      <alignment horizontal="left" vertical="top"/>
    </xf>
    <xf numFmtId="0" fontId="8" fillId="2" borderId="22" xfId="0" applyFont="1" applyFill="1" applyBorder="1" applyAlignment="1">
      <alignment horizontal="left" vertical="top"/>
    </xf>
    <xf numFmtId="0" fontId="7" fillId="0" borderId="49" xfId="0" applyFont="1" applyBorder="1" applyAlignment="1">
      <alignment horizontal="left" vertical="center" wrapText="1"/>
    </xf>
    <xf numFmtId="0" fontId="7" fillId="4" borderId="29" xfId="0" applyFont="1" applyFill="1" applyBorder="1" applyAlignment="1">
      <alignment vertical="center"/>
    </xf>
    <xf numFmtId="0" fontId="7" fillId="4" borderId="66" xfId="0" applyFont="1" applyFill="1" applyBorder="1" applyAlignment="1">
      <alignment vertical="center"/>
    </xf>
    <xf numFmtId="0" fontId="8" fillId="8" borderId="0" xfId="0" applyFont="1" applyFill="1" applyBorder="1" applyAlignment="1">
      <alignment horizontal="center" vertical="center" wrapText="1"/>
    </xf>
    <xf numFmtId="0" fontId="7" fillId="0" borderId="77" xfId="0" applyFont="1" applyBorder="1" applyAlignment="1">
      <alignment horizontal="left" vertical="center" wrapText="1"/>
    </xf>
    <xf numFmtId="0" fontId="7" fillId="10" borderId="54" xfId="0" applyFont="1" applyFill="1" applyBorder="1" applyAlignment="1">
      <alignment vertical="top" wrapText="1"/>
    </xf>
    <xf numFmtId="0" fontId="7" fillId="10" borderId="48" xfId="0" applyFont="1" applyFill="1" applyBorder="1" applyAlignment="1">
      <alignment vertical="top" wrapText="1"/>
    </xf>
    <xf numFmtId="0" fontId="8" fillId="5" borderId="167" xfId="0" applyFont="1" applyFill="1" applyBorder="1" applyAlignment="1" applyProtection="1">
      <alignment horizontal="center" vertical="center" wrapText="1"/>
      <protection locked="0"/>
    </xf>
    <xf numFmtId="0" fontId="8" fillId="5" borderId="285" xfId="0" applyFont="1" applyFill="1" applyBorder="1" applyAlignment="1" applyProtection="1">
      <alignment horizontal="center" vertical="center" wrapText="1"/>
      <protection locked="0"/>
    </xf>
    <xf numFmtId="0" fontId="8" fillId="5" borderId="286" xfId="0" applyFont="1" applyFill="1" applyBorder="1" applyAlignment="1" applyProtection="1">
      <alignment horizontal="center" vertical="center" wrapText="1"/>
      <protection locked="0"/>
    </xf>
    <xf numFmtId="0" fontId="8" fillId="5" borderId="287" xfId="0" applyFont="1" applyFill="1" applyBorder="1" applyAlignment="1" applyProtection="1">
      <alignment horizontal="center" vertical="center" wrapText="1"/>
      <protection locked="0"/>
    </xf>
    <xf numFmtId="0" fontId="8" fillId="5" borderId="288" xfId="0" applyFont="1" applyFill="1" applyBorder="1" applyAlignment="1" applyProtection="1">
      <alignment horizontal="center" vertical="center" wrapText="1"/>
      <protection locked="0"/>
    </xf>
    <xf numFmtId="0" fontId="8" fillId="5" borderId="289" xfId="0" applyFont="1" applyFill="1" applyBorder="1" applyAlignment="1" applyProtection="1">
      <alignment horizontal="center" vertical="center" wrapText="1"/>
      <protection locked="0"/>
    </xf>
    <xf numFmtId="0" fontId="8" fillId="5" borderId="0" xfId="0" applyFont="1" applyFill="1" applyBorder="1" applyAlignment="1" applyProtection="1">
      <alignment horizontal="center" vertical="center" wrapText="1"/>
      <protection locked="0"/>
    </xf>
    <xf numFmtId="0" fontId="20" fillId="4" borderId="77" xfId="0" applyFont="1" applyFill="1" applyBorder="1" applyAlignment="1">
      <alignment vertical="center"/>
    </xf>
    <xf numFmtId="0" fontId="7" fillId="5" borderId="43" xfId="0" applyFont="1" applyFill="1" applyBorder="1" applyAlignment="1">
      <alignment horizontal="left" vertical="center" wrapText="1"/>
    </xf>
    <xf numFmtId="0" fontId="8" fillId="5" borderId="60" xfId="0" applyFont="1" applyFill="1" applyBorder="1" applyAlignment="1">
      <alignment horizontal="left" vertical="center"/>
    </xf>
    <xf numFmtId="0" fontId="7" fillId="0" borderId="25" xfId="0" applyFont="1" applyBorder="1" applyAlignment="1">
      <alignment horizontal="left" vertical="center" wrapText="1"/>
    </xf>
    <xf numFmtId="0" fontId="7" fillId="5" borderId="60" xfId="0" applyFont="1" applyFill="1" applyBorder="1" applyAlignment="1">
      <alignment horizontal="left" vertical="center"/>
    </xf>
    <xf numFmtId="0" fontId="7" fillId="0" borderId="63" xfId="0" applyFont="1" applyBorder="1" applyAlignment="1" applyProtection="1">
      <alignment horizontal="center" vertical="center"/>
      <protection locked="0"/>
    </xf>
    <xf numFmtId="0" fontId="7" fillId="4" borderId="290" xfId="0" applyFont="1" applyFill="1" applyBorder="1" applyAlignment="1" applyProtection="1">
      <alignment horizontal="center" vertical="center"/>
    </xf>
    <xf numFmtId="0" fontId="10" fillId="4" borderId="281" xfId="0" applyFont="1" applyFill="1" applyBorder="1" applyAlignment="1" applyProtection="1">
      <alignment horizontal="center" vertical="center"/>
    </xf>
    <xf numFmtId="0" fontId="10" fillId="4" borderId="16" xfId="0" applyFont="1" applyFill="1" applyBorder="1" applyAlignment="1" applyProtection="1">
      <alignment horizontal="center" vertical="center"/>
    </xf>
    <xf numFmtId="0" fontId="8" fillId="4" borderId="27" xfId="0" applyFont="1" applyFill="1" applyBorder="1" applyAlignment="1">
      <alignment vertical="center"/>
    </xf>
    <xf numFmtId="0" fontId="8" fillId="4" borderId="44" xfId="0" applyFont="1" applyFill="1" applyBorder="1" applyAlignment="1">
      <alignment vertical="center"/>
    </xf>
    <xf numFmtId="0" fontId="8" fillId="4" borderId="79" xfId="0" applyFont="1" applyFill="1" applyBorder="1" applyAlignment="1">
      <alignment vertical="center"/>
    </xf>
    <xf numFmtId="0" fontId="7" fillId="0" borderId="170" xfId="0" applyFont="1" applyBorder="1" applyAlignment="1">
      <alignment horizontal="left" vertical="center" wrapText="1"/>
    </xf>
    <xf numFmtId="0" fontId="7" fillId="0" borderId="171" xfId="0" applyFont="1" applyBorder="1" applyAlignment="1">
      <alignment horizontal="left" vertical="center" wrapText="1"/>
    </xf>
    <xf numFmtId="0" fontId="7" fillId="0" borderId="172" xfId="0" applyFont="1" applyBorder="1" applyAlignment="1">
      <alignment horizontal="left" vertical="center" wrapText="1"/>
    </xf>
    <xf numFmtId="0" fontId="7" fillId="5" borderId="22" xfId="0" applyFont="1" applyFill="1" applyBorder="1" applyAlignment="1">
      <alignment horizontal="left"/>
    </xf>
    <xf numFmtId="0" fontId="7" fillId="4" borderId="41" xfId="0" applyFont="1" applyFill="1" applyBorder="1" applyAlignment="1">
      <alignment vertical="center"/>
    </xf>
    <xf numFmtId="0" fontId="8" fillId="2" borderId="22" xfId="0" applyFont="1" applyFill="1" applyBorder="1" applyAlignment="1">
      <alignment horizontal="left" vertical="top"/>
    </xf>
    <xf numFmtId="0" fontId="7" fillId="4" borderId="27" xfId="0" applyFont="1" applyFill="1" applyBorder="1" applyAlignment="1">
      <alignment vertical="center"/>
    </xf>
    <xf numFmtId="0" fontId="7" fillId="4" borderId="29" xfId="0" applyFont="1" applyFill="1" applyBorder="1" applyAlignment="1">
      <alignment vertical="center"/>
    </xf>
    <xf numFmtId="0" fontId="7" fillId="4" borderId="40" xfId="0" applyFont="1" applyFill="1" applyBorder="1" applyAlignment="1">
      <alignment vertical="center"/>
    </xf>
    <xf numFmtId="0" fontId="7" fillId="2" borderId="22" xfId="0" applyFont="1" applyFill="1" applyBorder="1" applyAlignment="1">
      <alignment horizontal="left" vertical="top"/>
    </xf>
    <xf numFmtId="0" fontId="8" fillId="2" borderId="22" xfId="0" applyFont="1" applyFill="1" applyBorder="1" applyAlignment="1">
      <alignment horizontal="left" vertical="top"/>
    </xf>
    <xf numFmtId="0" fontId="7" fillId="10" borderId="48" xfId="0" applyFont="1" applyFill="1" applyBorder="1" applyAlignment="1">
      <alignment horizontal="center" vertical="top" wrapText="1"/>
    </xf>
    <xf numFmtId="0" fontId="26" fillId="2" borderId="49" xfId="0" applyFont="1" applyFill="1" applyBorder="1" applyAlignment="1">
      <alignment horizontal="center" vertical="top" wrapText="1"/>
    </xf>
    <xf numFmtId="0" fontId="7" fillId="4" borderId="40" xfId="0" applyFont="1" applyFill="1" applyBorder="1" applyAlignment="1">
      <alignment vertical="center"/>
    </xf>
    <xf numFmtId="0" fontId="7" fillId="4" borderId="29" xfId="0" applyFont="1" applyFill="1" applyBorder="1" applyAlignment="1">
      <alignment vertical="center"/>
    </xf>
    <xf numFmtId="0" fontId="8" fillId="0" borderId="292" xfId="0" applyFont="1" applyBorder="1" applyAlignment="1">
      <alignment horizontal="left" vertical="center" wrapText="1"/>
    </xf>
    <xf numFmtId="0" fontId="7" fillId="0" borderId="293" xfId="0" applyFont="1" applyBorder="1" applyAlignment="1">
      <alignment horizontal="left" vertical="center" wrapText="1"/>
    </xf>
    <xf numFmtId="0" fontId="8" fillId="0" borderId="294" xfId="0" applyFont="1" applyBorder="1" applyAlignment="1">
      <alignment horizontal="left" vertical="center" wrapText="1"/>
    </xf>
    <xf numFmtId="0" fontId="20" fillId="4" borderId="210" xfId="0" applyFont="1" applyFill="1" applyBorder="1" applyAlignment="1">
      <alignment vertical="center"/>
    </xf>
    <xf numFmtId="0" fontId="14" fillId="6" borderId="180" xfId="0" applyFont="1" applyFill="1" applyBorder="1" applyAlignment="1">
      <alignment horizontal="center" vertical="center"/>
    </xf>
    <xf numFmtId="0" fontId="14" fillId="6" borderId="70" xfId="0" applyFont="1" applyFill="1" applyBorder="1" applyAlignment="1">
      <alignment horizontal="center" vertical="center"/>
    </xf>
    <xf numFmtId="0" fontId="7" fillId="4" borderId="75" xfId="0" applyFont="1" applyFill="1" applyBorder="1" applyAlignment="1" applyProtection="1">
      <alignment horizontal="center" vertical="center"/>
    </xf>
    <xf numFmtId="49" fontId="8" fillId="6" borderId="43" xfId="0" applyNumberFormat="1" applyFont="1" applyFill="1" applyBorder="1" applyAlignment="1">
      <alignment horizontal="left" vertical="center" wrapText="1"/>
    </xf>
    <xf numFmtId="1" fontId="8" fillId="6" borderId="9" xfId="0" applyNumberFormat="1" applyFont="1" applyFill="1" applyBorder="1" applyAlignment="1" applyProtection="1">
      <alignment horizontal="center" vertical="center"/>
    </xf>
    <xf numFmtId="1" fontId="8" fillId="6" borderId="20" xfId="0" applyNumberFormat="1" applyFont="1" applyFill="1" applyBorder="1" applyAlignment="1" applyProtection="1">
      <alignment horizontal="center" vertical="center"/>
    </xf>
    <xf numFmtId="0" fontId="16" fillId="0" borderId="38" xfId="0" applyFont="1" applyBorder="1" applyAlignment="1">
      <alignment horizontal="left" vertical="center" wrapText="1"/>
    </xf>
    <xf numFmtId="0" fontId="7" fillId="4" borderId="39" xfId="0" applyFont="1" applyFill="1" applyBorder="1" applyAlignment="1" applyProtection="1">
      <alignment horizontal="center" vertical="center"/>
    </xf>
    <xf numFmtId="0" fontId="7" fillId="0" borderId="19" xfId="0" applyFont="1" applyBorder="1" applyAlignment="1" applyProtection="1">
      <alignment horizontal="center" vertical="center"/>
      <protection locked="0"/>
    </xf>
    <xf numFmtId="0" fontId="7" fillId="4" borderId="281" xfId="0" applyFont="1" applyFill="1" applyBorder="1" applyAlignment="1" applyProtection="1">
      <alignment horizontal="center" vertical="center"/>
    </xf>
    <xf numFmtId="0" fontId="7" fillId="0" borderId="74" xfId="0" applyFont="1" applyBorder="1" applyAlignment="1" applyProtection="1">
      <alignment horizontal="center" vertical="center"/>
      <protection locked="0"/>
    </xf>
    <xf numFmtId="0" fontId="7" fillId="0" borderId="54" xfId="0" applyFont="1" applyBorder="1" applyAlignment="1">
      <alignment horizontal="left" vertical="center" wrapText="1"/>
    </xf>
    <xf numFmtId="0" fontId="8" fillId="6" borderId="135" xfId="0" applyFont="1" applyFill="1" applyBorder="1" applyAlignment="1">
      <alignment horizontal="center" vertical="center"/>
    </xf>
    <xf numFmtId="0" fontId="7" fillId="4" borderId="40" xfId="0" applyFont="1" applyFill="1" applyBorder="1" applyAlignment="1">
      <alignment vertical="center"/>
    </xf>
    <xf numFmtId="0" fontId="22" fillId="2" borderId="49" xfId="0" applyFont="1" applyFill="1" applyBorder="1" applyAlignment="1">
      <alignment vertical="top" wrapText="1"/>
    </xf>
    <xf numFmtId="0" fontId="8" fillId="0" borderId="291" xfId="0" applyFont="1" applyBorder="1" applyAlignment="1" applyProtection="1">
      <alignment horizontal="center" vertical="center"/>
      <protection locked="0"/>
    </xf>
    <xf numFmtId="0" fontId="7" fillId="10" borderId="0" xfId="0" applyFont="1" applyFill="1" applyBorder="1" applyAlignment="1">
      <alignment horizontal="left" vertical="top"/>
    </xf>
    <xf numFmtId="0" fontId="7" fillId="4" borderId="159" xfId="0" applyFont="1" applyFill="1" applyBorder="1" applyAlignment="1">
      <alignment vertical="center"/>
    </xf>
    <xf numFmtId="0" fontId="7" fillId="4" borderId="77" xfId="0" applyFont="1" applyFill="1" applyBorder="1" applyAlignment="1">
      <alignment vertical="center"/>
    </xf>
    <xf numFmtId="0" fontId="7" fillId="2" borderId="22" xfId="0" applyFont="1" applyFill="1" applyBorder="1" applyAlignment="1">
      <alignment horizontal="left" vertical="top"/>
    </xf>
    <xf numFmtId="0" fontId="7" fillId="0" borderId="55" xfId="0" applyFont="1" applyBorder="1" applyAlignment="1" applyProtection="1">
      <alignment horizontal="center" vertical="center"/>
      <protection locked="0"/>
    </xf>
    <xf numFmtId="0" fontId="7" fillId="0" borderId="44" xfId="0" applyFont="1" applyBorder="1" applyAlignment="1">
      <alignment horizontal="left" vertical="center"/>
    </xf>
    <xf numFmtId="0" fontId="8" fillId="6" borderId="207" xfId="0" applyFont="1" applyFill="1" applyBorder="1" applyAlignment="1">
      <alignment horizontal="center" vertical="center"/>
    </xf>
    <xf numFmtId="0" fontId="8" fillId="6" borderId="255" xfId="0" applyFont="1" applyFill="1" applyBorder="1" applyAlignment="1">
      <alignment horizontal="center" vertical="center"/>
    </xf>
    <xf numFmtId="0" fontId="8" fillId="6" borderId="209" xfId="0" applyFont="1" applyFill="1" applyBorder="1" applyAlignment="1">
      <alignment horizontal="center" vertical="center"/>
    </xf>
    <xf numFmtId="0" fontId="8" fillId="6" borderId="257" xfId="0" applyFont="1" applyFill="1" applyBorder="1" applyAlignment="1">
      <alignment horizontal="center" vertical="center"/>
    </xf>
    <xf numFmtId="0" fontId="8" fillId="6" borderId="208" xfId="0" applyFont="1" applyFill="1" applyBorder="1" applyAlignment="1">
      <alignment horizontal="center" vertical="center"/>
    </xf>
    <xf numFmtId="0" fontId="8" fillId="6" borderId="256" xfId="0" applyFont="1" applyFill="1" applyBorder="1" applyAlignment="1">
      <alignment horizontal="center" vertical="center"/>
    </xf>
    <xf numFmtId="0" fontId="7" fillId="4" borderId="79" xfId="0" applyFont="1" applyFill="1" applyBorder="1" applyAlignment="1">
      <alignment vertical="center"/>
    </xf>
    <xf numFmtId="0" fontId="8" fillId="6" borderId="297" xfId="0" applyFont="1" applyFill="1" applyBorder="1" applyAlignment="1">
      <alignment horizontal="center" vertical="center"/>
    </xf>
    <xf numFmtId="0" fontId="8" fillId="6" borderId="173" xfId="0" applyFont="1" applyFill="1" applyBorder="1" applyAlignment="1">
      <alignment horizontal="center" vertical="center"/>
    </xf>
    <xf numFmtId="0" fontId="8" fillId="6" borderId="175" xfId="0" applyFont="1" applyFill="1" applyBorder="1" applyAlignment="1">
      <alignment horizontal="center" vertical="center"/>
    </xf>
    <xf numFmtId="0" fontId="8" fillId="5" borderId="59" xfId="0" applyFont="1" applyFill="1" applyBorder="1" applyAlignment="1">
      <alignment horizontal="left" vertical="center" wrapText="1"/>
    </xf>
    <xf numFmtId="0" fontId="7" fillId="0" borderId="193" xfId="0" applyFont="1" applyBorder="1" applyAlignment="1">
      <alignment horizontal="left" vertical="center" wrapText="1"/>
    </xf>
    <xf numFmtId="0" fontId="7" fillId="0" borderId="191" xfId="0" applyFont="1" applyBorder="1" applyAlignment="1">
      <alignment horizontal="left" vertical="center" wrapText="1"/>
    </xf>
    <xf numFmtId="0" fontId="7" fillId="4" borderId="53" xfId="0" applyFont="1" applyFill="1" applyBorder="1" applyAlignment="1">
      <alignment vertical="center"/>
    </xf>
    <xf numFmtId="0" fontId="7" fillId="4" borderId="65" xfId="0" applyFont="1" applyFill="1" applyBorder="1" applyAlignment="1">
      <alignment vertical="center"/>
    </xf>
    <xf numFmtId="0" fontId="8" fillId="5" borderId="233" xfId="0" applyFont="1" applyFill="1" applyBorder="1" applyAlignment="1">
      <alignment horizontal="left" vertical="center" wrapText="1"/>
    </xf>
    <xf numFmtId="0" fontId="7" fillId="5" borderId="234" xfId="0" applyFont="1" applyFill="1" applyBorder="1" applyAlignment="1">
      <alignment horizontal="left" vertical="center" wrapText="1"/>
    </xf>
    <xf numFmtId="0" fontId="7" fillId="5" borderId="235" xfId="0" applyFont="1" applyFill="1" applyBorder="1" applyAlignment="1">
      <alignment horizontal="left" vertical="center" wrapText="1"/>
    </xf>
    <xf numFmtId="0" fontId="7" fillId="5" borderId="298" xfId="0" applyFont="1" applyFill="1" applyBorder="1" applyAlignment="1">
      <alignment horizontal="left" vertical="center" wrapText="1"/>
    </xf>
    <xf numFmtId="0" fontId="7" fillId="5" borderId="299" xfId="0" applyFont="1" applyFill="1" applyBorder="1" applyAlignment="1">
      <alignment horizontal="left" vertical="center" wrapText="1"/>
    </xf>
    <xf numFmtId="0" fontId="7" fillId="5" borderId="96" xfId="0" applyFont="1" applyFill="1" applyBorder="1" applyAlignment="1">
      <alignment horizontal="left" vertical="center" wrapText="1"/>
    </xf>
    <xf numFmtId="0" fontId="52" fillId="5" borderId="299" xfId="0" applyFont="1" applyFill="1" applyBorder="1" applyAlignment="1">
      <alignment horizontal="left" vertical="center" wrapText="1"/>
    </xf>
    <xf numFmtId="0" fontId="52" fillId="4" borderId="65" xfId="0" applyFont="1" applyFill="1" applyBorder="1" applyAlignment="1">
      <alignment vertical="center"/>
    </xf>
    <xf numFmtId="0" fontId="8" fillId="6" borderId="170" xfId="0" applyFont="1" applyFill="1" applyBorder="1" applyAlignment="1">
      <alignment horizontal="center" vertical="center"/>
    </xf>
    <xf numFmtId="0" fontId="8" fillId="6" borderId="172" xfId="0" applyFont="1" applyFill="1" applyBorder="1" applyAlignment="1">
      <alignment horizontal="center" vertical="center"/>
    </xf>
    <xf numFmtId="0" fontId="7" fillId="4" borderId="29" xfId="0" applyFont="1" applyFill="1" applyBorder="1" applyAlignment="1">
      <alignment vertical="center"/>
    </xf>
    <xf numFmtId="0" fontId="7" fillId="0" borderId="22" xfId="0" applyFont="1" applyFill="1" applyBorder="1" applyAlignment="1">
      <alignment horizontal="left" vertical="center" wrapText="1"/>
    </xf>
    <xf numFmtId="0" fontId="7" fillId="0" borderId="202" xfId="0" applyFont="1" applyBorder="1" applyAlignment="1">
      <alignment horizontal="left" vertical="center" wrapText="1"/>
    </xf>
    <xf numFmtId="0" fontId="7" fillId="0" borderId="296" xfId="0" applyFont="1" applyBorder="1" applyAlignment="1">
      <alignment horizontal="left" vertical="center" wrapText="1"/>
    </xf>
    <xf numFmtId="0" fontId="38" fillId="0" borderId="186" xfId="0" applyFont="1" applyBorder="1" applyAlignment="1">
      <alignment horizontal="left" vertical="center" wrapText="1"/>
    </xf>
    <xf numFmtId="0" fontId="38" fillId="0" borderId="22" xfId="0" applyFont="1" applyBorder="1" applyAlignment="1">
      <alignment horizontal="left" vertical="center" wrapText="1"/>
    </xf>
    <xf numFmtId="0" fontId="53" fillId="4" borderId="24" xfId="0" applyFont="1" applyFill="1" applyBorder="1" applyAlignment="1">
      <alignment vertical="center"/>
    </xf>
    <xf numFmtId="0" fontId="38" fillId="0" borderId="53" xfId="0" applyFont="1" applyBorder="1" applyAlignment="1">
      <alignment horizontal="left" vertical="center" wrapText="1"/>
    </xf>
    <xf numFmtId="0" fontId="38" fillId="4" borderId="48" xfId="0" applyFont="1" applyFill="1" applyBorder="1" applyAlignment="1">
      <alignment vertical="center"/>
    </xf>
    <xf numFmtId="0" fontId="29" fillId="0" borderId="52" xfId="0" applyFont="1" applyBorder="1" applyAlignment="1">
      <alignment horizontal="left" vertical="center" wrapText="1"/>
    </xf>
    <xf numFmtId="0" fontId="29" fillId="5" borderId="229" xfId="0" applyFont="1" applyFill="1" applyBorder="1" applyAlignment="1">
      <alignment horizontal="left" vertical="center" wrapText="1"/>
    </xf>
    <xf numFmtId="0" fontId="38" fillId="4" borderId="230" xfId="0" applyFont="1" applyFill="1" applyBorder="1" applyAlignment="1">
      <alignment vertical="center"/>
    </xf>
    <xf numFmtId="0" fontId="29" fillId="5" borderId="231" xfId="0" applyFont="1" applyFill="1" applyBorder="1" applyAlignment="1">
      <alignment horizontal="left" vertical="center" wrapText="1"/>
    </xf>
    <xf numFmtId="0" fontId="38" fillId="4" borderId="232" xfId="0" applyFont="1" applyFill="1" applyBorder="1" applyAlignment="1">
      <alignment vertical="center"/>
    </xf>
    <xf numFmtId="0" fontId="48" fillId="0" borderId="43" xfId="0" applyFont="1" applyBorder="1" applyAlignment="1">
      <alignment horizontal="left" vertical="center" wrapText="1"/>
    </xf>
    <xf numFmtId="0" fontId="48" fillId="4" borderId="40" xfId="0" applyFont="1" applyFill="1" applyBorder="1" applyAlignment="1">
      <alignment vertical="center"/>
    </xf>
    <xf numFmtId="0" fontId="48" fillId="4" borderId="25" xfId="0" applyFont="1" applyFill="1" applyBorder="1" applyAlignment="1">
      <alignment vertical="center"/>
    </xf>
    <xf numFmtId="0" fontId="48" fillId="4" borderId="23" xfId="0" applyFont="1" applyFill="1" applyBorder="1" applyAlignment="1">
      <alignment vertical="center"/>
    </xf>
    <xf numFmtId="0" fontId="38" fillId="0" borderId="27" xfId="0" applyFont="1" applyBorder="1" applyAlignment="1">
      <alignment horizontal="left" vertical="center" wrapText="1"/>
    </xf>
    <xf numFmtId="0" fontId="38" fillId="4" borderId="56" xfId="0" applyFont="1" applyFill="1" applyBorder="1" applyAlignment="1">
      <alignment vertical="center"/>
    </xf>
    <xf numFmtId="0" fontId="29" fillId="0" borderId="29" xfId="0" applyFont="1" applyBorder="1" applyAlignment="1">
      <alignment horizontal="left" vertical="center" wrapText="1"/>
    </xf>
    <xf numFmtId="0" fontId="38" fillId="4" borderId="57" xfId="0" applyFont="1" applyFill="1" applyBorder="1" applyAlignment="1">
      <alignment vertical="center"/>
    </xf>
    <xf numFmtId="0" fontId="38" fillId="4" borderId="182" xfId="0" applyFont="1" applyFill="1" applyBorder="1" applyAlignment="1">
      <alignment vertical="center"/>
    </xf>
    <xf numFmtId="0" fontId="38" fillId="4" borderId="58" xfId="0" applyFont="1" applyFill="1" applyBorder="1" applyAlignment="1">
      <alignment vertical="center"/>
    </xf>
    <xf numFmtId="0" fontId="38" fillId="4" borderId="62" xfId="0" applyFont="1" applyFill="1" applyBorder="1" applyAlignment="1">
      <alignment vertical="center"/>
    </xf>
    <xf numFmtId="0" fontId="55" fillId="0" borderId="23" xfId="0" applyFont="1" applyBorder="1" applyAlignment="1">
      <alignment horizontal="left" vertical="center" wrapText="1"/>
    </xf>
    <xf numFmtId="0" fontId="55" fillId="4" borderId="23" xfId="0" applyFont="1" applyFill="1" applyBorder="1" applyAlignment="1">
      <alignment vertical="center"/>
    </xf>
    <xf numFmtId="0" fontId="55" fillId="5" borderId="60" xfId="0" applyFont="1" applyFill="1" applyBorder="1" applyAlignment="1">
      <alignment horizontal="left" vertical="center"/>
    </xf>
    <xf numFmtId="0" fontId="38" fillId="5" borderId="60" xfId="0" applyFont="1" applyFill="1" applyBorder="1" applyAlignment="1">
      <alignment vertical="top" wrapText="1"/>
    </xf>
    <xf numFmtId="0" fontId="38" fillId="0" borderId="0" xfId="0" applyFont="1" applyBorder="1" applyAlignment="1">
      <alignment horizontal="left" vertical="center" wrapText="1"/>
    </xf>
    <xf numFmtId="0" fontId="38" fillId="4" borderId="49" xfId="0" applyFont="1" applyFill="1" applyBorder="1" applyAlignment="1">
      <alignment vertical="center"/>
    </xf>
    <xf numFmtId="0" fontId="38" fillId="4" borderId="23" xfId="0" applyFont="1" applyFill="1" applyBorder="1" applyAlignment="1">
      <alignment vertical="center"/>
    </xf>
    <xf numFmtId="0" fontId="38" fillId="0" borderId="42" xfId="0" applyFont="1" applyBorder="1" applyAlignment="1">
      <alignment horizontal="left" vertical="center" wrapText="1"/>
    </xf>
    <xf numFmtId="0" fontId="38" fillId="4" borderId="41" xfId="0" applyFont="1" applyFill="1" applyBorder="1" applyAlignment="1">
      <alignment vertical="center"/>
    </xf>
    <xf numFmtId="0" fontId="38" fillId="0" borderId="166" xfId="0" applyFont="1" applyBorder="1" applyAlignment="1">
      <alignment horizontal="left" vertical="center" wrapText="1"/>
    </xf>
    <xf numFmtId="0" fontId="38" fillId="0" borderId="185" xfId="0" applyFont="1" applyBorder="1" applyAlignment="1">
      <alignment horizontal="left" vertical="center" wrapText="1"/>
    </xf>
    <xf numFmtId="0" fontId="38" fillId="4" borderId="165" xfId="0" applyFont="1" applyFill="1" applyBorder="1" applyAlignment="1">
      <alignment vertical="center"/>
    </xf>
    <xf numFmtId="0" fontId="53" fillId="4" borderId="75" xfId="0" applyFont="1" applyFill="1" applyBorder="1" applyAlignment="1">
      <alignment vertical="center" wrapText="1"/>
    </xf>
    <xf numFmtId="0" fontId="48" fillId="5" borderId="75" xfId="0" applyFont="1" applyFill="1" applyBorder="1" applyAlignment="1">
      <alignment horizontal="left" vertical="center" wrapText="1"/>
    </xf>
    <xf numFmtId="0" fontId="29" fillId="0" borderId="50" xfId="0" applyFont="1" applyBorder="1" applyAlignment="1">
      <alignment horizontal="left" vertical="center" wrapText="1"/>
    </xf>
    <xf numFmtId="0" fontId="53" fillId="0" borderId="23" xfId="0" applyFont="1" applyBorder="1" applyAlignment="1">
      <alignment horizontal="left" vertical="center" wrapText="1"/>
    </xf>
    <xf numFmtId="0" fontId="29" fillId="0" borderId="25" xfId="0" applyFont="1" applyBorder="1" applyAlignment="1">
      <alignment horizontal="left" vertical="center" wrapText="1"/>
    </xf>
    <xf numFmtId="0" fontId="38" fillId="4" borderId="25" xfId="0" applyFont="1" applyFill="1" applyBorder="1" applyAlignment="1">
      <alignment vertical="center"/>
    </xf>
    <xf numFmtId="0" fontId="38" fillId="4" borderId="27" xfId="0" applyFont="1" applyFill="1" applyBorder="1" applyAlignment="1">
      <alignment vertical="center"/>
    </xf>
    <xf numFmtId="0" fontId="43" fillId="0" borderId="0" xfId="0" applyFont="1" applyBorder="1" applyAlignment="1">
      <alignment horizontal="left" vertical="center" wrapText="1"/>
    </xf>
    <xf numFmtId="0" fontId="38" fillId="4" borderId="29" xfId="0" applyFont="1" applyFill="1" applyBorder="1" applyAlignment="1">
      <alignment vertical="center"/>
    </xf>
    <xf numFmtId="0" fontId="38" fillId="4" borderId="54" xfId="0" applyFont="1" applyFill="1" applyBorder="1" applyAlignment="1">
      <alignment vertical="center"/>
    </xf>
    <xf numFmtId="0" fontId="38" fillId="4" borderId="79" xfId="0" applyFont="1" applyFill="1" applyBorder="1" applyAlignment="1">
      <alignment vertical="center"/>
    </xf>
    <xf numFmtId="0" fontId="38" fillId="0" borderId="28" xfId="0" applyFont="1" applyBorder="1" applyAlignment="1">
      <alignment horizontal="left" vertical="center" wrapText="1"/>
    </xf>
    <xf numFmtId="0" fontId="29" fillId="2" borderId="168" xfId="0" applyFont="1" applyFill="1" applyBorder="1" applyAlignment="1">
      <alignment horizontal="left" vertical="center" wrapText="1"/>
    </xf>
    <xf numFmtId="0" fontId="38" fillId="4" borderId="173" xfId="0" applyFont="1" applyFill="1" applyBorder="1" applyAlignment="1">
      <alignment vertical="center"/>
    </xf>
    <xf numFmtId="0" fontId="38" fillId="0" borderId="167" xfId="0" applyFont="1" applyBorder="1" applyAlignment="1">
      <alignment horizontal="left" vertical="center" wrapText="1"/>
    </xf>
    <xf numFmtId="0" fontId="38" fillId="4" borderId="174" xfId="0" applyFont="1" applyFill="1" applyBorder="1" applyAlignment="1">
      <alignment vertical="center"/>
    </xf>
    <xf numFmtId="0" fontId="38" fillId="2" borderId="169" xfId="0" applyFont="1" applyFill="1" applyBorder="1" applyAlignment="1">
      <alignment horizontal="left" vertical="center" wrapText="1"/>
    </xf>
    <xf numFmtId="0" fontId="38" fillId="4" borderId="175" xfId="0" applyFont="1" applyFill="1" applyBorder="1" applyAlignment="1">
      <alignment vertical="center"/>
    </xf>
    <xf numFmtId="0" fontId="38" fillId="0" borderId="90" xfId="0" applyFont="1" applyBorder="1" applyAlignment="1">
      <alignment vertical="top" wrapText="1"/>
    </xf>
    <xf numFmtId="0" fontId="38" fillId="4" borderId="75" xfId="0" applyFont="1" applyFill="1" applyBorder="1" applyAlignment="1">
      <alignment vertical="center" wrapText="1"/>
    </xf>
    <xf numFmtId="0" fontId="38" fillId="0" borderId="23" xfId="0" applyFont="1" applyBorder="1" applyAlignment="1">
      <alignment horizontal="left" vertical="center" wrapText="1"/>
    </xf>
    <xf numFmtId="0" fontId="38" fillId="0" borderId="25" xfId="0" applyFont="1" applyBorder="1" applyAlignment="1">
      <alignment horizontal="left" vertical="center" wrapText="1"/>
    </xf>
    <xf numFmtId="0" fontId="38" fillId="4" borderId="60" xfId="0" applyFont="1" applyFill="1" applyBorder="1" applyAlignment="1">
      <alignment vertical="center"/>
    </xf>
    <xf numFmtId="0" fontId="38" fillId="5" borderId="60" xfId="0" applyFont="1" applyFill="1" applyBorder="1" applyAlignment="1">
      <alignment horizontal="left" vertical="center"/>
    </xf>
    <xf numFmtId="0" fontId="38" fillId="0" borderId="212" xfId="0" applyFont="1" applyBorder="1" applyAlignment="1">
      <alignment horizontal="left" vertical="center" wrapText="1"/>
    </xf>
    <xf numFmtId="0" fontId="38" fillId="4" borderId="213" xfId="0" applyFont="1" applyFill="1" applyBorder="1" applyAlignment="1">
      <alignment vertical="center"/>
    </xf>
    <xf numFmtId="0" fontId="38" fillId="0" borderId="162" xfId="0" applyFont="1" applyBorder="1" applyAlignment="1">
      <alignment horizontal="left" vertical="center" wrapText="1"/>
    </xf>
    <xf numFmtId="0" fontId="38" fillId="4" borderId="216" xfId="0" applyFont="1" applyFill="1" applyBorder="1" applyAlignment="1">
      <alignment vertical="center"/>
    </xf>
    <xf numFmtId="0" fontId="38" fillId="4" borderId="24" xfId="0" applyFont="1" applyFill="1" applyBorder="1" applyAlignment="1">
      <alignment vertical="center"/>
    </xf>
    <xf numFmtId="0" fontId="29" fillId="0" borderId="202" xfId="0" applyFont="1" applyBorder="1" applyAlignment="1">
      <alignment horizontal="left" vertical="center" wrapText="1"/>
    </xf>
    <xf numFmtId="0" fontId="38" fillId="4" borderId="203" xfId="0" applyFont="1" applyFill="1" applyBorder="1" applyAlignment="1">
      <alignment vertical="center"/>
    </xf>
    <xf numFmtId="0" fontId="29" fillId="5" borderId="221" xfId="0" applyFont="1" applyFill="1" applyBorder="1" applyAlignment="1">
      <alignment horizontal="left" vertical="center" wrapText="1"/>
    </xf>
    <xf numFmtId="0" fontId="38" fillId="4" borderId="222" xfId="0" applyFont="1" applyFill="1" applyBorder="1" applyAlignment="1">
      <alignment vertical="center"/>
    </xf>
    <xf numFmtId="0" fontId="29" fillId="5" borderId="41" xfId="0" applyFont="1" applyFill="1" applyBorder="1" applyAlignment="1">
      <alignment horizontal="left" vertical="center" wrapText="1"/>
    </xf>
    <xf numFmtId="0" fontId="38" fillId="4" borderId="226" xfId="0" applyFont="1" applyFill="1" applyBorder="1" applyAlignment="1">
      <alignment vertical="center"/>
    </xf>
    <xf numFmtId="0" fontId="38" fillId="5" borderId="96" xfId="0" applyFont="1" applyFill="1" applyBorder="1" applyAlignment="1">
      <alignment horizontal="left" vertical="center" wrapText="1"/>
    </xf>
    <xf numFmtId="0" fontId="38" fillId="5" borderId="299" xfId="0" applyFont="1" applyFill="1" applyBorder="1" applyAlignment="1">
      <alignment horizontal="left" vertical="center" wrapText="1"/>
    </xf>
    <xf numFmtId="0" fontId="38" fillId="0" borderId="48" xfId="0" applyFont="1" applyBorder="1" applyAlignment="1">
      <alignment horizontal="left" vertical="center" wrapText="1"/>
    </xf>
    <xf numFmtId="0" fontId="38" fillId="0" borderId="29" xfId="0" applyFont="1" applyBorder="1" applyAlignment="1">
      <alignment horizontal="left" vertical="center" wrapText="1"/>
    </xf>
    <xf numFmtId="0" fontId="38" fillId="0" borderId="202" xfId="0" applyFont="1" applyBorder="1" applyAlignment="1">
      <alignment horizontal="left" vertical="center" wrapText="1"/>
    </xf>
    <xf numFmtId="0" fontId="38" fillId="0" borderId="296" xfId="0" applyFont="1" applyBorder="1" applyAlignment="1">
      <alignment horizontal="left" vertical="center" wrapText="1"/>
    </xf>
    <xf numFmtId="0" fontId="29" fillId="0" borderId="75" xfId="0" applyFont="1" applyFill="1" applyBorder="1" applyAlignment="1">
      <alignment horizontal="left" vertical="center" wrapText="1"/>
    </xf>
    <xf numFmtId="0" fontId="29" fillId="5" borderId="22" xfId="0" applyFont="1" applyFill="1" applyBorder="1" applyAlignment="1">
      <alignment horizontal="left" wrapText="1"/>
    </xf>
    <xf numFmtId="0" fontId="51" fillId="0" borderId="47" xfId="0" applyFont="1" applyBorder="1" applyAlignment="1">
      <alignment vertical="center" wrapText="1"/>
    </xf>
    <xf numFmtId="0" fontId="26" fillId="0" borderId="38" xfId="0" applyFont="1" applyBorder="1" applyAlignment="1">
      <alignment vertical="center" wrapText="1"/>
    </xf>
    <xf numFmtId="0" fontId="38" fillId="5" borderId="90" xfId="0" applyFont="1" applyFill="1" applyBorder="1" applyAlignment="1">
      <alignment vertical="center" wrapText="1"/>
    </xf>
    <xf numFmtId="0" fontId="38" fillId="0" borderId="90" xfId="0" applyFont="1" applyBorder="1" applyAlignment="1">
      <alignment vertical="center" wrapText="1"/>
    </xf>
    <xf numFmtId="0" fontId="38" fillId="0" borderId="49" xfId="0" applyFont="1" applyBorder="1" applyAlignment="1">
      <alignment horizontal="left" vertical="center" wrapText="1"/>
    </xf>
    <xf numFmtId="0" fontId="38" fillId="0" borderId="90" xfId="0" applyFont="1" applyBorder="1" applyAlignment="1">
      <alignment horizontal="left" vertical="top" wrapText="1"/>
    </xf>
    <xf numFmtId="0" fontId="48" fillId="5" borderId="90" xfId="0" applyFont="1" applyFill="1" applyBorder="1" applyAlignment="1">
      <alignment vertical="top" wrapText="1"/>
    </xf>
    <xf numFmtId="0" fontId="29" fillId="0" borderId="90" xfId="0" applyFont="1" applyBorder="1" applyAlignment="1">
      <alignment vertical="center" wrapText="1"/>
    </xf>
    <xf numFmtId="0" fontId="29" fillId="5" borderId="90" xfId="0" applyFont="1" applyFill="1" applyBorder="1" applyAlignment="1">
      <alignment vertical="center" wrapText="1"/>
    </xf>
    <xf numFmtId="0" fontId="41" fillId="3" borderId="275" xfId="0" applyFont="1" applyFill="1" applyBorder="1" applyAlignment="1">
      <alignment horizontal="left" vertical="center"/>
    </xf>
    <xf numFmtId="0" fontId="41" fillId="3" borderId="166" xfId="0" applyFont="1" applyFill="1" applyBorder="1" applyAlignment="1">
      <alignment horizontal="left" vertical="center"/>
    </xf>
    <xf numFmtId="0" fontId="41" fillId="3" borderId="271" xfId="0" applyFont="1" applyFill="1" applyBorder="1" applyAlignment="1">
      <alignment horizontal="left" vertical="center"/>
    </xf>
    <xf numFmtId="0" fontId="38" fillId="5" borderId="90" xfId="0" applyFont="1" applyFill="1" applyBorder="1" applyAlignment="1">
      <alignment vertical="center" wrapText="1"/>
    </xf>
    <xf numFmtId="0" fontId="38" fillId="0" borderId="54" xfId="0" applyFont="1" applyBorder="1" applyAlignment="1">
      <alignment vertical="center" wrapText="1"/>
    </xf>
    <xf numFmtId="0" fontId="38" fillId="0" borderId="48" xfId="0" applyFont="1" applyBorder="1" applyAlignment="1">
      <alignment vertical="center" wrapText="1"/>
    </xf>
    <xf numFmtId="0" fontId="38" fillId="0" borderId="79" xfId="0" applyFont="1" applyBorder="1" applyAlignment="1">
      <alignment vertical="center" wrapText="1"/>
    </xf>
    <xf numFmtId="0" fontId="38" fillId="0" borderId="90" xfId="0" applyFont="1" applyBorder="1" applyAlignment="1">
      <alignment vertical="center" wrapText="1"/>
    </xf>
    <xf numFmtId="0" fontId="41" fillId="3" borderId="278" xfId="0" applyFont="1" applyFill="1" applyBorder="1" applyAlignment="1">
      <alignment horizontal="left" vertical="center"/>
    </xf>
    <xf numFmtId="0" fontId="41" fillId="3" borderId="136" xfId="0" applyFont="1" applyFill="1" applyBorder="1" applyAlignment="1">
      <alignment horizontal="left" vertical="center"/>
    </xf>
    <xf numFmtId="0" fontId="41" fillId="3" borderId="279" xfId="0" applyFont="1" applyFill="1" applyBorder="1" applyAlignment="1">
      <alignment horizontal="left" vertical="center"/>
    </xf>
    <xf numFmtId="0" fontId="29" fillId="0" borderId="90" xfId="0" applyFont="1" applyFill="1" applyBorder="1" applyAlignment="1">
      <alignment vertical="center" wrapText="1"/>
    </xf>
    <xf numFmtId="0" fontId="38" fillId="12" borderId="56" xfId="0" applyFont="1" applyFill="1" applyBorder="1" applyAlignment="1">
      <alignment vertical="center"/>
    </xf>
    <xf numFmtId="0" fontId="38" fillId="12" borderId="57" xfId="0" applyFont="1" applyFill="1" applyBorder="1" applyAlignment="1">
      <alignment vertical="center"/>
    </xf>
    <xf numFmtId="0" fontId="38" fillId="12" borderId="58" xfId="0" applyFont="1" applyFill="1" applyBorder="1" applyAlignment="1">
      <alignment vertical="center"/>
    </xf>
    <xf numFmtId="0" fontId="38" fillId="12" borderId="88" xfId="0" applyFont="1" applyFill="1" applyBorder="1" applyAlignment="1">
      <alignment vertical="center"/>
    </xf>
    <xf numFmtId="0" fontId="38" fillId="12" borderId="90" xfId="0" applyFont="1" applyFill="1" applyBorder="1" applyAlignment="1">
      <alignment vertical="center"/>
    </xf>
    <xf numFmtId="0" fontId="38" fillId="12" borderId="91" xfId="0" applyFont="1" applyFill="1" applyBorder="1" applyAlignment="1">
      <alignment vertical="center"/>
    </xf>
    <xf numFmtId="0" fontId="41" fillId="3" borderId="274" xfId="0" applyFont="1" applyFill="1" applyBorder="1" applyAlignment="1">
      <alignment horizontal="left" vertical="center"/>
    </xf>
    <xf numFmtId="0" fontId="41" fillId="3" borderId="87" xfId="0" applyFont="1" applyFill="1" applyBorder="1" applyAlignment="1">
      <alignment horizontal="left" vertical="center"/>
    </xf>
    <xf numFmtId="0" fontId="41" fillId="3" borderId="75" xfId="0" applyFont="1" applyFill="1" applyBorder="1" applyAlignment="1">
      <alignment horizontal="left" vertical="center"/>
    </xf>
    <xf numFmtId="0" fontId="41" fillId="3" borderId="264" xfId="0" applyFont="1" applyFill="1" applyBorder="1" applyAlignment="1">
      <alignment horizontal="left" vertical="center"/>
    </xf>
    <xf numFmtId="0" fontId="41" fillId="5" borderId="90" xfId="0" applyFont="1" applyFill="1" applyBorder="1" applyAlignment="1">
      <alignment vertical="center" wrapText="1"/>
    </xf>
    <xf numFmtId="0" fontId="29" fillId="0" borderId="275" xfId="0" applyFont="1" applyBorder="1" applyAlignment="1">
      <alignment horizontal="left" vertical="center" wrapText="1"/>
    </xf>
    <xf numFmtId="0" fontId="29" fillId="0" borderId="267" xfId="0" applyFont="1" applyBorder="1" applyAlignment="1">
      <alignment horizontal="left" vertical="center" wrapText="1"/>
    </xf>
    <xf numFmtId="0" fontId="29" fillId="0" borderId="274" xfId="0" applyFont="1" applyBorder="1" applyAlignment="1">
      <alignment horizontal="left" vertical="center" wrapText="1"/>
    </xf>
    <xf numFmtId="0" fontId="29" fillId="0" borderId="280" xfId="0" applyFont="1" applyBorder="1" applyAlignment="1">
      <alignment horizontal="left" vertical="center" wrapText="1"/>
    </xf>
    <xf numFmtId="0" fontId="29" fillId="0" borderId="48" xfId="0" applyFont="1" applyBorder="1" applyAlignment="1">
      <alignment horizontal="left" vertical="center" wrapText="1"/>
    </xf>
    <xf numFmtId="0" fontId="29" fillId="0" borderId="276" xfId="0" applyFont="1" applyBorder="1" applyAlignment="1">
      <alignment horizontal="left" vertical="center" wrapText="1"/>
    </xf>
    <xf numFmtId="0" fontId="38" fillId="0" borderId="59" xfId="0" applyFont="1" applyBorder="1" applyAlignment="1">
      <alignment horizontal="center" vertical="center" wrapText="1"/>
    </xf>
    <xf numFmtId="0" fontId="38" fillId="0" borderId="62" xfId="0" applyFont="1" applyBorder="1" applyAlignment="1">
      <alignment horizontal="center" vertical="center" wrapText="1"/>
    </xf>
    <xf numFmtId="0" fontId="38" fillId="0" borderId="182" xfId="0" applyFont="1" applyBorder="1" applyAlignment="1">
      <alignment horizontal="center" vertical="center" wrapText="1"/>
    </xf>
    <xf numFmtId="0" fontId="38" fillId="0" borderId="23" xfId="0" applyFont="1" applyBorder="1" applyAlignment="1">
      <alignment vertical="top" wrapText="1"/>
    </xf>
    <xf numFmtId="0" fontId="38" fillId="0" borderId="41" xfId="0" applyFont="1" applyBorder="1" applyAlignment="1">
      <alignment vertical="top" wrapText="1"/>
    </xf>
    <xf numFmtId="0" fontId="38" fillId="0" borderId="54" xfId="0" applyFont="1" applyBorder="1" applyAlignment="1">
      <alignment vertical="top" wrapText="1"/>
    </xf>
    <xf numFmtId="0" fontId="38" fillId="0" borderId="79" xfId="0" applyFont="1" applyBorder="1" applyAlignment="1">
      <alignment vertical="top" wrapText="1"/>
    </xf>
    <xf numFmtId="0" fontId="38" fillId="5" borderId="59" xfId="0" applyFont="1" applyFill="1" applyBorder="1" applyAlignment="1">
      <alignment horizontal="left" vertical="center" wrapText="1"/>
    </xf>
    <xf numFmtId="0" fontId="38" fillId="5" borderId="49" xfId="0" applyFont="1" applyFill="1" applyBorder="1" applyAlignment="1">
      <alignment horizontal="left" vertical="center" wrapText="1"/>
    </xf>
    <xf numFmtId="0" fontId="38" fillId="5" borderId="60" xfId="0" applyFont="1" applyFill="1" applyBorder="1" applyAlignment="1">
      <alignment horizontal="left" vertical="center" wrapText="1"/>
    </xf>
    <xf numFmtId="0" fontId="38" fillId="0" borderId="59" xfId="0" applyFont="1" applyBorder="1" applyAlignment="1">
      <alignment horizontal="left" vertical="center" wrapText="1"/>
    </xf>
    <xf numFmtId="0" fontId="38" fillId="0" borderId="49" xfId="0" applyFont="1" applyBorder="1" applyAlignment="1">
      <alignment horizontal="left" vertical="center" wrapText="1"/>
    </xf>
    <xf numFmtId="0" fontId="38" fillId="0" borderId="60" xfId="0" applyFont="1" applyBorder="1" applyAlignment="1">
      <alignment horizontal="left" vertical="center" wrapText="1"/>
    </xf>
    <xf numFmtId="0" fontId="29" fillId="0" borderId="275" xfId="0" applyFont="1" applyBorder="1" applyAlignment="1">
      <alignment horizontal="center" vertical="center" wrapText="1"/>
    </xf>
    <xf numFmtId="0" fontId="29" fillId="0" borderId="274" xfId="0" applyFont="1" applyBorder="1" applyAlignment="1">
      <alignment horizontal="center" vertical="center" wrapText="1"/>
    </xf>
    <xf numFmtId="0" fontId="29" fillId="0" borderId="59" xfId="0" applyFont="1" applyBorder="1" applyAlignment="1">
      <alignment horizontal="left" vertical="center" wrapText="1"/>
    </xf>
    <xf numFmtId="0" fontId="29" fillId="0" borderId="49" xfId="0" applyFont="1" applyBorder="1" applyAlignment="1">
      <alignment horizontal="left" vertical="center" wrapText="1"/>
    </xf>
    <xf numFmtId="0" fontId="29" fillId="0" borderId="60" xfId="0" applyFont="1" applyBorder="1" applyAlignment="1">
      <alignment horizontal="left" vertical="center" wrapText="1"/>
    </xf>
    <xf numFmtId="0" fontId="29" fillId="0" borderId="267" xfId="0" applyFont="1" applyBorder="1" applyAlignment="1">
      <alignment horizontal="center" vertical="center" wrapText="1"/>
    </xf>
    <xf numFmtId="0" fontId="41" fillId="3" borderId="267" xfId="0" applyFont="1" applyFill="1" applyBorder="1" applyAlignment="1">
      <alignment horizontal="left" vertical="center"/>
    </xf>
    <xf numFmtId="0" fontId="41" fillId="3" borderId="99" xfId="0" applyFont="1" applyFill="1" applyBorder="1" applyAlignment="1">
      <alignment horizontal="left" vertical="center"/>
    </xf>
    <xf numFmtId="0" fontId="41" fillId="3" borderId="268" xfId="0" applyFont="1" applyFill="1" applyBorder="1" applyAlignment="1">
      <alignment horizontal="left" vertical="center"/>
    </xf>
    <xf numFmtId="0" fontId="38" fillId="0" borderId="269" xfId="0" applyFont="1" applyBorder="1" applyAlignment="1">
      <alignment vertical="center" wrapText="1"/>
    </xf>
    <xf numFmtId="0" fontId="38" fillId="0" borderId="57" xfId="0" applyFont="1" applyBorder="1" applyAlignment="1">
      <alignment vertical="center" wrapText="1"/>
    </xf>
    <xf numFmtId="0" fontId="38" fillId="0" borderId="182" xfId="0" applyFont="1" applyBorder="1" applyAlignment="1">
      <alignment vertical="center" wrapText="1"/>
    </xf>
    <xf numFmtId="0" fontId="38" fillId="0" borderId="58" xfId="0" applyFont="1" applyBorder="1" applyAlignment="1">
      <alignment vertical="center" wrapText="1"/>
    </xf>
    <xf numFmtId="0" fontId="38" fillId="0" borderId="59" xfId="0" applyFont="1" applyBorder="1" applyAlignment="1">
      <alignment vertical="top" wrapText="1"/>
    </xf>
    <xf numFmtId="0" fontId="38" fillId="0" borderId="49" xfId="0" applyFont="1" applyBorder="1" applyAlignment="1">
      <alignment vertical="top" wrapText="1"/>
    </xf>
    <xf numFmtId="0" fontId="38" fillId="0" borderId="60" xfId="0" applyFont="1" applyBorder="1" applyAlignment="1">
      <alignment vertical="top" wrapText="1"/>
    </xf>
    <xf numFmtId="0" fontId="38" fillId="0" borderId="59" xfId="0" applyFont="1" applyBorder="1" applyAlignment="1">
      <alignment vertical="center" wrapText="1"/>
    </xf>
    <xf numFmtId="0" fontId="38" fillId="0" borderId="49" xfId="0" applyFont="1" applyBorder="1" applyAlignment="1">
      <alignment vertical="center" wrapText="1"/>
    </xf>
    <xf numFmtId="0" fontId="38" fillId="0" borderId="60" xfId="0" applyFont="1" applyBorder="1" applyAlignment="1">
      <alignment vertical="center" wrapText="1"/>
    </xf>
    <xf numFmtId="0" fontId="38" fillId="0" borderId="88" xfId="0" applyFont="1" applyBorder="1" applyAlignment="1">
      <alignment vertical="center" wrapText="1"/>
    </xf>
    <xf numFmtId="0" fontId="38" fillId="0" borderId="91" xfId="0" applyFont="1" applyBorder="1" applyAlignment="1">
      <alignment vertical="center" wrapText="1"/>
    </xf>
    <xf numFmtId="0" fontId="38" fillId="5" borderId="59" xfId="0" applyFont="1" applyFill="1" applyBorder="1" applyAlignment="1">
      <alignment horizontal="left" vertical="top" wrapText="1"/>
    </xf>
    <xf numFmtId="0" fontId="38" fillId="5" borderId="60" xfId="0" applyFont="1" applyFill="1" applyBorder="1" applyAlignment="1">
      <alignment horizontal="left" vertical="top" wrapText="1"/>
    </xf>
    <xf numFmtId="0" fontId="29" fillId="5" borderId="2" xfId="0" applyFont="1" applyFill="1" applyBorder="1" applyAlignment="1">
      <alignment horizontal="center"/>
    </xf>
    <xf numFmtId="0" fontId="29" fillId="5" borderId="3" xfId="0" applyFont="1" applyFill="1" applyBorder="1" applyAlignment="1">
      <alignment horizontal="center"/>
    </xf>
    <xf numFmtId="0" fontId="29" fillId="3" borderId="278" xfId="0" applyFont="1" applyFill="1" applyBorder="1" applyAlignment="1">
      <alignment horizontal="left" vertical="center"/>
    </xf>
    <xf numFmtId="0" fontId="29" fillId="3" borderId="136" xfId="0" applyFont="1" applyFill="1" applyBorder="1" applyAlignment="1">
      <alignment horizontal="left" vertical="center"/>
    </xf>
    <xf numFmtId="0" fontId="29" fillId="3" borderId="279" xfId="0" applyFont="1" applyFill="1" applyBorder="1" applyAlignment="1">
      <alignment horizontal="left" vertical="center"/>
    </xf>
    <xf numFmtId="0" fontId="41" fillId="3" borderId="276" xfId="0" applyFont="1" applyFill="1" applyBorder="1" applyAlignment="1">
      <alignment horizontal="left" vertical="center"/>
    </xf>
    <xf numFmtId="0" fontId="41" fillId="3" borderId="261" xfId="0" applyFont="1" applyFill="1" applyBorder="1" applyAlignment="1">
      <alignment horizontal="left" vertical="center"/>
    </xf>
    <xf numFmtId="0" fontId="41" fillId="3" borderId="277" xfId="0" applyFont="1" applyFill="1" applyBorder="1" applyAlignment="1">
      <alignment horizontal="left" vertical="center"/>
    </xf>
    <xf numFmtId="0" fontId="38" fillId="0" borderId="274" xfId="0" applyFont="1" applyBorder="1" applyAlignment="1">
      <alignment vertical="center" wrapText="1"/>
    </xf>
    <xf numFmtId="0" fontId="41" fillId="3" borderId="46" xfId="0" applyFont="1" applyFill="1" applyBorder="1" applyAlignment="1">
      <alignment horizontal="left" vertical="center"/>
    </xf>
    <xf numFmtId="0" fontId="41" fillId="3" borderId="93" xfId="0" applyFont="1" applyFill="1" applyBorder="1" applyAlignment="1">
      <alignment horizontal="left" vertical="center"/>
    </xf>
    <xf numFmtId="0" fontId="41" fillId="3" borderId="94" xfId="0" applyFont="1" applyFill="1" applyBorder="1" applyAlignment="1">
      <alignment horizontal="left" vertical="center"/>
    </xf>
    <xf numFmtId="0" fontId="38" fillId="5" borderId="0" xfId="0" applyFont="1" applyFill="1" applyBorder="1" applyAlignment="1">
      <alignment horizontal="center" wrapText="1"/>
    </xf>
    <xf numFmtId="0" fontId="41" fillId="3" borderId="90" xfId="0" applyFont="1" applyFill="1" applyBorder="1" applyAlignment="1">
      <alignment horizontal="left" vertical="center"/>
    </xf>
    <xf numFmtId="0" fontId="29" fillId="5" borderId="221" xfId="0" applyFont="1" applyFill="1" applyBorder="1" applyAlignment="1">
      <alignment vertical="center" wrapText="1"/>
    </xf>
    <xf numFmtId="0" fontId="29" fillId="5" borderId="224" xfId="0" applyFont="1" applyFill="1" applyBorder="1" applyAlignment="1">
      <alignment vertical="center" wrapText="1"/>
    </xf>
    <xf numFmtId="0" fontId="29" fillId="5" borderId="41" xfId="0" applyFont="1" applyFill="1" applyBorder="1" applyAlignment="1">
      <alignment vertical="center" wrapText="1"/>
    </xf>
    <xf numFmtId="0" fontId="41" fillId="6" borderId="272" xfId="0" applyFont="1" applyFill="1" applyBorder="1" applyAlignment="1">
      <alignment horizontal="left" vertical="top" wrapText="1"/>
    </xf>
    <xf numFmtId="0" fontId="41" fillId="6" borderId="185" xfId="0" applyFont="1" applyFill="1" applyBorder="1" applyAlignment="1">
      <alignment horizontal="left" vertical="top" wrapText="1"/>
    </xf>
    <xf numFmtId="0" fontId="41" fillId="6" borderId="273" xfId="0" applyFont="1" applyFill="1" applyBorder="1" applyAlignment="1">
      <alignment horizontal="left" vertical="top" wrapText="1"/>
    </xf>
    <xf numFmtId="0" fontId="48" fillId="0" borderId="40" xfId="0" applyFont="1" applyBorder="1" applyAlignment="1">
      <alignment vertical="top" wrapText="1"/>
    </xf>
    <xf numFmtId="0" fontId="48" fillId="0" borderId="25" xfId="0" applyFont="1" applyBorder="1" applyAlignment="1">
      <alignment vertical="top" wrapText="1"/>
    </xf>
    <xf numFmtId="0" fontId="48" fillId="0" borderId="23" xfId="0" applyFont="1" applyBorder="1" applyAlignment="1">
      <alignment vertical="top" wrapText="1"/>
    </xf>
    <xf numFmtId="0" fontId="26" fillId="2" borderId="41" xfId="0" applyFont="1" applyFill="1" applyBorder="1" applyAlignment="1">
      <alignment horizontal="center" vertical="top" wrapText="1"/>
    </xf>
    <xf numFmtId="0" fontId="26" fillId="2" borderId="49" xfId="0" applyFont="1" applyFill="1" applyBorder="1" applyAlignment="1">
      <alignment horizontal="center" vertical="top" wrapText="1"/>
    </xf>
    <xf numFmtId="0" fontId="26" fillId="2" borderId="40" xfId="0" applyFont="1" applyFill="1" applyBorder="1" applyAlignment="1">
      <alignment horizontal="center" vertical="top" wrapText="1"/>
    </xf>
    <xf numFmtId="0" fontId="8" fillId="0" borderId="59" xfId="0" applyFont="1" applyBorder="1" applyAlignment="1">
      <alignment horizontal="left" vertical="center" wrapText="1"/>
    </xf>
    <xf numFmtId="0" fontId="8" fillId="0" borderId="49" xfId="0" applyFont="1" applyBorder="1" applyAlignment="1">
      <alignment horizontal="left" vertical="center" wrapText="1"/>
    </xf>
    <xf numFmtId="0" fontId="8" fillId="0" borderId="48" xfId="0" applyFont="1" applyBorder="1" applyAlignment="1">
      <alignment horizontal="left" vertical="center" wrapText="1"/>
    </xf>
    <xf numFmtId="0" fontId="8" fillId="0" borderId="79" xfId="0" applyFont="1" applyBorder="1" applyAlignment="1">
      <alignment horizontal="left" vertical="center" wrapText="1"/>
    </xf>
    <xf numFmtId="0" fontId="8" fillId="0" borderId="23" xfId="0" applyFont="1" applyBorder="1" applyAlignment="1">
      <alignment horizontal="left" vertical="top" wrapText="1"/>
    </xf>
    <xf numFmtId="0" fontId="8" fillId="0" borderId="24" xfId="0" applyFont="1" applyBorder="1" applyAlignment="1">
      <alignment horizontal="left" vertical="top" wrapText="1"/>
    </xf>
    <xf numFmtId="0" fontId="8" fillId="0" borderId="25" xfId="0" applyFont="1" applyBorder="1" applyAlignment="1">
      <alignment horizontal="left" vertical="top" wrapText="1"/>
    </xf>
    <xf numFmtId="0" fontId="8" fillId="5" borderId="27" xfId="0" applyFont="1" applyFill="1" applyBorder="1" applyAlignment="1">
      <alignment horizontal="left" vertical="top" wrapText="1"/>
    </xf>
    <xf numFmtId="0" fontId="8" fillId="5" borderId="29" xfId="0" applyFont="1" applyFill="1" applyBorder="1" applyAlignment="1">
      <alignment horizontal="left" vertical="top" wrapText="1"/>
    </xf>
    <xf numFmtId="0" fontId="7" fillId="4" borderId="23" xfId="0" applyFont="1" applyFill="1" applyBorder="1" applyAlignment="1">
      <alignment vertical="center"/>
    </xf>
    <xf numFmtId="0" fontId="7" fillId="4" borderId="25" xfId="0" applyFont="1" applyFill="1" applyBorder="1" applyAlignment="1">
      <alignment vertical="center"/>
    </xf>
    <xf numFmtId="49" fontId="14" fillId="4" borderId="9" xfId="1" applyNumberFormat="1" applyFont="1" applyFill="1" applyBorder="1" applyAlignment="1">
      <alignment horizontal="center" vertical="center"/>
    </xf>
    <xf numFmtId="49" fontId="18" fillId="4" borderId="9" xfId="1" applyNumberFormat="1" applyFont="1" applyFill="1" applyBorder="1" applyAlignment="1">
      <alignment horizontal="center" vertical="center"/>
    </xf>
    <xf numFmtId="0" fontId="8" fillId="0" borderId="44" xfId="0" applyFont="1" applyBorder="1" applyAlignment="1">
      <alignment horizontal="left" vertical="top" wrapText="1"/>
    </xf>
    <xf numFmtId="0" fontId="8" fillId="0" borderId="28" xfId="0" applyFont="1" applyBorder="1" applyAlignment="1">
      <alignment horizontal="left" vertical="top" wrapText="1"/>
    </xf>
    <xf numFmtId="0" fontId="8" fillId="0" borderId="29" xfId="0" applyFont="1" applyBorder="1" applyAlignment="1">
      <alignment horizontal="left" vertical="top" wrapText="1"/>
    </xf>
    <xf numFmtId="49" fontId="18" fillId="4" borderId="11" xfId="1" applyNumberFormat="1" applyFont="1" applyFill="1" applyBorder="1" applyAlignment="1">
      <alignment horizontal="center" vertical="center"/>
    </xf>
    <xf numFmtId="0" fontId="8" fillId="2" borderId="23" xfId="0" applyFont="1" applyFill="1" applyBorder="1" applyAlignment="1">
      <alignment horizontal="left" vertical="center" wrapText="1"/>
    </xf>
    <xf numFmtId="0" fontId="8" fillId="2" borderId="41" xfId="0" applyFont="1" applyFill="1" applyBorder="1" applyAlignment="1">
      <alignment horizontal="left" vertical="center" wrapText="1"/>
    </xf>
    <xf numFmtId="0" fontId="7" fillId="2" borderId="22" xfId="0" applyFont="1" applyFill="1" applyBorder="1" applyAlignment="1">
      <alignment horizontal="left" vertical="top"/>
    </xf>
    <xf numFmtId="0" fontId="7" fillId="0" borderId="54" xfId="0" applyFont="1" applyBorder="1" applyAlignment="1">
      <alignment horizontal="left" vertical="center" wrapText="1"/>
    </xf>
    <xf numFmtId="0" fontId="7" fillId="0" borderId="48" xfId="0" applyFont="1" applyBorder="1" applyAlignment="1">
      <alignment horizontal="left" vertical="center" wrapText="1"/>
    </xf>
    <xf numFmtId="0" fontId="7" fillId="0" borderId="79" xfId="0" applyFont="1" applyBorder="1" applyAlignment="1">
      <alignment horizontal="left" vertical="center" wrapText="1"/>
    </xf>
    <xf numFmtId="0" fontId="8" fillId="2" borderId="22" xfId="0" applyFont="1" applyFill="1" applyBorder="1" applyAlignment="1">
      <alignment horizontal="left" vertical="top"/>
    </xf>
    <xf numFmtId="49" fontId="18" fillId="4" borderId="160" xfId="1" applyNumberFormat="1" applyFont="1" applyFill="1" applyBorder="1" applyAlignment="1">
      <alignment horizontal="center" vertical="center"/>
    </xf>
    <xf numFmtId="0" fontId="7" fillId="0" borderId="54" xfId="0" applyFont="1" applyBorder="1" applyAlignment="1">
      <alignment horizontal="center" vertical="center" wrapText="1"/>
    </xf>
    <xf numFmtId="0" fontId="7" fillId="0" borderId="79" xfId="0" applyFont="1" applyBorder="1" applyAlignment="1">
      <alignment horizontal="center" vertical="center" wrapText="1"/>
    </xf>
    <xf numFmtId="0" fontId="8" fillId="2" borderId="25" xfId="0" applyFont="1" applyFill="1" applyBorder="1" applyAlignment="1">
      <alignment horizontal="left" vertical="center" wrapText="1"/>
    </xf>
    <xf numFmtId="0" fontId="7" fillId="0" borderId="27" xfId="0" applyFont="1" applyBorder="1" applyAlignment="1">
      <alignment horizontal="left" vertical="top" wrapText="1"/>
    </xf>
    <xf numFmtId="0" fontId="7" fillId="0" borderId="28" xfId="0" applyFont="1" applyBorder="1" applyAlignment="1">
      <alignment horizontal="left" vertical="top" wrapText="1"/>
    </xf>
    <xf numFmtId="0" fontId="7" fillId="0" borderId="29" xfId="0" applyFont="1" applyBorder="1" applyAlignment="1">
      <alignment horizontal="left" vertical="top" wrapText="1"/>
    </xf>
    <xf numFmtId="0" fontId="8" fillId="2" borderId="23" xfId="0" applyFont="1" applyFill="1" applyBorder="1" applyAlignment="1">
      <alignment horizontal="left" vertical="top" wrapText="1"/>
    </xf>
    <xf numFmtId="0" fontId="8" fillId="2" borderId="25" xfId="0" applyFont="1" applyFill="1" applyBorder="1" applyAlignment="1">
      <alignment horizontal="left" vertical="top" wrapText="1"/>
    </xf>
    <xf numFmtId="0" fontId="7" fillId="4" borderId="63" xfId="0" applyFont="1" applyFill="1" applyBorder="1" applyAlignment="1">
      <alignment horizontal="center" vertical="center" wrapText="1"/>
    </xf>
    <xf numFmtId="0" fontId="7" fillId="4" borderId="163" xfId="0" applyFont="1" applyFill="1" applyBorder="1" applyAlignment="1">
      <alignment horizontal="center" vertical="center" wrapText="1"/>
    </xf>
    <xf numFmtId="49" fontId="18" fillId="4" borderId="30" xfId="1" applyNumberFormat="1" applyFont="1" applyFill="1" applyBorder="1" applyAlignment="1">
      <alignment horizontal="center" vertical="center"/>
    </xf>
    <xf numFmtId="0" fontId="7" fillId="0" borderId="59" xfId="0" applyFont="1" applyBorder="1" applyAlignment="1">
      <alignment horizontal="center" vertical="top" wrapText="1"/>
    </xf>
    <xf numFmtId="0" fontId="7" fillId="0" borderId="60" xfId="0" applyFont="1" applyBorder="1" applyAlignment="1">
      <alignment horizontal="center" vertical="top" wrapText="1"/>
    </xf>
    <xf numFmtId="0" fontId="8" fillId="8" borderId="44" xfId="0" applyFont="1" applyFill="1" applyBorder="1" applyAlignment="1">
      <alignment horizontal="center" vertical="center"/>
    </xf>
    <xf numFmtId="0" fontId="8" fillId="8" borderId="29" xfId="0" applyFont="1" applyFill="1" applyBorder="1" applyAlignment="1">
      <alignment horizontal="center" vertical="center"/>
    </xf>
    <xf numFmtId="0" fontId="7" fillId="0" borderId="59" xfId="0" applyFont="1" applyBorder="1" applyAlignment="1">
      <alignment horizontal="left" vertical="top" wrapText="1"/>
    </xf>
    <xf numFmtId="0" fontId="7" fillId="0" borderId="49" xfId="0" applyFont="1" applyBorder="1" applyAlignment="1">
      <alignment horizontal="left" vertical="top" wrapText="1"/>
    </xf>
    <xf numFmtId="0" fontId="7" fillId="0" borderId="60" xfId="0" applyFont="1" applyBorder="1" applyAlignment="1">
      <alignment horizontal="left" vertical="top" wrapText="1"/>
    </xf>
    <xf numFmtId="0" fontId="7" fillId="10" borderId="44" xfId="0" applyFont="1" applyFill="1" applyBorder="1" applyAlignment="1">
      <alignment horizontal="left" vertical="top" wrapText="1"/>
    </xf>
    <xf numFmtId="0" fontId="7" fillId="10" borderId="28" xfId="0" applyFont="1" applyFill="1" applyBorder="1" applyAlignment="1">
      <alignment horizontal="left" vertical="top" wrapText="1"/>
    </xf>
    <xf numFmtId="0" fontId="7" fillId="10" borderId="50" xfId="0" applyFont="1" applyFill="1" applyBorder="1" applyAlignment="1">
      <alignment horizontal="left" vertical="top" wrapText="1"/>
    </xf>
    <xf numFmtId="0" fontId="8" fillId="0" borderId="41" xfId="0" applyFont="1" applyBorder="1" applyAlignment="1">
      <alignment horizontal="left" vertical="top" wrapText="1"/>
    </xf>
    <xf numFmtId="0" fontId="26" fillId="2" borderId="59" xfId="0" applyFont="1" applyFill="1" applyBorder="1" applyAlignment="1">
      <alignment horizontal="center" vertical="top" wrapText="1"/>
    </xf>
    <xf numFmtId="49" fontId="18" fillId="4" borderId="161" xfId="1" applyNumberFormat="1" applyFont="1" applyFill="1" applyBorder="1" applyAlignment="1">
      <alignment horizontal="center" vertical="center"/>
    </xf>
    <xf numFmtId="49" fontId="18" fillId="4" borderId="159" xfId="1" applyNumberFormat="1" applyFont="1" applyFill="1" applyBorder="1" applyAlignment="1">
      <alignment horizontal="center" vertical="center"/>
    </xf>
    <xf numFmtId="49" fontId="18" fillId="4" borderId="48"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66" xfId="1" applyNumberFormat="1" applyFont="1" applyFill="1" applyBorder="1" applyAlignment="1">
      <alignment horizontal="center" vertical="center"/>
    </xf>
    <xf numFmtId="0" fontId="8" fillId="8" borderId="43" xfId="0" applyFont="1" applyFill="1" applyBorder="1" applyAlignment="1">
      <alignment horizontal="center" vertical="center"/>
    </xf>
    <xf numFmtId="0" fontId="8" fillId="8" borderId="22" xfId="0" applyFont="1" applyFill="1" applyBorder="1" applyAlignment="1">
      <alignment horizontal="center" vertical="center"/>
    </xf>
    <xf numFmtId="0" fontId="26" fillId="2" borderId="60" xfId="0" applyFont="1" applyFill="1" applyBorder="1" applyAlignment="1">
      <alignment horizontal="center" vertical="top" wrapText="1"/>
    </xf>
    <xf numFmtId="0" fontId="8" fillId="7" borderId="164" xfId="0" applyFont="1" applyFill="1" applyBorder="1" applyAlignment="1">
      <alignment horizontal="center" vertical="center"/>
    </xf>
    <xf numFmtId="0" fontId="8" fillId="7" borderId="34" xfId="0" applyFont="1" applyFill="1" applyBorder="1" applyAlignment="1">
      <alignment horizontal="center" vertical="center"/>
    </xf>
    <xf numFmtId="0" fontId="12" fillId="7" borderId="40" xfId="0" applyFont="1" applyFill="1" applyBorder="1" applyAlignment="1">
      <alignment horizontal="center" vertical="center" wrapText="1"/>
    </xf>
    <xf numFmtId="0" fontId="12" fillId="7" borderId="25" xfId="0" applyFont="1" applyFill="1" applyBorder="1" applyAlignment="1">
      <alignment horizontal="center" vertical="center" wrapText="1"/>
    </xf>
    <xf numFmtId="0" fontId="8" fillId="0" borderId="60" xfId="0" applyFont="1" applyBorder="1" applyAlignment="1">
      <alignment horizontal="lef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8" fillId="0" borderId="20" xfId="0" applyFont="1" applyBorder="1" applyAlignment="1">
      <alignment horizontal="left" vertical="top" wrapText="1"/>
    </xf>
    <xf numFmtId="0" fontId="8" fillId="0" borderId="21" xfId="0" applyFont="1" applyBorder="1" applyAlignment="1">
      <alignment horizontal="left" vertical="top" wrapText="1"/>
    </xf>
    <xf numFmtId="0" fontId="8" fillId="0" borderId="26" xfId="0" applyFont="1" applyBorder="1" applyAlignment="1">
      <alignment horizontal="left" vertical="top" wrapText="1"/>
    </xf>
    <xf numFmtId="0" fontId="9" fillId="3" borderId="17" xfId="0" applyFont="1" applyFill="1" applyBorder="1" applyAlignment="1">
      <alignment horizontal="left" vertical="center"/>
    </xf>
    <xf numFmtId="0" fontId="9" fillId="3" borderId="18" xfId="0" applyFont="1" applyFill="1" applyBorder="1" applyAlignment="1">
      <alignment horizontal="left" vertical="center"/>
    </xf>
    <xf numFmtId="0" fontId="9" fillId="3" borderId="163" xfId="0" applyFont="1" applyFill="1" applyBorder="1" applyAlignment="1">
      <alignment horizontal="left" vertical="center"/>
    </xf>
    <xf numFmtId="0" fontId="9" fillId="3" borderId="51" xfId="0" applyFont="1" applyFill="1" applyBorder="1" applyAlignment="1">
      <alignment horizontal="left" vertical="center"/>
    </xf>
    <xf numFmtId="0" fontId="8" fillId="8" borderId="44" xfId="0" applyFont="1" applyFill="1" applyBorder="1" applyAlignment="1">
      <alignment horizontal="center" vertical="center" wrapText="1"/>
    </xf>
    <xf numFmtId="0" fontId="8" fillId="8" borderId="29" xfId="0" applyFont="1" applyFill="1" applyBorder="1" applyAlignment="1">
      <alignment horizontal="center" vertical="center" wrapText="1"/>
    </xf>
    <xf numFmtId="0" fontId="8" fillId="8" borderId="23" xfId="0" applyFont="1" applyFill="1" applyBorder="1" applyAlignment="1">
      <alignment horizontal="center" vertical="center" wrapText="1"/>
    </xf>
    <xf numFmtId="0" fontId="8" fillId="8" borderId="25" xfId="0" applyFont="1" applyFill="1" applyBorder="1" applyAlignment="1">
      <alignment horizontal="center" vertical="center" wrapText="1"/>
    </xf>
    <xf numFmtId="0" fontId="9" fillId="3" borderId="38" xfId="0" applyFont="1" applyFill="1" applyBorder="1" applyAlignment="1">
      <alignment horizontal="left" vertical="center"/>
    </xf>
    <xf numFmtId="0" fontId="9" fillId="3" borderId="47" xfId="0" applyFont="1" applyFill="1" applyBorder="1" applyAlignment="1">
      <alignment horizontal="left" vertical="center"/>
    </xf>
    <xf numFmtId="0" fontId="9" fillId="3" borderId="135" xfId="0" applyFont="1" applyFill="1" applyBorder="1" applyAlignment="1">
      <alignment horizontal="left" vertical="center"/>
    </xf>
    <xf numFmtId="0" fontId="9" fillId="5" borderId="49" xfId="0" applyFont="1" applyFill="1" applyBorder="1" applyAlignment="1">
      <alignment horizontal="left" wrapText="1"/>
    </xf>
    <xf numFmtId="0" fontId="9" fillId="5" borderId="60" xfId="0" applyFont="1" applyFill="1" applyBorder="1" applyAlignment="1">
      <alignment horizontal="left" wrapText="1"/>
    </xf>
    <xf numFmtId="0" fontId="7" fillId="5" borderId="23" xfId="0" applyFont="1" applyFill="1" applyBorder="1" applyAlignment="1">
      <alignment horizontal="left" vertical="top" wrapText="1"/>
    </xf>
    <xf numFmtId="0" fontId="7" fillId="5" borderId="24" xfId="0" applyFont="1" applyFill="1" applyBorder="1" applyAlignment="1">
      <alignment horizontal="left" vertical="top" wrapText="1"/>
    </xf>
    <xf numFmtId="0" fontId="7" fillId="5" borderId="25" xfId="0" applyFont="1" applyFill="1" applyBorder="1" applyAlignment="1">
      <alignment horizontal="left" vertical="top" wrapText="1"/>
    </xf>
    <xf numFmtId="0" fontId="7" fillId="4" borderId="9" xfId="0" applyFont="1" applyFill="1" applyBorder="1" applyAlignment="1">
      <alignment horizontal="center" wrapText="1"/>
    </xf>
    <xf numFmtId="0" fontId="7" fillId="4" borderId="8" xfId="0" applyFont="1" applyFill="1" applyBorder="1" applyAlignment="1">
      <alignment horizontal="center" wrapText="1"/>
    </xf>
    <xf numFmtId="0" fontId="8" fillId="7" borderId="20" xfId="0" applyFont="1" applyFill="1" applyBorder="1" applyAlignment="1">
      <alignment horizontal="center" vertical="center"/>
    </xf>
    <xf numFmtId="0" fontId="8" fillId="7" borderId="45" xfId="0" applyFont="1" applyFill="1" applyBorder="1" applyAlignment="1">
      <alignment horizontal="center" vertical="center"/>
    </xf>
    <xf numFmtId="0" fontId="7" fillId="10" borderId="27" xfId="0" applyFont="1" applyFill="1" applyBorder="1" applyAlignment="1">
      <alignment horizontal="center" vertical="top" wrapText="1"/>
    </xf>
    <xf numFmtId="0" fontId="7" fillId="10" borderId="28" xfId="0" applyFont="1" applyFill="1" applyBorder="1" applyAlignment="1">
      <alignment horizontal="center" vertical="top" wrapText="1"/>
    </xf>
    <xf numFmtId="0" fontId="7" fillId="10" borderId="50" xfId="0" applyFont="1" applyFill="1" applyBorder="1" applyAlignment="1">
      <alignment horizontal="center" vertical="top" wrapText="1"/>
    </xf>
    <xf numFmtId="0" fontId="22" fillId="2" borderId="23" xfId="0" applyFont="1" applyFill="1" applyBorder="1" applyAlignment="1">
      <alignment horizontal="center" vertical="top" wrapText="1"/>
    </xf>
    <xf numFmtId="0" fontId="22" fillId="2" borderId="24" xfId="0" applyFont="1" applyFill="1" applyBorder="1" applyAlignment="1">
      <alignment horizontal="center" vertical="top" wrapText="1"/>
    </xf>
    <xf numFmtId="0" fontId="22" fillId="2" borderId="41" xfId="0" applyFont="1" applyFill="1" applyBorder="1" applyAlignment="1">
      <alignment horizontal="center" vertical="top" wrapText="1"/>
    </xf>
    <xf numFmtId="0" fontId="7" fillId="0" borderId="24" xfId="0" applyFont="1" applyBorder="1" applyAlignment="1">
      <alignment horizontal="left" vertical="top" wrapText="1"/>
    </xf>
    <xf numFmtId="0" fontId="9" fillId="3" borderId="16" xfId="0" applyFont="1" applyFill="1" applyBorder="1" applyAlignment="1">
      <alignment horizontal="left" vertical="center"/>
    </xf>
    <xf numFmtId="0" fontId="9" fillId="3" borderId="6" xfId="0" applyFont="1" applyFill="1" applyBorder="1" applyAlignment="1">
      <alignment horizontal="left" vertical="center"/>
    </xf>
    <xf numFmtId="0" fontId="9" fillId="3" borderId="8" xfId="0" applyFont="1" applyFill="1" applyBorder="1" applyAlignment="1">
      <alignment horizontal="left" vertical="center"/>
    </xf>
    <xf numFmtId="0" fontId="9" fillId="3" borderId="32" xfId="0" applyFont="1" applyFill="1" applyBorder="1" applyAlignment="1">
      <alignment horizontal="left" vertical="center"/>
    </xf>
    <xf numFmtId="0" fontId="7" fillId="0" borderId="41" xfId="0" applyFont="1" applyBorder="1" applyAlignment="1">
      <alignment horizontal="left" vertical="top" wrapText="1"/>
    </xf>
    <xf numFmtId="0" fontId="7" fillId="10" borderId="54" xfId="0" applyFont="1" applyFill="1" applyBorder="1" applyAlignment="1">
      <alignment horizontal="center" vertical="top" wrapText="1"/>
    </xf>
    <xf numFmtId="0" fontId="7" fillId="10" borderId="48" xfId="0" applyFont="1" applyFill="1" applyBorder="1" applyAlignment="1">
      <alignment horizontal="center" vertical="top" wrapText="1"/>
    </xf>
    <xf numFmtId="0" fontId="7" fillId="10" borderId="44" xfId="0" applyFont="1" applyFill="1" applyBorder="1" applyAlignment="1">
      <alignment horizontal="center" vertical="top" wrapText="1"/>
    </xf>
    <xf numFmtId="0" fontId="22" fillId="2" borderId="59" xfId="0" applyFont="1" applyFill="1" applyBorder="1" applyAlignment="1">
      <alignment horizontal="center" vertical="top" wrapText="1"/>
    </xf>
    <xf numFmtId="0" fontId="22" fillId="2" borderId="49" xfId="0" applyFont="1" applyFill="1" applyBorder="1" applyAlignment="1">
      <alignment horizontal="center" vertical="top" wrapText="1"/>
    </xf>
    <xf numFmtId="0" fontId="22" fillId="2" borderId="40" xfId="0" applyFont="1" applyFill="1" applyBorder="1" applyAlignment="1">
      <alignment horizontal="center" vertical="top" wrapText="1"/>
    </xf>
    <xf numFmtId="0" fontId="22" fillId="2" borderId="49" xfId="0" applyFont="1" applyFill="1" applyBorder="1" applyAlignment="1">
      <alignment horizontal="center" wrapText="1"/>
    </xf>
    <xf numFmtId="0" fontId="22" fillId="2" borderId="60" xfId="0" applyFont="1" applyFill="1" applyBorder="1" applyAlignment="1">
      <alignment horizontal="center" wrapText="1"/>
    </xf>
    <xf numFmtId="0" fontId="7" fillId="10" borderId="49" xfId="0" applyFont="1" applyFill="1" applyBorder="1" applyAlignment="1">
      <alignment horizontal="center" wrapText="1"/>
    </xf>
    <xf numFmtId="0" fontId="7" fillId="10" borderId="60" xfId="0" applyFont="1" applyFill="1" applyBorder="1" applyAlignment="1">
      <alignment horizontal="center" wrapText="1"/>
    </xf>
    <xf numFmtId="0" fontId="12" fillId="7" borderId="23"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7" borderId="9" xfId="0" applyFont="1" applyFill="1" applyBorder="1" applyAlignment="1">
      <alignment horizontal="center" vertical="center"/>
    </xf>
    <xf numFmtId="0" fontId="8" fillId="7" borderId="6" xfId="0" applyFont="1" applyFill="1" applyBorder="1" applyAlignment="1">
      <alignment horizontal="center" vertical="center"/>
    </xf>
    <xf numFmtId="0" fontId="22" fillId="2" borderId="40" xfId="0" applyFont="1" applyFill="1" applyBorder="1" applyAlignment="1">
      <alignment horizontal="left" vertical="top" wrapText="1"/>
    </xf>
    <xf numFmtId="0" fontId="22" fillId="2" borderId="24" xfId="0" applyFont="1" applyFill="1" applyBorder="1" applyAlignment="1">
      <alignment horizontal="left" vertical="top" wrapText="1"/>
    </xf>
    <xf numFmtId="0" fontId="22" fillId="2" borderId="41" xfId="0" applyFont="1" applyFill="1" applyBorder="1" applyAlignment="1">
      <alignment horizontal="left" vertical="top" wrapText="1"/>
    </xf>
    <xf numFmtId="0" fontId="7" fillId="10" borderId="79" xfId="0" applyFont="1" applyFill="1" applyBorder="1" applyAlignment="1">
      <alignment horizontal="center" vertical="top" wrapText="1"/>
    </xf>
    <xf numFmtId="0" fontId="8" fillId="8" borderId="27" xfId="0" applyFont="1" applyFill="1" applyBorder="1" applyAlignment="1">
      <alignment horizontal="center" vertical="center" wrapText="1"/>
    </xf>
    <xf numFmtId="0" fontId="7" fillId="4" borderId="41" xfId="0" applyFont="1" applyFill="1" applyBorder="1" applyAlignment="1">
      <alignment vertical="center"/>
    </xf>
    <xf numFmtId="0" fontId="22" fillId="2" borderId="60" xfId="0" applyFont="1" applyFill="1" applyBorder="1" applyAlignment="1">
      <alignment horizontal="center" vertical="top" wrapText="1"/>
    </xf>
    <xf numFmtId="0" fontId="8" fillId="5" borderId="23" xfId="0" applyFont="1" applyFill="1" applyBorder="1" applyAlignment="1">
      <alignment horizontal="left" vertical="top" wrapText="1"/>
    </xf>
    <xf numFmtId="0" fontId="8" fillId="5" borderId="24" xfId="0" applyFont="1" applyFill="1" applyBorder="1" applyAlignment="1">
      <alignment horizontal="left" vertical="top" wrapText="1"/>
    </xf>
    <xf numFmtId="0" fontId="8" fillId="5" borderId="25" xfId="0" applyFont="1" applyFill="1" applyBorder="1" applyAlignment="1">
      <alignment horizontal="left" vertical="top" wrapText="1"/>
    </xf>
    <xf numFmtId="0" fontId="8" fillId="5" borderId="41" xfId="0" applyFont="1" applyFill="1" applyBorder="1" applyAlignment="1">
      <alignment horizontal="left" vertical="top" wrapText="1"/>
    </xf>
    <xf numFmtId="0" fontId="7" fillId="5" borderId="40" xfId="0" applyFont="1" applyFill="1" applyBorder="1" applyAlignment="1">
      <alignment horizontal="left" vertical="top" wrapText="1"/>
    </xf>
    <xf numFmtId="0" fontId="7" fillId="5" borderId="41" xfId="0" applyFont="1" applyFill="1" applyBorder="1" applyAlignment="1">
      <alignment horizontal="left" vertical="top" wrapText="1"/>
    </xf>
    <xf numFmtId="0" fontId="8" fillId="7" borderId="11" xfId="0" applyFont="1" applyFill="1" applyBorder="1" applyAlignment="1">
      <alignment horizontal="center" vertical="center"/>
    </xf>
    <xf numFmtId="0" fontId="8" fillId="7" borderId="14" xfId="0" applyFont="1" applyFill="1" applyBorder="1" applyAlignment="1">
      <alignment horizontal="center" vertical="center"/>
    </xf>
    <xf numFmtId="0" fontId="15" fillId="2" borderId="41" xfId="0" applyFont="1" applyFill="1" applyBorder="1" applyAlignment="1">
      <alignment horizontal="center" vertical="top" wrapText="1"/>
    </xf>
    <xf numFmtId="0" fontId="15" fillId="2" borderId="49" xfId="0" applyFont="1" applyFill="1" applyBorder="1" applyAlignment="1">
      <alignment horizontal="center" vertical="top" wrapText="1"/>
    </xf>
    <xf numFmtId="0" fontId="15" fillId="2" borderId="60" xfId="0" applyFont="1" applyFill="1" applyBorder="1" applyAlignment="1">
      <alignment horizontal="center" vertical="top" wrapText="1"/>
    </xf>
    <xf numFmtId="0" fontId="8" fillId="6" borderId="38" xfId="0" applyFont="1" applyFill="1" applyBorder="1" applyAlignment="1">
      <alignment horizontal="center" vertical="center"/>
    </xf>
    <xf numFmtId="0" fontId="8" fillId="6" borderId="135" xfId="0" applyFont="1" applyFill="1" applyBorder="1" applyAlignment="1">
      <alignment horizontal="center" vertical="center"/>
    </xf>
    <xf numFmtId="0" fontId="8" fillId="8" borderId="52" xfId="0" applyFont="1" applyFill="1" applyBorder="1" applyAlignment="1">
      <alignment horizontal="center" vertical="center"/>
    </xf>
    <xf numFmtId="0" fontId="4" fillId="0" borderId="102" xfId="0" applyFont="1" applyBorder="1" applyAlignment="1">
      <alignment horizontal="left" vertical="top" wrapText="1"/>
    </xf>
    <xf numFmtId="0" fontId="4" fillId="0" borderId="103" xfId="0" applyFont="1" applyBorder="1" applyAlignment="1">
      <alignment horizontal="left" vertical="top" wrapText="1"/>
    </xf>
    <xf numFmtId="0" fontId="4" fillId="0" borderId="104" xfId="0" applyFont="1" applyBorder="1" applyAlignment="1">
      <alignment horizontal="left" vertical="top" wrapText="1"/>
    </xf>
    <xf numFmtId="0" fontId="4" fillId="0" borderId="105" xfId="0" applyFont="1" applyBorder="1" applyAlignment="1">
      <alignment horizontal="left" vertical="top" wrapText="1"/>
    </xf>
    <xf numFmtId="0" fontId="4" fillId="0" borderId="0" xfId="0" applyFont="1" applyBorder="1" applyAlignment="1">
      <alignment horizontal="left" vertical="top" wrapText="1"/>
    </xf>
    <xf numFmtId="0" fontId="4" fillId="0" borderId="106" xfId="0" applyFont="1" applyBorder="1" applyAlignment="1">
      <alignment horizontal="left" vertical="top" wrapText="1"/>
    </xf>
    <xf numFmtId="0" fontId="4" fillId="0" borderId="107" xfId="0" applyFont="1" applyBorder="1" applyAlignment="1">
      <alignment horizontal="left" vertical="top" wrapText="1"/>
    </xf>
    <xf numFmtId="0" fontId="4" fillId="0" borderId="108" xfId="0" applyFont="1" applyBorder="1" applyAlignment="1">
      <alignment horizontal="left" vertical="top" wrapText="1"/>
    </xf>
    <xf numFmtId="0" fontId="4" fillId="0" borderId="109" xfId="0" applyFont="1" applyBorder="1" applyAlignment="1">
      <alignment horizontal="left" vertical="top" wrapText="1"/>
    </xf>
    <xf numFmtId="0" fontId="37" fillId="0" borderId="102" xfId="0" applyFont="1" applyBorder="1" applyAlignment="1" applyProtection="1">
      <alignment horizontal="left" vertical="top"/>
      <protection locked="0"/>
    </xf>
    <xf numFmtId="0" fontId="37" fillId="0" borderId="103" xfId="0" applyFont="1" applyBorder="1" applyAlignment="1" applyProtection="1">
      <alignment horizontal="left" vertical="top"/>
      <protection locked="0"/>
    </xf>
    <xf numFmtId="0" fontId="37" fillId="0" borderId="104" xfId="0" applyFont="1" applyBorder="1" applyAlignment="1" applyProtection="1">
      <alignment horizontal="left" vertical="top"/>
      <protection locked="0"/>
    </xf>
    <xf numFmtId="0" fontId="37" fillId="0" borderId="105" xfId="0" applyFont="1" applyBorder="1" applyAlignment="1" applyProtection="1">
      <alignment horizontal="left" vertical="top"/>
      <protection locked="0"/>
    </xf>
    <xf numFmtId="0" fontId="37" fillId="0" borderId="0" xfId="0" applyFont="1" applyBorder="1" applyAlignment="1" applyProtection="1">
      <alignment horizontal="left" vertical="top"/>
      <protection locked="0"/>
    </xf>
    <xf numFmtId="0" fontId="37" fillId="0" borderId="106" xfId="0" applyFont="1" applyBorder="1" applyAlignment="1" applyProtection="1">
      <alignment horizontal="left" vertical="top"/>
      <protection locked="0"/>
    </xf>
    <xf numFmtId="0" fontId="37" fillId="0" borderId="107" xfId="0" applyFont="1" applyBorder="1" applyAlignment="1" applyProtection="1">
      <alignment horizontal="left" vertical="top"/>
      <protection locked="0"/>
    </xf>
    <xf numFmtId="0" fontId="37" fillId="0" borderId="108" xfId="0" applyFont="1" applyBorder="1" applyAlignment="1" applyProtection="1">
      <alignment horizontal="left" vertical="top"/>
      <protection locked="0"/>
    </xf>
    <xf numFmtId="0" fontId="37" fillId="0" borderId="109" xfId="0" applyFont="1" applyBorder="1" applyAlignment="1" applyProtection="1">
      <alignment horizontal="left" vertical="top"/>
      <protection locked="0"/>
    </xf>
    <xf numFmtId="0" fontId="34" fillId="13" borderId="100" xfId="0" applyFont="1" applyFill="1" applyBorder="1" applyAlignment="1">
      <alignment horizontal="center" vertical="top" wrapText="1"/>
    </xf>
    <xf numFmtId="0" fontId="34" fillId="13" borderId="0" xfId="0" applyFont="1" applyFill="1" applyBorder="1" applyAlignment="1">
      <alignment horizontal="center" vertical="top" wrapText="1"/>
    </xf>
    <xf numFmtId="0" fontId="34" fillId="13" borderId="101" xfId="0" applyFont="1" applyFill="1" applyBorder="1" applyAlignment="1">
      <alignment horizontal="center" vertical="top" wrapText="1"/>
    </xf>
    <xf numFmtId="0" fontId="34" fillId="13" borderId="0" xfId="0" applyFont="1" applyFill="1" applyBorder="1" applyAlignment="1">
      <alignment horizontal="left" vertical="top" wrapText="1"/>
    </xf>
    <xf numFmtId="0" fontId="34" fillId="13" borderId="66" xfId="0" applyFont="1" applyFill="1" applyBorder="1" applyAlignment="1">
      <alignment horizontal="left" vertical="top" wrapText="1"/>
    </xf>
    <xf numFmtId="0" fontId="12" fillId="0" borderId="110" xfId="0" applyFont="1" applyBorder="1" applyAlignment="1">
      <alignment horizontal="left" vertical="top" wrapText="1"/>
    </xf>
    <xf numFmtId="0" fontId="12" fillId="0" borderId="111" xfId="0" applyFont="1" applyBorder="1" applyAlignment="1">
      <alignment horizontal="left" vertical="top" wrapText="1"/>
    </xf>
    <xf numFmtId="0" fontId="12" fillId="0" borderId="112" xfId="0" applyFont="1" applyBorder="1" applyAlignment="1">
      <alignment horizontal="left" vertical="top" wrapText="1"/>
    </xf>
    <xf numFmtId="0" fontId="12" fillId="0" borderId="113" xfId="0" applyFont="1" applyBorder="1" applyAlignment="1">
      <alignment horizontal="left" vertical="top" wrapText="1"/>
    </xf>
    <xf numFmtId="0" fontId="12" fillId="0" borderId="0" xfId="0" applyFont="1" applyBorder="1" applyAlignment="1">
      <alignment horizontal="left" vertical="top" wrapText="1"/>
    </xf>
    <xf numFmtId="0" fontId="12" fillId="0" borderId="114" xfId="0" applyFont="1" applyBorder="1" applyAlignment="1">
      <alignment horizontal="left" vertical="top" wrapText="1"/>
    </xf>
    <xf numFmtId="0" fontId="12" fillId="0" borderId="115" xfId="0" applyFont="1" applyBorder="1" applyAlignment="1">
      <alignment horizontal="left" vertical="top" wrapText="1"/>
    </xf>
    <xf numFmtId="0" fontId="12" fillId="0" borderId="116" xfId="0" applyFont="1" applyBorder="1" applyAlignment="1">
      <alignment horizontal="left" vertical="top" wrapText="1"/>
    </xf>
    <xf numFmtId="0" fontId="12" fillId="0" borderId="117" xfId="0" applyFont="1" applyBorder="1" applyAlignment="1">
      <alignment horizontal="left" vertical="top" wrapText="1"/>
    </xf>
    <xf numFmtId="0" fontId="30" fillId="14" borderId="118" xfId="0" applyFont="1" applyFill="1" applyBorder="1" applyAlignment="1">
      <alignment horizontal="center" vertical="center" wrapText="1"/>
    </xf>
    <xf numFmtId="0" fontId="30" fillId="14" borderId="119" xfId="0" applyFont="1" applyFill="1" applyBorder="1" applyAlignment="1">
      <alignment horizontal="center" vertical="center" wrapText="1"/>
    </xf>
    <xf numFmtId="0" fontId="30" fillId="14" borderId="121" xfId="0" applyFont="1" applyFill="1" applyBorder="1" applyAlignment="1">
      <alignment horizontal="center" vertical="center" wrapText="1"/>
    </xf>
    <xf numFmtId="0" fontId="30" fillId="14" borderId="120" xfId="0" applyFont="1" applyFill="1" applyBorder="1" applyAlignment="1">
      <alignment horizontal="center" vertical="center" wrapText="1"/>
    </xf>
    <xf numFmtId="0" fontId="33" fillId="0" borderId="110" xfId="0" applyFont="1" applyBorder="1" applyAlignment="1" applyProtection="1">
      <alignment horizontal="left" vertical="top" wrapText="1"/>
      <protection locked="0"/>
    </xf>
    <xf numFmtId="0" fontId="33" fillId="0" borderId="111" xfId="0" applyFont="1" applyBorder="1" applyAlignment="1" applyProtection="1">
      <alignment horizontal="left" vertical="top" wrapText="1"/>
      <protection locked="0"/>
    </xf>
    <xf numFmtId="0" fontId="33" fillId="0" borderId="112" xfId="0" applyFont="1" applyBorder="1" applyAlignment="1" applyProtection="1">
      <alignment horizontal="left" vertical="top" wrapText="1"/>
      <protection locked="0"/>
    </xf>
    <xf numFmtId="0" fontId="33" fillId="0" borderId="113" xfId="0" applyFont="1" applyBorder="1" applyAlignment="1" applyProtection="1">
      <alignment horizontal="left" vertical="top" wrapText="1"/>
      <protection locked="0"/>
    </xf>
    <xf numFmtId="0" fontId="33" fillId="0" borderId="0" xfId="0" applyFont="1" applyBorder="1" applyAlignment="1" applyProtection="1">
      <alignment horizontal="left" vertical="top" wrapText="1"/>
      <protection locked="0"/>
    </xf>
    <xf numFmtId="0" fontId="33" fillId="0" borderId="114" xfId="0" applyFont="1" applyBorder="1" applyAlignment="1" applyProtection="1">
      <alignment horizontal="left" vertical="top" wrapText="1"/>
      <protection locked="0"/>
    </xf>
    <xf numFmtId="0" fontId="33" fillId="0" borderId="115" xfId="0" applyFont="1" applyBorder="1" applyAlignment="1" applyProtection="1">
      <alignment horizontal="left" vertical="top" wrapText="1"/>
      <protection locked="0"/>
    </xf>
    <xf numFmtId="0" fontId="33" fillId="0" borderId="116" xfId="0" applyFont="1" applyBorder="1" applyAlignment="1" applyProtection="1">
      <alignment horizontal="left" vertical="top" wrapText="1"/>
      <protection locked="0"/>
    </xf>
    <xf numFmtId="0" fontId="33" fillId="0" borderId="117" xfId="0" applyFont="1" applyBorder="1" applyAlignment="1" applyProtection="1">
      <alignment horizontal="left" vertical="top" wrapText="1"/>
      <protection locked="0"/>
    </xf>
    <xf numFmtId="0" fontId="9" fillId="3" borderId="19" xfId="0" applyFont="1" applyFill="1" applyBorder="1" applyAlignment="1">
      <alignment horizontal="left" vertical="center"/>
    </xf>
    <xf numFmtId="0" fontId="8" fillId="2" borderId="41" xfId="0" applyFont="1" applyFill="1" applyBorder="1" applyAlignment="1">
      <alignment horizontal="left" vertical="top" wrapText="1"/>
    </xf>
    <xf numFmtId="0" fontId="8" fillId="0" borderId="23" xfId="0" applyFont="1" applyBorder="1" applyAlignment="1">
      <alignment horizontal="left" vertical="center" wrapText="1"/>
    </xf>
    <xf numFmtId="0" fontId="8" fillId="0" borderId="25" xfId="0" applyFont="1" applyBorder="1" applyAlignment="1">
      <alignment horizontal="left" vertical="center" wrapText="1"/>
    </xf>
    <xf numFmtId="0" fontId="8" fillId="6" borderId="47" xfId="0" applyFont="1" applyFill="1" applyBorder="1" applyAlignment="1">
      <alignment horizontal="center" vertical="center"/>
    </xf>
    <xf numFmtId="0" fontId="9" fillId="3" borderId="55" xfId="0" applyFont="1" applyFill="1" applyBorder="1" applyAlignment="1">
      <alignment horizontal="left" vertical="center"/>
    </xf>
    <xf numFmtId="0" fontId="9" fillId="3" borderId="63" xfId="0" applyFont="1" applyFill="1" applyBorder="1" applyAlignment="1">
      <alignment horizontal="left" vertical="center"/>
    </xf>
    <xf numFmtId="0" fontId="8" fillId="2" borderId="40" xfId="0" applyFont="1" applyFill="1" applyBorder="1" applyAlignment="1">
      <alignment horizontal="left" vertical="top" wrapText="1"/>
    </xf>
    <xf numFmtId="0" fontId="8" fillId="2" borderId="40" xfId="0" applyFont="1" applyFill="1" applyBorder="1" applyAlignment="1">
      <alignment horizontal="left" vertical="center" wrapText="1"/>
    </xf>
    <xf numFmtId="0" fontId="7" fillId="4" borderId="40" xfId="0" applyFont="1" applyFill="1" applyBorder="1" applyAlignment="1">
      <alignment vertical="center"/>
    </xf>
    <xf numFmtId="0" fontId="9" fillId="0" borderId="47" xfId="0" applyFont="1" applyBorder="1" applyAlignment="1">
      <alignment horizontal="center" vertical="center" wrapText="1"/>
    </xf>
    <xf numFmtId="0" fontId="8" fillId="0" borderId="38" xfId="0" applyFont="1" applyBorder="1" applyAlignment="1">
      <alignment horizontal="center" vertical="center"/>
    </xf>
    <xf numFmtId="0" fontId="8" fillId="0" borderId="47" xfId="0" applyFont="1" applyBorder="1" applyAlignment="1">
      <alignment horizontal="center" vertical="center"/>
    </xf>
    <xf numFmtId="0" fontId="8" fillId="0" borderId="135" xfId="0" applyFont="1" applyBorder="1" applyAlignment="1">
      <alignment horizontal="center" vertical="center"/>
    </xf>
    <xf numFmtId="0" fontId="8" fillId="4" borderId="9" xfId="0" applyFont="1" applyFill="1" applyBorder="1" applyAlignment="1">
      <alignment horizontal="center" wrapText="1"/>
    </xf>
    <xf numFmtId="0" fontId="8" fillId="4" borderId="14" xfId="0" applyFont="1" applyFill="1" applyBorder="1" applyAlignment="1">
      <alignment horizontal="center" wrapText="1"/>
    </xf>
    <xf numFmtId="0" fontId="7" fillId="4" borderId="30" xfId="0" applyFont="1" applyFill="1" applyBorder="1" applyAlignment="1">
      <alignment horizontal="center" vertical="center" wrapText="1"/>
    </xf>
    <xf numFmtId="0" fontId="7" fillId="4" borderId="35" xfId="0" applyFont="1" applyFill="1" applyBorder="1" applyAlignment="1">
      <alignment horizontal="center" vertical="center" wrapText="1"/>
    </xf>
    <xf numFmtId="0" fontId="9" fillId="0" borderId="38" xfId="0" applyFont="1" applyBorder="1" applyAlignment="1">
      <alignment horizontal="left" vertical="center" wrapText="1"/>
    </xf>
    <xf numFmtId="0" fontId="9" fillId="0" borderId="47" xfId="0" applyFont="1" applyBorder="1" applyAlignment="1">
      <alignment horizontal="left" vertical="center" wrapText="1"/>
    </xf>
    <xf numFmtId="0" fontId="9" fillId="0" borderId="135" xfId="0" applyFont="1" applyBorder="1" applyAlignment="1">
      <alignment horizontal="left" vertical="center" wrapText="1"/>
    </xf>
    <xf numFmtId="0" fontId="7" fillId="0" borderId="59" xfId="0" applyFont="1" applyBorder="1" applyAlignment="1">
      <alignment horizontal="left" vertical="center" wrapText="1"/>
    </xf>
    <xf numFmtId="0" fontId="7" fillId="0" borderId="49" xfId="0" applyFont="1" applyBorder="1" applyAlignment="1">
      <alignment horizontal="left" vertical="center" wrapText="1"/>
    </xf>
    <xf numFmtId="0" fontId="7" fillId="0" borderId="60" xfId="0" applyFont="1" applyBorder="1" applyAlignment="1">
      <alignment horizontal="left" vertical="center" wrapText="1"/>
    </xf>
    <xf numFmtId="0" fontId="7" fillId="12" borderId="62" xfId="0" applyFont="1" applyFill="1" applyBorder="1" applyAlignment="1">
      <alignment horizontal="left" vertical="top" wrapText="1"/>
    </xf>
    <xf numFmtId="0" fontId="7" fillId="12" borderId="57" xfId="0" applyFont="1" applyFill="1" applyBorder="1" applyAlignment="1">
      <alignment horizontal="left" vertical="top" wrapText="1"/>
    </xf>
    <xf numFmtId="0" fontId="7" fillId="12" borderId="58" xfId="0" applyFont="1" applyFill="1" applyBorder="1" applyAlignment="1">
      <alignment horizontal="left" vertical="top" wrapText="1"/>
    </xf>
    <xf numFmtId="0" fontId="7" fillId="12" borderId="56" xfId="0" applyFont="1" applyFill="1" applyBorder="1" applyAlignment="1">
      <alignment horizontal="left" vertical="top" wrapText="1"/>
    </xf>
    <xf numFmtId="0" fontId="8" fillId="6" borderId="295" xfId="0" applyFont="1" applyFill="1" applyBorder="1" applyAlignment="1">
      <alignment horizontal="left" vertical="top" wrapText="1"/>
    </xf>
    <xf numFmtId="0" fontId="8" fillId="6" borderId="223" xfId="0" applyFont="1" applyFill="1" applyBorder="1" applyAlignment="1">
      <alignment horizontal="left" vertical="top" wrapText="1"/>
    </xf>
    <xf numFmtId="0" fontId="7" fillId="4" borderId="31" xfId="0" applyFont="1" applyFill="1" applyBorder="1" applyAlignment="1">
      <alignment horizontal="center" vertical="center" wrapText="1"/>
    </xf>
    <xf numFmtId="0" fontId="8" fillId="5" borderId="40" xfId="0" applyFont="1" applyFill="1" applyBorder="1" applyAlignment="1">
      <alignment horizontal="left" vertical="top" wrapText="1"/>
    </xf>
    <xf numFmtId="0" fontId="7" fillId="0" borderId="54" xfId="0" applyFont="1" applyBorder="1" applyAlignment="1">
      <alignment horizontal="left" vertical="top" wrapText="1"/>
    </xf>
    <xf numFmtId="0" fontId="7" fillId="4" borderId="14" xfId="0" applyFont="1" applyFill="1" applyBorder="1" applyAlignment="1">
      <alignment horizontal="center" wrapText="1"/>
    </xf>
    <xf numFmtId="0" fontId="18" fillId="5" borderId="23" xfId="0" applyFont="1" applyFill="1" applyBorder="1" applyAlignment="1">
      <alignment horizontal="left" vertical="top" wrapText="1"/>
    </xf>
    <xf numFmtId="0" fontId="18" fillId="5" borderId="25" xfId="0" applyFont="1" applyFill="1" applyBorder="1" applyAlignment="1">
      <alignment horizontal="left" vertical="top" wrapText="1"/>
    </xf>
    <xf numFmtId="0" fontId="8" fillId="2" borderId="64" xfId="0" applyFont="1" applyFill="1" applyBorder="1" applyAlignment="1">
      <alignment horizontal="left" vertical="center" wrapText="1"/>
    </xf>
    <xf numFmtId="0" fontId="8" fillId="2" borderId="165" xfId="0" applyFont="1" applyFill="1" applyBorder="1" applyAlignment="1">
      <alignment horizontal="left" vertical="center" wrapText="1"/>
    </xf>
    <xf numFmtId="49" fontId="18" fillId="4" borderId="71" xfId="1" applyNumberFormat="1" applyFont="1" applyFill="1" applyBorder="1" applyAlignment="1">
      <alignment horizontal="center" vertical="center"/>
    </xf>
    <xf numFmtId="0" fontId="18" fillId="5" borderId="41" xfId="0" applyFont="1" applyFill="1" applyBorder="1" applyAlignment="1">
      <alignment horizontal="left" vertical="top" wrapText="1"/>
    </xf>
    <xf numFmtId="0" fontId="8" fillId="5" borderId="38" xfId="0" applyFont="1" applyFill="1" applyBorder="1" applyAlignment="1">
      <alignment horizontal="center" vertical="center"/>
    </xf>
    <xf numFmtId="0" fontId="8" fillId="5" borderId="135" xfId="0" applyFont="1" applyFill="1" applyBorder="1" applyAlignment="1">
      <alignment horizontal="center" vertical="center"/>
    </xf>
    <xf numFmtId="0" fontId="19" fillId="0" borderId="0" xfId="0" applyFont="1" applyFill="1" applyBorder="1" applyAlignment="1">
      <alignment horizontal="center" vertical="center" textRotation="90"/>
    </xf>
    <xf numFmtId="0" fontId="7" fillId="4" borderId="9" xfId="0" applyFont="1" applyFill="1" applyBorder="1" applyAlignment="1">
      <alignment horizontal="center" vertical="center" wrapText="1"/>
    </xf>
    <xf numFmtId="0" fontId="7" fillId="4" borderId="8" xfId="0" applyFont="1" applyFill="1" applyBorder="1" applyAlignment="1">
      <alignment horizontal="center" vertical="center" wrapText="1"/>
    </xf>
    <xf numFmtId="0" fontId="8" fillId="7" borderId="21" xfId="0" applyFont="1" applyFill="1" applyBorder="1" applyAlignment="1">
      <alignment horizontal="center" vertical="center"/>
    </xf>
    <xf numFmtId="0" fontId="9" fillId="9" borderId="38" xfId="0" applyFont="1" applyFill="1" applyBorder="1" applyAlignment="1">
      <alignment horizontal="center" vertical="center" wrapText="1"/>
    </xf>
    <xf numFmtId="0" fontId="9" fillId="9" borderId="47" xfId="0" applyFont="1" applyFill="1" applyBorder="1" applyAlignment="1">
      <alignment horizontal="center" vertical="center" wrapText="1"/>
    </xf>
    <xf numFmtId="0" fontId="15" fillId="2" borderId="59" xfId="0" applyFont="1" applyFill="1" applyBorder="1" applyAlignment="1">
      <alignment horizontal="center" vertical="center" wrapText="1"/>
    </xf>
    <xf numFmtId="0" fontId="15" fillId="2" borderId="49" xfId="0" applyFont="1" applyFill="1" applyBorder="1" applyAlignment="1">
      <alignment horizontal="center" vertical="center" wrapText="1"/>
    </xf>
    <xf numFmtId="0" fontId="39" fillId="0" borderId="38" xfId="0" applyFont="1" applyBorder="1" applyAlignment="1">
      <alignment horizontal="left" vertical="center" wrapText="1"/>
    </xf>
    <xf numFmtId="0" fontId="39" fillId="0" borderId="47" xfId="0" applyFont="1" applyBorder="1" applyAlignment="1">
      <alignment horizontal="left" vertical="center" wrapText="1"/>
    </xf>
    <xf numFmtId="0" fontId="39" fillId="0" borderId="135" xfId="0" applyFont="1" applyBorder="1" applyAlignment="1">
      <alignment horizontal="left" vertical="center" wrapText="1"/>
    </xf>
    <xf numFmtId="0" fontId="8" fillId="8" borderId="54" xfId="0" applyFont="1" applyFill="1" applyBorder="1" applyAlignment="1">
      <alignment horizontal="center" vertical="center" wrapText="1"/>
    </xf>
    <xf numFmtId="0" fontId="8" fillId="8" borderId="48" xfId="0" applyFont="1" applyFill="1" applyBorder="1" applyAlignment="1">
      <alignment horizontal="center" vertical="center" wrapText="1"/>
    </xf>
    <xf numFmtId="49" fontId="18" fillId="4" borderId="54" xfId="1" applyNumberFormat="1" applyFont="1" applyFill="1" applyBorder="1" applyAlignment="1">
      <alignment horizontal="center" vertical="center"/>
    </xf>
    <xf numFmtId="0" fontId="8" fillId="5" borderId="59" xfId="0" applyFont="1" applyFill="1" applyBorder="1" applyAlignment="1">
      <alignment horizontal="left" vertical="center" wrapText="1"/>
    </xf>
    <xf numFmtId="0" fontId="8" fillId="5" borderId="49" xfId="0" applyFont="1" applyFill="1" applyBorder="1" applyAlignment="1">
      <alignment horizontal="left" vertical="center" wrapText="1"/>
    </xf>
    <xf numFmtId="0" fontId="8" fillId="5" borderId="60" xfId="0" applyFont="1" applyFill="1" applyBorder="1" applyAlignment="1">
      <alignment horizontal="left" vertical="center" wrapText="1"/>
    </xf>
    <xf numFmtId="0" fontId="7" fillId="5" borderId="59" xfId="0" applyFont="1" applyFill="1" applyBorder="1" applyAlignment="1">
      <alignment horizontal="left" vertical="center" wrapText="1"/>
    </xf>
    <xf numFmtId="0" fontId="7" fillId="5" borderId="60" xfId="0" applyFont="1" applyFill="1" applyBorder="1" applyAlignment="1">
      <alignment horizontal="left" vertical="center" wrapText="1"/>
    </xf>
    <xf numFmtId="0" fontId="7" fillId="5" borderId="49" xfId="0" applyFont="1" applyFill="1" applyBorder="1" applyAlignment="1">
      <alignment horizontal="left" vertical="center" wrapText="1"/>
    </xf>
    <xf numFmtId="0" fontId="15" fillId="2" borderId="59" xfId="0" applyFont="1" applyFill="1" applyBorder="1" applyAlignment="1">
      <alignment horizontal="center" vertical="top" wrapText="1"/>
    </xf>
    <xf numFmtId="0" fontId="15" fillId="2" borderId="59" xfId="0" applyFont="1" applyFill="1" applyBorder="1" applyAlignment="1">
      <alignment horizontal="left" vertical="top" wrapText="1"/>
    </xf>
    <xf numFmtId="0" fontId="15" fillId="2" borderId="49" xfId="0" applyFont="1" applyFill="1" applyBorder="1" applyAlignment="1">
      <alignment horizontal="left" vertical="top" wrapText="1"/>
    </xf>
    <xf numFmtId="0" fontId="15" fillId="2" borderId="60" xfId="0" applyFont="1" applyFill="1" applyBorder="1" applyAlignment="1">
      <alignment horizontal="left" vertical="top" wrapText="1"/>
    </xf>
    <xf numFmtId="0" fontId="12" fillId="10" borderId="59" xfId="0" applyFont="1" applyFill="1" applyBorder="1" applyAlignment="1">
      <alignment horizontal="center" vertical="top" wrapText="1"/>
    </xf>
    <xf numFmtId="0" fontId="12" fillId="10" borderId="49" xfId="0" applyFont="1" applyFill="1" applyBorder="1" applyAlignment="1">
      <alignment horizontal="center" vertical="top" wrapText="1"/>
    </xf>
    <xf numFmtId="0" fontId="12" fillId="10" borderId="60" xfId="0" applyFont="1" applyFill="1" applyBorder="1" applyAlignment="1">
      <alignment horizontal="center" vertical="top" wrapText="1"/>
    </xf>
    <xf numFmtId="0" fontId="8" fillId="6" borderId="220" xfId="0" applyFont="1" applyFill="1" applyBorder="1" applyAlignment="1">
      <alignment horizontal="left" vertical="top" wrapText="1"/>
    </xf>
    <xf numFmtId="0" fontId="7" fillId="5" borderId="59" xfId="0" applyFont="1" applyFill="1" applyBorder="1" applyAlignment="1">
      <alignment horizontal="left" vertical="top" wrapText="1"/>
    </xf>
    <xf numFmtId="0" fontId="7" fillId="5" borderId="49" xfId="0" applyFont="1" applyFill="1" applyBorder="1" applyAlignment="1">
      <alignment horizontal="left" vertical="top" wrapText="1"/>
    </xf>
    <xf numFmtId="0" fontId="7" fillId="5" borderId="60" xfId="0" applyFont="1" applyFill="1" applyBorder="1" applyAlignment="1">
      <alignment horizontal="left" vertical="top" wrapText="1"/>
    </xf>
    <xf numFmtId="0" fontId="8" fillId="5" borderId="59" xfId="0" applyFont="1" applyFill="1" applyBorder="1" applyAlignment="1">
      <alignment horizontal="left" vertical="top" wrapText="1"/>
    </xf>
    <xf numFmtId="0" fontId="8" fillId="5" borderId="60" xfId="0" applyFont="1" applyFill="1" applyBorder="1" applyAlignment="1">
      <alignment horizontal="left" vertical="top" wrapText="1"/>
    </xf>
    <xf numFmtId="0" fontId="9" fillId="3" borderId="188" xfId="0" applyFont="1" applyFill="1" applyBorder="1" applyAlignment="1">
      <alignment horizontal="left" vertical="center"/>
    </xf>
    <xf numFmtId="0" fontId="9" fillId="3" borderId="197" xfId="0" applyFont="1" applyFill="1" applyBorder="1" applyAlignment="1">
      <alignment horizontal="left" vertical="center"/>
    </xf>
    <xf numFmtId="0" fontId="8" fillId="2" borderId="259" xfId="0" applyFont="1" applyFill="1" applyBorder="1" applyAlignment="1">
      <alignment horizontal="left" vertical="top"/>
    </xf>
    <xf numFmtId="0" fontId="7" fillId="4" borderId="27" xfId="0" applyFont="1" applyFill="1" applyBorder="1" applyAlignment="1">
      <alignment vertical="center"/>
    </xf>
    <xf numFmtId="0" fontId="7" fillId="4" borderId="29" xfId="0" applyFont="1" applyFill="1" applyBorder="1" applyAlignment="1">
      <alignment vertical="center"/>
    </xf>
    <xf numFmtId="0" fontId="7" fillId="0" borderId="75" xfId="0" applyFont="1" applyFill="1" applyBorder="1" applyAlignment="1">
      <alignment horizontal="center" vertical="center" wrapText="1"/>
    </xf>
    <xf numFmtId="0" fontId="7" fillId="0" borderId="166" xfId="0" applyFont="1" applyFill="1" applyBorder="1" applyAlignment="1">
      <alignment horizontal="center" vertical="center" wrapText="1"/>
    </xf>
    <xf numFmtId="0" fontId="7" fillId="0" borderId="49" xfId="0" applyFont="1" applyBorder="1" applyAlignment="1">
      <alignment horizontal="center" vertical="top" wrapText="1"/>
    </xf>
    <xf numFmtId="0" fontId="7" fillId="0" borderId="40" xfId="0" applyFont="1" applyBorder="1" applyAlignment="1">
      <alignment horizontal="center" vertical="top" wrapText="1"/>
    </xf>
    <xf numFmtId="0" fontId="7" fillId="0" borderId="41" xfId="0" applyFont="1" applyBorder="1" applyAlignment="1">
      <alignment horizontal="center" vertical="top" wrapText="1"/>
    </xf>
    <xf numFmtId="0" fontId="7" fillId="0" borderId="40" xfId="0" applyFont="1" applyBorder="1" applyAlignment="1">
      <alignment horizontal="left" vertical="top" wrapText="1"/>
    </xf>
    <xf numFmtId="0" fontId="8" fillId="0" borderId="38" xfId="0" applyFont="1" applyBorder="1" applyAlignment="1">
      <alignment horizontal="center" vertical="center" wrapText="1"/>
    </xf>
    <xf numFmtId="0" fontId="8" fillId="0" borderId="135" xfId="0" applyFont="1" applyBorder="1" applyAlignment="1">
      <alignment horizontal="center" vertical="center" wrapText="1"/>
    </xf>
    <xf numFmtId="0" fontId="8" fillId="8" borderId="37" xfId="0" applyFont="1" applyFill="1" applyBorder="1" applyAlignment="1">
      <alignment horizontal="center" vertical="center"/>
    </xf>
    <xf numFmtId="0" fontId="8" fillId="8" borderId="31" xfId="0" applyFont="1" applyFill="1" applyBorder="1" applyAlignment="1">
      <alignment horizontal="center" vertical="center"/>
    </xf>
    <xf numFmtId="0" fontId="8" fillId="2" borderId="43" xfId="0" applyFont="1" applyFill="1" applyBorder="1" applyAlignment="1">
      <alignment horizontal="left" vertical="top"/>
    </xf>
    <xf numFmtId="0" fontId="12" fillId="7" borderId="41" xfId="0" applyFont="1" applyFill="1" applyBorder="1" applyAlignment="1">
      <alignment horizontal="center" vertical="center" wrapText="1"/>
    </xf>
    <xf numFmtId="0" fontId="8" fillId="8" borderId="41" xfId="0" applyFont="1" applyFill="1" applyBorder="1" applyAlignment="1">
      <alignment horizontal="center" vertical="center" wrapText="1"/>
    </xf>
    <xf numFmtId="0" fontId="12" fillId="2" borderId="59" xfId="0" applyFont="1" applyFill="1" applyBorder="1" applyAlignment="1">
      <alignment horizontal="left" vertical="top" wrapText="1"/>
    </xf>
    <xf numFmtId="0" fontId="12" fillId="2" borderId="49" xfId="0" applyFont="1" applyFill="1" applyBorder="1" applyAlignment="1">
      <alignment horizontal="left" vertical="top" wrapText="1"/>
    </xf>
    <xf numFmtId="0" fontId="12" fillId="2" borderId="60" xfId="0" applyFont="1" applyFill="1" applyBorder="1" applyAlignment="1">
      <alignment horizontal="left" vertical="top" wrapText="1"/>
    </xf>
    <xf numFmtId="0" fontId="8" fillId="10" borderId="44" xfId="0" applyFont="1" applyFill="1" applyBorder="1" applyAlignment="1">
      <alignment horizontal="left" vertical="top" wrapText="1"/>
    </xf>
    <xf numFmtId="0" fontId="8" fillId="10" borderId="28" xfId="0" applyFont="1" applyFill="1" applyBorder="1" applyAlignment="1">
      <alignment horizontal="left" vertical="top" wrapText="1"/>
    </xf>
    <xf numFmtId="0" fontId="8" fillId="10" borderId="50" xfId="0" applyFont="1" applyFill="1" applyBorder="1" applyAlignment="1">
      <alignment horizontal="left" vertical="top" wrapText="1"/>
    </xf>
    <xf numFmtId="0" fontId="8" fillId="2" borderId="27" xfId="0" applyFont="1" applyFill="1" applyBorder="1" applyAlignment="1">
      <alignment horizontal="left" vertical="center" wrapText="1"/>
    </xf>
    <xf numFmtId="0" fontId="8" fillId="2" borderId="29" xfId="0" applyFont="1" applyFill="1" applyBorder="1" applyAlignment="1">
      <alignment horizontal="left" vertical="center" wrapText="1"/>
    </xf>
    <xf numFmtId="0" fontId="7" fillId="10" borderId="49" xfId="0" applyFont="1" applyFill="1" applyBorder="1" applyAlignment="1">
      <alignment horizontal="center" vertical="top" wrapText="1"/>
    </xf>
    <xf numFmtId="0" fontId="7" fillId="10" borderId="60" xfId="0" applyFont="1" applyFill="1" applyBorder="1" applyAlignment="1">
      <alignment horizontal="center" vertical="top" wrapText="1"/>
    </xf>
    <xf numFmtId="0" fontId="7" fillId="0" borderId="59" xfId="0" applyFont="1" applyBorder="1" applyAlignment="1">
      <alignment horizontal="center" vertical="center" wrapText="1"/>
    </xf>
    <xf numFmtId="0" fontId="7" fillId="0" borderId="49" xfId="0" applyFont="1" applyBorder="1" applyAlignment="1">
      <alignment horizontal="center" vertical="center" wrapText="1"/>
    </xf>
    <xf numFmtId="0" fontId="7" fillId="0" borderId="60" xfId="0" applyFont="1" applyBorder="1" applyAlignment="1">
      <alignment horizontal="center" vertical="center" wrapText="1"/>
    </xf>
    <xf numFmtId="0" fontId="15" fillId="2" borderId="40" xfId="0" applyFont="1" applyFill="1" applyBorder="1" applyAlignment="1">
      <alignment horizontal="center" vertical="top" wrapText="1"/>
    </xf>
    <xf numFmtId="0" fontId="16" fillId="4" borderId="153" xfId="0" applyFont="1" applyFill="1" applyBorder="1" applyAlignment="1">
      <alignment horizontal="center" vertical="center" wrapText="1"/>
    </xf>
    <xf numFmtId="0" fontId="16" fillId="4" borderId="154" xfId="0" applyFont="1" applyFill="1" applyBorder="1" applyAlignment="1">
      <alignment horizontal="center" vertical="center" wrapText="1"/>
    </xf>
    <xf numFmtId="0" fontId="16" fillId="4" borderId="155" xfId="0" applyFont="1" applyFill="1" applyBorder="1" applyAlignment="1">
      <alignment horizontal="center" vertical="center" wrapText="1"/>
    </xf>
    <xf numFmtId="0" fontId="16" fillId="4" borderId="156" xfId="0" applyFont="1" applyFill="1" applyBorder="1" applyAlignment="1">
      <alignment horizontal="center" vertical="center" wrapText="1"/>
    </xf>
    <xf numFmtId="0" fontId="15" fillId="2" borderId="40" xfId="0" applyFont="1" applyFill="1" applyBorder="1" applyAlignment="1">
      <alignment horizontal="left" vertical="top" wrapText="1"/>
    </xf>
    <xf numFmtId="0" fontId="15" fillId="2" borderId="24" xfId="0" applyFont="1" applyFill="1" applyBorder="1" applyAlignment="1">
      <alignment horizontal="left" vertical="top" wrapText="1"/>
    </xf>
    <xf numFmtId="0" fontId="15" fillId="2" borderId="41" xfId="0" applyFont="1" applyFill="1" applyBorder="1" applyAlignment="1">
      <alignment horizontal="left" vertical="top" wrapText="1"/>
    </xf>
    <xf numFmtId="0" fontId="8" fillId="10" borderId="59" xfId="0" applyFont="1" applyFill="1" applyBorder="1" applyAlignment="1">
      <alignment horizontal="center" vertical="top" wrapText="1"/>
    </xf>
    <xf numFmtId="0" fontId="8" fillId="10" borderId="49" xfId="0" applyFont="1" applyFill="1" applyBorder="1" applyAlignment="1">
      <alignment horizontal="center" vertical="top" wrapText="1"/>
    </xf>
    <xf numFmtId="0" fontId="8" fillId="10" borderId="60" xfId="0" applyFont="1" applyFill="1" applyBorder="1" applyAlignment="1">
      <alignment horizontal="center" vertical="top" wrapText="1"/>
    </xf>
    <xf numFmtId="0" fontId="8" fillId="10" borderId="27" xfId="0" applyFont="1" applyFill="1" applyBorder="1" applyAlignment="1">
      <alignment horizontal="left" vertical="top" wrapText="1"/>
    </xf>
    <xf numFmtId="0" fontId="16" fillId="2" borderId="71" xfId="0" applyFont="1" applyFill="1" applyBorder="1" applyAlignment="1">
      <alignment horizontal="center" vertical="center" wrapText="1"/>
    </xf>
    <xf numFmtId="0" fontId="16" fillId="2" borderId="11" xfId="0" applyFont="1" applyFill="1" applyBorder="1" applyAlignment="1">
      <alignment horizontal="center" vertical="center" wrapText="1"/>
    </xf>
    <xf numFmtId="0" fontId="16" fillId="2" borderId="12" xfId="0" applyFont="1" applyFill="1" applyBorder="1" applyAlignment="1">
      <alignment horizontal="center" vertical="center" wrapText="1"/>
    </xf>
    <xf numFmtId="0" fontId="16" fillId="2" borderId="73" xfId="0" applyFont="1" applyFill="1" applyBorder="1" applyAlignment="1">
      <alignment horizontal="center" vertical="center" wrapText="1"/>
    </xf>
    <xf numFmtId="0" fontId="16" fillId="2" borderId="14" xfId="0" applyFont="1" applyFill="1" applyBorder="1" applyAlignment="1">
      <alignment horizontal="center" vertical="center" wrapText="1"/>
    </xf>
    <xf numFmtId="0" fontId="16" fillId="2" borderId="15" xfId="0" applyFont="1" applyFill="1" applyBorder="1" applyAlignment="1">
      <alignment horizontal="center" vertical="center" wrapText="1"/>
    </xf>
    <xf numFmtId="0" fontId="16" fillId="2" borderId="9" xfId="0" applyFont="1" applyFill="1" applyBorder="1" applyAlignment="1">
      <alignment horizontal="center" vertical="center" wrapText="1"/>
    </xf>
    <xf numFmtId="0" fontId="16" fillId="2" borderId="8" xfId="0" applyFont="1" applyFill="1" applyBorder="1" applyAlignment="1">
      <alignment horizontal="center" vertical="center" wrapText="1"/>
    </xf>
  </cellXfs>
  <cellStyles count="4">
    <cellStyle name="Hyperlink" xfId="3" builtinId="8"/>
    <cellStyle name="Neutral" xfId="2" builtinId="28"/>
    <cellStyle name="Normal" xfId="0" builtinId="0"/>
    <cellStyle name="Normal 3" xfId="1"/>
  </cellStyles>
  <dxfs count="213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0000"/>
        </patternFill>
      </fill>
      <border>
        <left style="thin">
          <color rgb="FFC00000"/>
        </left>
        <right style="thin">
          <color rgb="FFC00000"/>
        </right>
        <top style="thin">
          <color rgb="FFC00000"/>
        </top>
        <bottom style="thin">
          <color rgb="FFC00000"/>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1"/>
      </font>
      <fill>
        <patternFill>
          <bgColor rgb="FFFFFF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font>
      <fill>
        <patternFill>
          <bgColor rgb="FFFF00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1"/>
      </font>
      <fill>
        <patternFill>
          <bgColor rgb="FFFFFF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val="0"/>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theme="0"/>
        </patternFill>
      </fill>
    </dxf>
    <dxf>
      <font>
        <color theme="0"/>
      </font>
      <fill>
        <patternFill>
          <bgColor theme="0"/>
        </patternFill>
      </fill>
    </dxf>
    <dxf>
      <font>
        <b/>
        <i val="0"/>
        <color theme="1"/>
      </font>
      <fill>
        <patternFill>
          <bgColor rgb="FFFFFF00"/>
        </patternFill>
      </fill>
    </dxf>
    <dxf>
      <font>
        <b/>
        <i val="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theme="0"/>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2133"/>
      <tableStyleElement type="headerRow" dxfId="213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180975</xdr:colOff>
      <xdr:row>1</xdr:row>
      <xdr:rowOff>179917</xdr:rowOff>
    </xdr:from>
    <xdr:to>
      <xdr:col>2</xdr:col>
      <xdr:colOff>1133474</xdr:colOff>
      <xdr:row>1</xdr:row>
      <xdr:rowOff>876300</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15575" y="179917"/>
          <a:ext cx="952499" cy="696383"/>
        </a:xfrm>
        <a:prstGeom prst="rect">
          <a:avLst/>
        </a:prstGeom>
      </xdr:spPr>
    </xdr:pic>
    <xdr:clientData/>
  </xdr:twoCellAnchor>
  <xdr:twoCellAnchor editAs="oneCell">
    <xdr:from>
      <xdr:col>3</xdr:col>
      <xdr:colOff>235228</xdr:colOff>
      <xdr:row>1</xdr:row>
      <xdr:rowOff>190501</xdr:rowOff>
    </xdr:from>
    <xdr:to>
      <xdr:col>4</xdr:col>
      <xdr:colOff>542924</xdr:colOff>
      <xdr:row>1</xdr:row>
      <xdr:rowOff>933451</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11979554" y="190501"/>
          <a:ext cx="850622" cy="742950"/>
        </a:xfrm>
        <a:prstGeom prst="rect">
          <a:avLst/>
        </a:prstGeom>
        <a:noFill/>
        <a:ln>
          <a:noFill/>
        </a:ln>
      </xdr:spPr>
    </xdr:pic>
    <xdr:clientData/>
  </xdr:twoCellAnchor>
  <xdr:twoCellAnchor editAs="oneCell">
    <xdr:from>
      <xdr:col>6</xdr:col>
      <xdr:colOff>198682</xdr:colOff>
      <xdr:row>1</xdr:row>
      <xdr:rowOff>101602</xdr:rowOff>
    </xdr:from>
    <xdr:to>
      <xdr:col>9</xdr:col>
      <xdr:colOff>123825</xdr:colOff>
      <xdr:row>1</xdr:row>
      <xdr:rowOff>933450</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13438432" y="101602"/>
          <a:ext cx="1553919" cy="831848"/>
        </a:xfrm>
        <a:prstGeom prst="rect">
          <a:avLst/>
        </a:prstGeom>
        <a:noFill/>
        <a:ln>
          <a:noFill/>
        </a:ln>
      </xdr:spPr>
    </xdr:pic>
    <xdr:clientData/>
  </xdr:twoCellAnchor>
  <xdr:twoCellAnchor editAs="oneCell">
    <xdr:from>
      <xdr:col>10</xdr:col>
      <xdr:colOff>409574</xdr:colOff>
      <xdr:row>1</xdr:row>
      <xdr:rowOff>447675</xdr:rowOff>
    </xdr:from>
    <xdr:to>
      <xdr:col>15</xdr:col>
      <xdr:colOff>401393</xdr:colOff>
      <xdr:row>1</xdr:row>
      <xdr:rowOff>829484</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15821024" y="447675"/>
          <a:ext cx="2706445" cy="381809"/>
        </a:xfrm>
        <a:prstGeom prst="rect">
          <a:avLst/>
        </a:prstGeom>
        <a:noFill/>
        <a:ln>
          <a:noFill/>
        </a:ln>
      </xdr:spPr>
    </xdr:pic>
    <xdr:clientData/>
  </xdr:twoCellAnchor>
  <xdr:twoCellAnchor editAs="oneCell">
    <xdr:from>
      <xdr:col>17</xdr:col>
      <xdr:colOff>205316</xdr:colOff>
      <xdr:row>1</xdr:row>
      <xdr:rowOff>170392</xdr:rowOff>
    </xdr:from>
    <xdr:to>
      <xdr:col>21</xdr:col>
      <xdr:colOff>504825</xdr:colOff>
      <xdr:row>1</xdr:row>
      <xdr:rowOff>942975</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19417242" y="170392"/>
          <a:ext cx="2499784" cy="772583"/>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I440"/>
  <sheetViews>
    <sheetView showGridLines="0" showWhiteSpace="0" zoomScale="40" zoomScaleNormal="40" zoomScalePageLayoutView="30" workbookViewId="0">
      <pane xSplit="4" ySplit="2" topLeftCell="E110" activePane="bottomRight" state="frozen"/>
      <selection pane="topRight" activeCell="D1" sqref="D1"/>
      <selection pane="bottomLeft" activeCell="A3" sqref="A3"/>
      <selection pane="bottomRight" activeCell="E131" sqref="E131"/>
    </sheetView>
  </sheetViews>
  <sheetFormatPr defaultColWidth="9" defaultRowHeight="28.5" x14ac:dyDescent="0.45"/>
  <cols>
    <col min="1" max="1" width="6.42578125" style="379" customWidth="1"/>
    <col min="2" max="2" width="35.42578125" style="720" customWidth="1" collapsed="1"/>
    <col min="3" max="3" width="81" style="432" customWidth="1" collapsed="1"/>
    <col min="4" max="4" width="30.85546875" style="735" customWidth="1" collapsed="1"/>
    <col min="5" max="5" width="229.7109375" style="433" customWidth="1" collapsed="1"/>
    <col min="6" max="6" width="120" style="434" customWidth="1" collapsed="1"/>
    <col min="7" max="35" width="9" style="763"/>
    <col min="36" max="139" width="9" style="763" collapsed="1"/>
    <col min="140" max="16384" width="9" style="379" collapsed="1"/>
  </cols>
  <sheetData>
    <row r="1" spans="2:139" ht="79.5" customHeight="1" x14ac:dyDescent="0.45">
      <c r="B1" s="1157" t="s">
        <v>90</v>
      </c>
      <c r="C1" s="1158"/>
      <c r="D1" s="1158"/>
      <c r="E1" s="1158"/>
      <c r="F1" s="766"/>
    </row>
    <row r="2" spans="2:139" s="380" customFormat="1" x14ac:dyDescent="0.45">
      <c r="B2" s="718" t="s">
        <v>35</v>
      </c>
      <c r="C2" s="381" t="s">
        <v>36</v>
      </c>
      <c r="D2" s="721" t="s">
        <v>120</v>
      </c>
      <c r="E2" s="382" t="s">
        <v>34</v>
      </c>
      <c r="F2" s="767" t="s">
        <v>109</v>
      </c>
      <c r="G2" s="769"/>
      <c r="H2" s="769"/>
      <c r="I2" s="769"/>
      <c r="J2" s="769"/>
      <c r="K2" s="769"/>
      <c r="L2" s="769"/>
      <c r="M2" s="769"/>
      <c r="N2" s="769"/>
      <c r="O2" s="769"/>
      <c r="P2" s="769"/>
      <c r="Q2" s="769"/>
      <c r="R2" s="769"/>
      <c r="S2" s="769"/>
      <c r="T2" s="769"/>
      <c r="U2" s="769"/>
      <c r="V2" s="769"/>
      <c r="W2" s="769"/>
      <c r="X2" s="769"/>
      <c r="Y2" s="769"/>
      <c r="Z2" s="769"/>
      <c r="AA2" s="769"/>
      <c r="AB2" s="769"/>
      <c r="AC2" s="769"/>
      <c r="AD2" s="769"/>
      <c r="AE2" s="769"/>
      <c r="AF2" s="769"/>
      <c r="AG2" s="769"/>
      <c r="AH2" s="769"/>
      <c r="AI2" s="769"/>
      <c r="AJ2" s="769"/>
      <c r="AK2" s="769"/>
      <c r="AL2" s="769"/>
      <c r="AM2" s="769"/>
      <c r="AN2" s="769"/>
      <c r="AO2" s="769"/>
      <c r="AP2" s="769"/>
      <c r="AQ2" s="769"/>
      <c r="AR2" s="769"/>
      <c r="AS2" s="769"/>
      <c r="AT2" s="769"/>
      <c r="AU2" s="769"/>
      <c r="AV2" s="769"/>
      <c r="AW2" s="769"/>
      <c r="AX2" s="769"/>
      <c r="AY2" s="769"/>
      <c r="AZ2" s="769"/>
      <c r="BA2" s="769"/>
      <c r="BB2" s="769"/>
      <c r="BC2" s="769"/>
      <c r="BD2" s="769"/>
      <c r="BE2" s="769"/>
      <c r="BF2" s="769"/>
      <c r="BG2" s="769"/>
      <c r="BH2" s="769"/>
      <c r="BI2" s="769"/>
      <c r="BJ2" s="769"/>
      <c r="BK2" s="769"/>
      <c r="BL2" s="769"/>
      <c r="BM2" s="769"/>
      <c r="BN2" s="769"/>
      <c r="BO2" s="769"/>
      <c r="BP2" s="769"/>
      <c r="BQ2" s="769"/>
      <c r="BR2" s="769"/>
      <c r="BS2" s="769"/>
      <c r="BT2" s="769"/>
      <c r="BU2" s="769"/>
      <c r="BV2" s="769"/>
      <c r="BW2" s="769"/>
      <c r="BX2" s="769"/>
      <c r="BY2" s="769"/>
      <c r="BZ2" s="769"/>
      <c r="CA2" s="769"/>
      <c r="CB2" s="769"/>
      <c r="CC2" s="769"/>
      <c r="CD2" s="769"/>
      <c r="CE2" s="769"/>
      <c r="CF2" s="769"/>
      <c r="CG2" s="769"/>
      <c r="CH2" s="769"/>
      <c r="CI2" s="769"/>
      <c r="CJ2" s="769"/>
      <c r="CK2" s="769"/>
      <c r="CL2" s="769"/>
      <c r="CM2" s="769"/>
      <c r="CN2" s="769"/>
      <c r="CO2" s="769"/>
      <c r="CP2" s="769"/>
      <c r="CQ2" s="769"/>
      <c r="CR2" s="769"/>
      <c r="CS2" s="769"/>
      <c r="CT2" s="769"/>
      <c r="CU2" s="769"/>
      <c r="CV2" s="769"/>
      <c r="CW2" s="769"/>
      <c r="CX2" s="769"/>
      <c r="CY2" s="769"/>
      <c r="CZ2" s="769"/>
      <c r="DA2" s="769"/>
      <c r="DB2" s="769"/>
      <c r="DC2" s="769"/>
      <c r="DD2" s="769"/>
      <c r="DE2" s="769"/>
      <c r="DF2" s="769"/>
      <c r="DG2" s="769"/>
      <c r="DH2" s="769"/>
      <c r="DI2" s="769"/>
      <c r="DJ2" s="769"/>
      <c r="DK2" s="769"/>
      <c r="DL2" s="769"/>
      <c r="DM2" s="769"/>
      <c r="DN2" s="769"/>
      <c r="DO2" s="769"/>
      <c r="DP2" s="769"/>
      <c r="DQ2" s="769"/>
      <c r="DR2" s="769"/>
      <c r="DS2" s="769"/>
      <c r="DT2" s="769"/>
      <c r="DU2" s="769"/>
      <c r="DV2" s="769"/>
      <c r="DW2" s="769"/>
      <c r="DX2" s="769"/>
      <c r="DY2" s="769"/>
      <c r="DZ2" s="769"/>
      <c r="EA2" s="769"/>
      <c r="EB2" s="769"/>
      <c r="EC2" s="769"/>
      <c r="ED2" s="769"/>
      <c r="EE2" s="769"/>
      <c r="EF2" s="769"/>
      <c r="EG2" s="769"/>
      <c r="EH2" s="769"/>
      <c r="EI2" s="769"/>
    </row>
    <row r="3" spans="2:139" s="380" customFormat="1" ht="7.5" customHeight="1" x14ac:dyDescent="0.45">
      <c r="B3" s="719"/>
      <c r="C3" s="383"/>
      <c r="D3" s="722"/>
      <c r="E3" s="384"/>
      <c r="F3" s="768"/>
      <c r="G3" s="769"/>
      <c r="H3" s="769"/>
      <c r="I3" s="769"/>
      <c r="J3" s="769"/>
      <c r="K3" s="769"/>
      <c r="L3" s="769"/>
      <c r="M3" s="769"/>
      <c r="N3" s="769"/>
      <c r="O3" s="769"/>
      <c r="P3" s="769"/>
      <c r="Q3" s="769"/>
      <c r="R3" s="769"/>
      <c r="S3" s="769"/>
      <c r="T3" s="769"/>
      <c r="U3" s="769"/>
      <c r="V3" s="769"/>
      <c r="W3" s="769"/>
      <c r="X3" s="769"/>
      <c r="Y3" s="769"/>
      <c r="Z3" s="769"/>
      <c r="AA3" s="769"/>
      <c r="AB3" s="769"/>
      <c r="AC3" s="769"/>
      <c r="AD3" s="769"/>
      <c r="AE3" s="769"/>
      <c r="AF3" s="769"/>
      <c r="AG3" s="769"/>
      <c r="AH3" s="769"/>
      <c r="AI3" s="769"/>
      <c r="AJ3" s="769"/>
      <c r="AK3" s="769"/>
      <c r="AL3" s="769"/>
      <c r="AM3" s="769"/>
      <c r="AN3" s="769"/>
      <c r="AO3" s="769"/>
      <c r="AP3" s="769"/>
      <c r="AQ3" s="769"/>
      <c r="AR3" s="769"/>
      <c r="AS3" s="769"/>
      <c r="AT3" s="769"/>
      <c r="AU3" s="769"/>
      <c r="AV3" s="769"/>
      <c r="AW3" s="769"/>
      <c r="AX3" s="769"/>
      <c r="AY3" s="769"/>
      <c r="AZ3" s="769"/>
      <c r="BA3" s="769"/>
      <c r="BB3" s="769"/>
      <c r="BC3" s="769"/>
      <c r="BD3" s="769"/>
      <c r="BE3" s="769"/>
      <c r="BF3" s="769"/>
      <c r="BG3" s="769"/>
      <c r="BH3" s="769"/>
      <c r="BI3" s="769"/>
      <c r="BJ3" s="769"/>
      <c r="BK3" s="769"/>
      <c r="BL3" s="769"/>
      <c r="BM3" s="769"/>
      <c r="BN3" s="769"/>
      <c r="BO3" s="769"/>
      <c r="BP3" s="769"/>
      <c r="BQ3" s="769"/>
      <c r="BR3" s="769"/>
      <c r="BS3" s="769"/>
      <c r="BT3" s="769"/>
      <c r="BU3" s="769"/>
      <c r="BV3" s="769"/>
      <c r="BW3" s="769"/>
      <c r="BX3" s="769"/>
      <c r="BY3" s="769"/>
      <c r="BZ3" s="769"/>
      <c r="CA3" s="769"/>
      <c r="CB3" s="769"/>
      <c r="CC3" s="769"/>
      <c r="CD3" s="769"/>
      <c r="CE3" s="769"/>
      <c r="CF3" s="769"/>
      <c r="CG3" s="769"/>
      <c r="CH3" s="769"/>
      <c r="CI3" s="769"/>
      <c r="CJ3" s="769"/>
      <c r="CK3" s="769"/>
      <c r="CL3" s="769"/>
      <c r="CM3" s="769"/>
      <c r="CN3" s="769"/>
      <c r="CO3" s="769"/>
      <c r="CP3" s="769"/>
      <c r="CQ3" s="769"/>
      <c r="CR3" s="769"/>
      <c r="CS3" s="769"/>
      <c r="CT3" s="769"/>
      <c r="CU3" s="769"/>
      <c r="CV3" s="769"/>
      <c r="CW3" s="769"/>
      <c r="CX3" s="769"/>
      <c r="CY3" s="769"/>
      <c r="CZ3" s="769"/>
      <c r="DA3" s="769"/>
      <c r="DB3" s="769"/>
      <c r="DC3" s="769"/>
      <c r="DD3" s="769"/>
      <c r="DE3" s="769"/>
      <c r="DF3" s="769"/>
      <c r="DG3" s="769"/>
      <c r="DH3" s="769"/>
      <c r="DI3" s="769"/>
      <c r="DJ3" s="769"/>
      <c r="DK3" s="769"/>
      <c r="DL3" s="769"/>
      <c r="DM3" s="769"/>
      <c r="DN3" s="769"/>
      <c r="DO3" s="769"/>
      <c r="DP3" s="769"/>
      <c r="DQ3" s="769"/>
      <c r="DR3" s="769"/>
      <c r="DS3" s="769"/>
      <c r="DT3" s="769"/>
      <c r="DU3" s="769"/>
      <c r="DV3" s="769"/>
      <c r="DW3" s="769"/>
      <c r="DX3" s="769"/>
      <c r="DY3" s="769"/>
      <c r="DZ3" s="769"/>
      <c r="EA3" s="769"/>
      <c r="EB3" s="769"/>
      <c r="EC3" s="769"/>
      <c r="ED3" s="769"/>
      <c r="EE3" s="769"/>
      <c r="EF3" s="769"/>
      <c r="EG3" s="769"/>
      <c r="EH3" s="769"/>
      <c r="EI3" s="769"/>
    </row>
    <row r="4" spans="2:139" s="380" customFormat="1" ht="29.25" hidden="1" thickBot="1" x14ac:dyDescent="0.5">
      <c r="B4" s="1166" t="s">
        <v>429</v>
      </c>
      <c r="C4" s="1167"/>
      <c r="D4" s="1167"/>
      <c r="E4" s="1167"/>
      <c r="F4" s="1168"/>
      <c r="G4" s="769"/>
      <c r="H4" s="769"/>
      <c r="I4" s="769"/>
      <c r="J4" s="769"/>
      <c r="K4" s="769"/>
      <c r="L4" s="769"/>
      <c r="M4" s="769"/>
      <c r="N4" s="769"/>
      <c r="O4" s="769"/>
      <c r="P4" s="769"/>
      <c r="Q4" s="769"/>
      <c r="R4" s="769"/>
      <c r="S4" s="769"/>
      <c r="T4" s="769"/>
      <c r="U4" s="769"/>
      <c r="V4" s="769"/>
      <c r="W4" s="769"/>
      <c r="X4" s="769"/>
      <c r="Y4" s="769"/>
      <c r="Z4" s="769"/>
      <c r="AA4" s="769"/>
      <c r="AB4" s="769"/>
      <c r="AC4" s="769"/>
      <c r="AD4" s="769"/>
      <c r="AE4" s="769"/>
      <c r="AF4" s="769"/>
      <c r="AG4" s="769"/>
      <c r="AH4" s="769"/>
      <c r="AI4" s="769"/>
      <c r="AJ4" s="769"/>
      <c r="AK4" s="769"/>
      <c r="AL4" s="769"/>
      <c r="AM4" s="769"/>
      <c r="AN4" s="769"/>
      <c r="AO4" s="769"/>
      <c r="AP4" s="769"/>
      <c r="AQ4" s="769"/>
      <c r="AR4" s="769"/>
      <c r="AS4" s="769"/>
      <c r="AT4" s="769"/>
      <c r="AU4" s="769"/>
      <c r="AV4" s="769"/>
      <c r="AW4" s="769"/>
      <c r="AX4" s="769"/>
      <c r="AY4" s="769"/>
      <c r="AZ4" s="769"/>
      <c r="BA4" s="769"/>
      <c r="BB4" s="769"/>
      <c r="BC4" s="769"/>
      <c r="BD4" s="769"/>
      <c r="BE4" s="769"/>
      <c r="BF4" s="769"/>
      <c r="BG4" s="769"/>
      <c r="BH4" s="769"/>
      <c r="BI4" s="769"/>
      <c r="BJ4" s="769"/>
      <c r="BK4" s="769"/>
      <c r="BL4" s="769"/>
      <c r="BM4" s="769"/>
      <c r="BN4" s="769"/>
      <c r="BO4" s="769"/>
      <c r="BP4" s="769"/>
      <c r="BQ4" s="769"/>
      <c r="BR4" s="769"/>
      <c r="BS4" s="769"/>
      <c r="BT4" s="769"/>
      <c r="BU4" s="769"/>
      <c r="BV4" s="769"/>
      <c r="BW4" s="769"/>
      <c r="BX4" s="769"/>
      <c r="BY4" s="769"/>
      <c r="BZ4" s="769"/>
      <c r="CA4" s="769"/>
      <c r="CB4" s="769"/>
      <c r="CC4" s="769"/>
      <c r="CD4" s="769"/>
      <c r="CE4" s="769"/>
      <c r="CF4" s="769"/>
      <c r="CG4" s="769"/>
      <c r="CH4" s="769"/>
      <c r="CI4" s="769"/>
      <c r="CJ4" s="769"/>
      <c r="CK4" s="769"/>
      <c r="CL4" s="769"/>
      <c r="CM4" s="769"/>
      <c r="CN4" s="769"/>
      <c r="CO4" s="769"/>
      <c r="CP4" s="769"/>
      <c r="CQ4" s="769"/>
      <c r="CR4" s="769"/>
      <c r="CS4" s="769"/>
      <c r="CT4" s="769"/>
      <c r="CU4" s="769"/>
      <c r="CV4" s="769"/>
      <c r="CW4" s="769"/>
      <c r="CX4" s="769"/>
      <c r="CY4" s="769"/>
      <c r="CZ4" s="769"/>
      <c r="DA4" s="769"/>
      <c r="DB4" s="769"/>
      <c r="DC4" s="769"/>
      <c r="DD4" s="769"/>
      <c r="DE4" s="769"/>
      <c r="DF4" s="769"/>
      <c r="DG4" s="769"/>
      <c r="DH4" s="769"/>
      <c r="DI4" s="769"/>
      <c r="DJ4" s="769"/>
      <c r="DK4" s="769"/>
      <c r="DL4" s="769"/>
      <c r="DM4" s="769"/>
      <c r="DN4" s="769"/>
      <c r="DO4" s="769"/>
      <c r="DP4" s="769"/>
      <c r="DQ4" s="769"/>
      <c r="DR4" s="769"/>
      <c r="DS4" s="769"/>
      <c r="DT4" s="769"/>
      <c r="DU4" s="769"/>
      <c r="DV4" s="769"/>
      <c r="DW4" s="769"/>
      <c r="DX4" s="769"/>
      <c r="DY4" s="769"/>
      <c r="DZ4" s="769"/>
      <c r="EA4" s="769"/>
      <c r="EB4" s="769"/>
      <c r="EC4" s="769"/>
      <c r="ED4" s="769"/>
      <c r="EE4" s="769"/>
      <c r="EF4" s="769"/>
      <c r="EG4" s="769"/>
      <c r="EH4" s="769"/>
      <c r="EI4" s="769"/>
    </row>
    <row r="5" spans="2:139" hidden="1" x14ac:dyDescent="0.45">
      <c r="B5" s="1104" t="s">
        <v>751</v>
      </c>
      <c r="C5" s="385" t="s">
        <v>650</v>
      </c>
      <c r="D5" s="723" t="s">
        <v>431</v>
      </c>
      <c r="E5" s="386" t="s">
        <v>651</v>
      </c>
      <c r="F5" s="778" t="s">
        <v>869</v>
      </c>
    </row>
    <row r="6" spans="2:139" hidden="1" x14ac:dyDescent="0.45">
      <c r="B6" s="1105"/>
      <c r="C6" s="387" t="s">
        <v>653</v>
      </c>
      <c r="D6" s="724" t="s">
        <v>432</v>
      </c>
      <c r="E6" s="388" t="s">
        <v>654</v>
      </c>
      <c r="F6" s="779" t="s">
        <v>655</v>
      </c>
    </row>
    <row r="7" spans="2:139" ht="29.25" hidden="1" thickBot="1" x14ac:dyDescent="0.5">
      <c r="B7" s="1106"/>
      <c r="C7" s="389" t="s">
        <v>656</v>
      </c>
      <c r="D7" s="725" t="s">
        <v>433</v>
      </c>
      <c r="E7" s="390" t="s">
        <v>657</v>
      </c>
      <c r="F7" s="780" t="s">
        <v>655</v>
      </c>
    </row>
    <row r="8" spans="2:139" s="391" customFormat="1" hidden="1" x14ac:dyDescent="0.45">
      <c r="B8" s="1104" t="s">
        <v>752</v>
      </c>
      <c r="C8" s="392" t="s">
        <v>761</v>
      </c>
      <c r="D8" s="726" t="s">
        <v>754</v>
      </c>
      <c r="E8" s="393" t="s">
        <v>651</v>
      </c>
      <c r="F8" s="781" t="s">
        <v>869</v>
      </c>
      <c r="G8" s="770"/>
      <c r="H8" s="770"/>
      <c r="I8" s="770"/>
      <c r="J8" s="770"/>
      <c r="K8" s="770"/>
      <c r="L8" s="770"/>
      <c r="M8" s="770"/>
      <c r="N8" s="770"/>
      <c r="O8" s="770"/>
      <c r="P8" s="770"/>
      <c r="Q8" s="770"/>
      <c r="R8" s="770"/>
      <c r="S8" s="770"/>
      <c r="T8" s="770"/>
      <c r="U8" s="770"/>
      <c r="V8" s="770"/>
      <c r="W8" s="770"/>
      <c r="X8" s="770"/>
      <c r="Y8" s="770"/>
      <c r="Z8" s="770"/>
      <c r="AA8" s="770"/>
      <c r="AB8" s="770"/>
      <c r="AC8" s="770"/>
      <c r="AD8" s="770"/>
      <c r="AE8" s="770"/>
      <c r="AF8" s="770"/>
      <c r="AG8" s="770"/>
      <c r="AH8" s="770"/>
      <c r="AI8" s="770"/>
      <c r="AJ8" s="770"/>
      <c r="AK8" s="770"/>
      <c r="AL8" s="770"/>
      <c r="AM8" s="770"/>
      <c r="AN8" s="770"/>
      <c r="AO8" s="770"/>
      <c r="AP8" s="770"/>
      <c r="AQ8" s="770"/>
      <c r="AR8" s="770"/>
      <c r="AS8" s="770"/>
      <c r="AT8" s="770"/>
      <c r="AU8" s="770"/>
      <c r="AV8" s="770"/>
      <c r="AW8" s="770"/>
      <c r="AX8" s="770"/>
      <c r="AY8" s="770"/>
      <c r="AZ8" s="770"/>
      <c r="BA8" s="770"/>
      <c r="BB8" s="770"/>
      <c r="BC8" s="770"/>
      <c r="BD8" s="770"/>
      <c r="BE8" s="770"/>
      <c r="BF8" s="770"/>
      <c r="BG8" s="770"/>
      <c r="BH8" s="770"/>
      <c r="BI8" s="770"/>
      <c r="BJ8" s="770"/>
      <c r="BK8" s="770"/>
      <c r="BL8" s="770"/>
      <c r="BM8" s="770"/>
      <c r="BN8" s="770"/>
      <c r="BO8" s="770"/>
      <c r="BP8" s="770"/>
      <c r="BQ8" s="770"/>
      <c r="BR8" s="770"/>
      <c r="BS8" s="770"/>
      <c r="BT8" s="770"/>
      <c r="BU8" s="770"/>
      <c r="BV8" s="770"/>
      <c r="BW8" s="770"/>
      <c r="BX8" s="770"/>
      <c r="BY8" s="770"/>
      <c r="BZ8" s="770"/>
      <c r="CA8" s="770"/>
      <c r="CB8" s="770"/>
      <c r="CC8" s="770"/>
      <c r="CD8" s="770"/>
      <c r="CE8" s="770"/>
      <c r="CF8" s="770"/>
      <c r="CG8" s="770"/>
      <c r="CH8" s="770"/>
      <c r="CI8" s="770"/>
      <c r="CJ8" s="770"/>
      <c r="CK8" s="770"/>
      <c r="CL8" s="770"/>
      <c r="CM8" s="770"/>
      <c r="CN8" s="770"/>
      <c r="CO8" s="770"/>
      <c r="CP8" s="770"/>
      <c r="CQ8" s="770"/>
      <c r="CR8" s="770"/>
      <c r="CS8" s="770"/>
      <c r="CT8" s="770"/>
      <c r="CU8" s="770"/>
      <c r="CV8" s="770"/>
      <c r="CW8" s="770"/>
      <c r="CX8" s="770"/>
      <c r="CY8" s="770"/>
      <c r="CZ8" s="770"/>
      <c r="DA8" s="770"/>
      <c r="DB8" s="770"/>
      <c r="DC8" s="770"/>
      <c r="DD8" s="770"/>
      <c r="DE8" s="770"/>
      <c r="DF8" s="770"/>
      <c r="DG8" s="770"/>
      <c r="DH8" s="770"/>
      <c r="DI8" s="770"/>
      <c r="DJ8" s="770"/>
      <c r="DK8" s="770"/>
      <c r="DL8" s="770"/>
      <c r="DM8" s="770"/>
      <c r="DN8" s="770"/>
      <c r="DO8" s="770"/>
      <c r="DP8" s="770"/>
      <c r="DQ8" s="770"/>
      <c r="DR8" s="770"/>
      <c r="DS8" s="770"/>
      <c r="DT8" s="770"/>
      <c r="DU8" s="770"/>
      <c r="DV8" s="770"/>
      <c r="DW8" s="770"/>
      <c r="DX8" s="770"/>
      <c r="DY8" s="770"/>
      <c r="DZ8" s="770"/>
      <c r="EA8" s="770"/>
      <c r="EB8" s="770"/>
      <c r="EC8" s="770"/>
      <c r="ED8" s="770"/>
      <c r="EE8" s="770"/>
      <c r="EF8" s="770"/>
      <c r="EG8" s="770"/>
      <c r="EH8" s="770"/>
      <c r="EI8" s="770"/>
    </row>
    <row r="9" spans="2:139" s="391" customFormat="1" hidden="1" x14ac:dyDescent="0.45">
      <c r="B9" s="1105"/>
      <c r="C9" s="387" t="s">
        <v>592</v>
      </c>
      <c r="D9" s="724" t="s">
        <v>755</v>
      </c>
      <c r="E9" s="394" t="s">
        <v>654</v>
      </c>
      <c r="F9" s="782" t="s">
        <v>655</v>
      </c>
      <c r="G9" s="770"/>
      <c r="H9" s="770"/>
      <c r="I9" s="770"/>
      <c r="J9" s="770"/>
      <c r="K9" s="770"/>
      <c r="L9" s="770"/>
      <c r="M9" s="770"/>
      <c r="N9" s="770"/>
      <c r="O9" s="770"/>
      <c r="P9" s="770"/>
      <c r="Q9" s="770"/>
      <c r="R9" s="770"/>
      <c r="S9" s="770"/>
      <c r="T9" s="770"/>
      <c r="U9" s="770"/>
      <c r="V9" s="770"/>
      <c r="W9" s="770"/>
      <c r="X9" s="770"/>
      <c r="Y9" s="770"/>
      <c r="Z9" s="770"/>
      <c r="AA9" s="770"/>
      <c r="AB9" s="770"/>
      <c r="AC9" s="770"/>
      <c r="AD9" s="770"/>
      <c r="AE9" s="770"/>
      <c r="AF9" s="770"/>
      <c r="AG9" s="770"/>
      <c r="AH9" s="770"/>
      <c r="AI9" s="770"/>
      <c r="AJ9" s="770"/>
      <c r="AK9" s="770"/>
      <c r="AL9" s="770"/>
      <c r="AM9" s="770"/>
      <c r="AN9" s="770"/>
      <c r="AO9" s="770"/>
      <c r="AP9" s="770"/>
      <c r="AQ9" s="770"/>
      <c r="AR9" s="770"/>
      <c r="AS9" s="770"/>
      <c r="AT9" s="770"/>
      <c r="AU9" s="770"/>
      <c r="AV9" s="770"/>
      <c r="AW9" s="770"/>
      <c r="AX9" s="770"/>
      <c r="AY9" s="770"/>
      <c r="AZ9" s="770"/>
      <c r="BA9" s="770"/>
      <c r="BB9" s="770"/>
      <c r="BC9" s="770"/>
      <c r="BD9" s="770"/>
      <c r="BE9" s="770"/>
      <c r="BF9" s="770"/>
      <c r="BG9" s="770"/>
      <c r="BH9" s="770"/>
      <c r="BI9" s="770"/>
      <c r="BJ9" s="770"/>
      <c r="BK9" s="770"/>
      <c r="BL9" s="770"/>
      <c r="BM9" s="770"/>
      <c r="BN9" s="770"/>
      <c r="BO9" s="770"/>
      <c r="BP9" s="770"/>
      <c r="BQ9" s="770"/>
      <c r="BR9" s="770"/>
      <c r="BS9" s="770"/>
      <c r="BT9" s="770"/>
      <c r="BU9" s="770"/>
      <c r="BV9" s="770"/>
      <c r="BW9" s="770"/>
      <c r="BX9" s="770"/>
      <c r="BY9" s="770"/>
      <c r="BZ9" s="770"/>
      <c r="CA9" s="770"/>
      <c r="CB9" s="770"/>
      <c r="CC9" s="770"/>
      <c r="CD9" s="770"/>
      <c r="CE9" s="770"/>
      <c r="CF9" s="770"/>
      <c r="CG9" s="770"/>
      <c r="CH9" s="770"/>
      <c r="CI9" s="770"/>
      <c r="CJ9" s="770"/>
      <c r="CK9" s="770"/>
      <c r="CL9" s="770"/>
      <c r="CM9" s="770"/>
      <c r="CN9" s="770"/>
      <c r="CO9" s="770"/>
      <c r="CP9" s="770"/>
      <c r="CQ9" s="770"/>
      <c r="CR9" s="770"/>
      <c r="CS9" s="770"/>
      <c r="CT9" s="770"/>
      <c r="CU9" s="770"/>
      <c r="CV9" s="770"/>
      <c r="CW9" s="770"/>
      <c r="CX9" s="770"/>
      <c r="CY9" s="770"/>
      <c r="CZ9" s="770"/>
      <c r="DA9" s="770"/>
      <c r="DB9" s="770"/>
      <c r="DC9" s="770"/>
      <c r="DD9" s="770"/>
      <c r="DE9" s="770"/>
      <c r="DF9" s="770"/>
      <c r="DG9" s="770"/>
      <c r="DH9" s="770"/>
      <c r="DI9" s="770"/>
      <c r="DJ9" s="770"/>
      <c r="DK9" s="770"/>
      <c r="DL9" s="770"/>
      <c r="DM9" s="770"/>
      <c r="DN9" s="770"/>
      <c r="DO9" s="770"/>
      <c r="DP9" s="770"/>
      <c r="DQ9" s="770"/>
      <c r="DR9" s="770"/>
      <c r="DS9" s="770"/>
      <c r="DT9" s="770"/>
      <c r="DU9" s="770"/>
      <c r="DV9" s="770"/>
      <c r="DW9" s="770"/>
      <c r="DX9" s="770"/>
      <c r="DY9" s="770"/>
      <c r="DZ9" s="770"/>
      <c r="EA9" s="770"/>
      <c r="EB9" s="770"/>
      <c r="EC9" s="770"/>
      <c r="ED9" s="770"/>
      <c r="EE9" s="770"/>
      <c r="EF9" s="770"/>
      <c r="EG9" s="770"/>
      <c r="EH9" s="770"/>
      <c r="EI9" s="770"/>
    </row>
    <row r="10" spans="2:139" s="391" customFormat="1" ht="29.25" hidden="1" thickBot="1" x14ac:dyDescent="0.5">
      <c r="B10" s="1106"/>
      <c r="C10" s="389" t="s">
        <v>430</v>
      </c>
      <c r="D10" s="725" t="s">
        <v>756</v>
      </c>
      <c r="E10" s="395" t="s">
        <v>657</v>
      </c>
      <c r="F10" s="783" t="s">
        <v>655</v>
      </c>
      <c r="G10" s="770"/>
      <c r="H10" s="770"/>
      <c r="I10" s="770"/>
      <c r="J10" s="770"/>
      <c r="K10" s="770"/>
      <c r="L10" s="770"/>
      <c r="M10" s="770"/>
      <c r="N10" s="770"/>
      <c r="O10" s="770"/>
      <c r="P10" s="770"/>
      <c r="Q10" s="770"/>
      <c r="R10" s="770"/>
      <c r="S10" s="770"/>
      <c r="T10" s="770"/>
      <c r="U10" s="770"/>
      <c r="V10" s="770"/>
      <c r="W10" s="770"/>
      <c r="X10" s="770"/>
      <c r="Y10" s="770"/>
      <c r="Z10" s="770"/>
      <c r="AA10" s="770"/>
      <c r="AB10" s="770"/>
      <c r="AC10" s="770"/>
      <c r="AD10" s="770"/>
      <c r="AE10" s="770"/>
      <c r="AF10" s="770"/>
      <c r="AG10" s="770"/>
      <c r="AH10" s="770"/>
      <c r="AI10" s="770"/>
      <c r="AJ10" s="770"/>
      <c r="AK10" s="770"/>
      <c r="AL10" s="770"/>
      <c r="AM10" s="770"/>
      <c r="AN10" s="770"/>
      <c r="AO10" s="770"/>
      <c r="AP10" s="770"/>
      <c r="AQ10" s="770"/>
      <c r="AR10" s="770"/>
      <c r="AS10" s="770"/>
      <c r="AT10" s="770"/>
      <c r="AU10" s="770"/>
      <c r="AV10" s="770"/>
      <c r="AW10" s="770"/>
      <c r="AX10" s="770"/>
      <c r="AY10" s="770"/>
      <c r="AZ10" s="770"/>
      <c r="BA10" s="770"/>
      <c r="BB10" s="770"/>
      <c r="BC10" s="770"/>
      <c r="BD10" s="770"/>
      <c r="BE10" s="770"/>
      <c r="BF10" s="770"/>
      <c r="BG10" s="770"/>
      <c r="BH10" s="770"/>
      <c r="BI10" s="770"/>
      <c r="BJ10" s="770"/>
      <c r="BK10" s="770"/>
      <c r="BL10" s="770"/>
      <c r="BM10" s="770"/>
      <c r="BN10" s="770"/>
      <c r="BO10" s="770"/>
      <c r="BP10" s="770"/>
      <c r="BQ10" s="770"/>
      <c r="BR10" s="770"/>
      <c r="BS10" s="770"/>
      <c r="BT10" s="770"/>
      <c r="BU10" s="770"/>
      <c r="BV10" s="770"/>
      <c r="BW10" s="770"/>
      <c r="BX10" s="770"/>
      <c r="BY10" s="770"/>
      <c r="BZ10" s="770"/>
      <c r="CA10" s="770"/>
      <c r="CB10" s="770"/>
      <c r="CC10" s="770"/>
      <c r="CD10" s="770"/>
      <c r="CE10" s="770"/>
      <c r="CF10" s="770"/>
      <c r="CG10" s="770"/>
      <c r="CH10" s="770"/>
      <c r="CI10" s="770"/>
      <c r="CJ10" s="770"/>
      <c r="CK10" s="770"/>
      <c r="CL10" s="770"/>
      <c r="CM10" s="770"/>
      <c r="CN10" s="770"/>
      <c r="CO10" s="770"/>
      <c r="CP10" s="770"/>
      <c r="CQ10" s="770"/>
      <c r="CR10" s="770"/>
      <c r="CS10" s="770"/>
      <c r="CT10" s="770"/>
      <c r="CU10" s="770"/>
      <c r="CV10" s="770"/>
      <c r="CW10" s="770"/>
      <c r="CX10" s="770"/>
      <c r="CY10" s="770"/>
      <c r="CZ10" s="770"/>
      <c r="DA10" s="770"/>
      <c r="DB10" s="770"/>
      <c r="DC10" s="770"/>
      <c r="DD10" s="770"/>
      <c r="DE10" s="770"/>
      <c r="DF10" s="770"/>
      <c r="DG10" s="770"/>
      <c r="DH10" s="770"/>
      <c r="DI10" s="770"/>
      <c r="DJ10" s="770"/>
      <c r="DK10" s="770"/>
      <c r="DL10" s="770"/>
      <c r="DM10" s="770"/>
      <c r="DN10" s="770"/>
      <c r="DO10" s="770"/>
      <c r="DP10" s="770"/>
      <c r="DQ10" s="770"/>
      <c r="DR10" s="770"/>
      <c r="DS10" s="770"/>
      <c r="DT10" s="770"/>
      <c r="DU10" s="770"/>
      <c r="DV10" s="770"/>
      <c r="DW10" s="770"/>
      <c r="DX10" s="770"/>
      <c r="DY10" s="770"/>
      <c r="DZ10" s="770"/>
      <c r="EA10" s="770"/>
      <c r="EB10" s="770"/>
      <c r="EC10" s="770"/>
      <c r="ED10" s="770"/>
      <c r="EE10" s="770"/>
      <c r="EF10" s="770"/>
      <c r="EG10" s="770"/>
      <c r="EH10" s="770"/>
      <c r="EI10" s="770"/>
    </row>
    <row r="11" spans="2:139" s="391" customFormat="1" ht="57" hidden="1" x14ac:dyDescent="0.45">
      <c r="B11" s="1107" t="s">
        <v>753</v>
      </c>
      <c r="C11" s="396" t="s">
        <v>762</v>
      </c>
      <c r="D11" s="726" t="s">
        <v>758</v>
      </c>
      <c r="E11" s="393" t="s">
        <v>651</v>
      </c>
      <c r="F11" s="781" t="s">
        <v>652</v>
      </c>
      <c r="G11" s="770"/>
      <c r="H11" s="770"/>
      <c r="I11" s="770"/>
      <c r="J11" s="770"/>
      <c r="K11" s="770"/>
      <c r="L11" s="770"/>
      <c r="M11" s="770"/>
      <c r="N11" s="770"/>
      <c r="O11" s="770"/>
      <c r="P11" s="770"/>
      <c r="Q11" s="770"/>
      <c r="R11" s="770"/>
      <c r="S11" s="770"/>
      <c r="T11" s="770"/>
      <c r="U11" s="770"/>
      <c r="V11" s="770"/>
      <c r="W11" s="770"/>
      <c r="X11" s="770"/>
      <c r="Y11" s="770"/>
      <c r="Z11" s="770"/>
      <c r="AA11" s="770"/>
      <c r="AB11" s="770"/>
      <c r="AC11" s="770"/>
      <c r="AD11" s="770"/>
      <c r="AE11" s="770"/>
      <c r="AF11" s="770"/>
      <c r="AG11" s="770"/>
      <c r="AH11" s="770"/>
      <c r="AI11" s="770"/>
      <c r="AJ11" s="770"/>
      <c r="AK11" s="770"/>
      <c r="AL11" s="770"/>
      <c r="AM11" s="770"/>
      <c r="AN11" s="770"/>
      <c r="AO11" s="770"/>
      <c r="AP11" s="770"/>
      <c r="AQ11" s="770"/>
      <c r="AR11" s="770"/>
      <c r="AS11" s="770"/>
      <c r="AT11" s="770"/>
      <c r="AU11" s="770"/>
      <c r="AV11" s="770"/>
      <c r="AW11" s="770"/>
      <c r="AX11" s="770"/>
      <c r="AY11" s="770"/>
      <c r="AZ11" s="770"/>
      <c r="BA11" s="770"/>
      <c r="BB11" s="770"/>
      <c r="BC11" s="770"/>
      <c r="BD11" s="770"/>
      <c r="BE11" s="770"/>
      <c r="BF11" s="770"/>
      <c r="BG11" s="770"/>
      <c r="BH11" s="770"/>
      <c r="BI11" s="770"/>
      <c r="BJ11" s="770"/>
      <c r="BK11" s="770"/>
      <c r="BL11" s="770"/>
      <c r="BM11" s="770"/>
      <c r="BN11" s="770"/>
      <c r="BO11" s="770"/>
      <c r="BP11" s="770"/>
      <c r="BQ11" s="770"/>
      <c r="BR11" s="770"/>
      <c r="BS11" s="770"/>
      <c r="BT11" s="770"/>
      <c r="BU11" s="770"/>
      <c r="BV11" s="770"/>
      <c r="BW11" s="770"/>
      <c r="BX11" s="770"/>
      <c r="BY11" s="770"/>
      <c r="BZ11" s="770"/>
      <c r="CA11" s="770"/>
      <c r="CB11" s="770"/>
      <c r="CC11" s="770"/>
      <c r="CD11" s="770"/>
      <c r="CE11" s="770"/>
      <c r="CF11" s="770"/>
      <c r="CG11" s="770"/>
      <c r="CH11" s="770"/>
      <c r="CI11" s="770"/>
      <c r="CJ11" s="770"/>
      <c r="CK11" s="770"/>
      <c r="CL11" s="770"/>
      <c r="CM11" s="770"/>
      <c r="CN11" s="770"/>
      <c r="CO11" s="770"/>
      <c r="CP11" s="770"/>
      <c r="CQ11" s="770"/>
      <c r="CR11" s="770"/>
      <c r="CS11" s="770"/>
      <c r="CT11" s="770"/>
      <c r="CU11" s="770"/>
      <c r="CV11" s="770"/>
      <c r="CW11" s="770"/>
      <c r="CX11" s="770"/>
      <c r="CY11" s="770"/>
      <c r="CZ11" s="770"/>
      <c r="DA11" s="770"/>
      <c r="DB11" s="770"/>
      <c r="DC11" s="770"/>
      <c r="DD11" s="770"/>
      <c r="DE11" s="770"/>
      <c r="DF11" s="770"/>
      <c r="DG11" s="770"/>
      <c r="DH11" s="770"/>
      <c r="DI11" s="770"/>
      <c r="DJ11" s="770"/>
      <c r="DK11" s="770"/>
      <c r="DL11" s="770"/>
      <c r="DM11" s="770"/>
      <c r="DN11" s="770"/>
      <c r="DO11" s="770"/>
      <c r="DP11" s="770"/>
      <c r="DQ11" s="770"/>
      <c r="DR11" s="770"/>
      <c r="DS11" s="770"/>
      <c r="DT11" s="770"/>
      <c r="DU11" s="770"/>
      <c r="DV11" s="770"/>
      <c r="DW11" s="770"/>
      <c r="DX11" s="770"/>
      <c r="DY11" s="770"/>
      <c r="DZ11" s="770"/>
      <c r="EA11" s="770"/>
      <c r="EB11" s="770"/>
      <c r="EC11" s="770"/>
      <c r="ED11" s="770"/>
      <c r="EE11" s="770"/>
      <c r="EF11" s="770"/>
      <c r="EG11" s="770"/>
      <c r="EH11" s="770"/>
      <c r="EI11" s="770"/>
    </row>
    <row r="12" spans="2:139" s="391" customFormat="1" hidden="1" x14ac:dyDescent="0.45">
      <c r="B12" s="1108"/>
      <c r="C12" s="456" t="s">
        <v>592</v>
      </c>
      <c r="D12" s="724" t="s">
        <v>759</v>
      </c>
      <c r="E12" s="394" t="s">
        <v>654</v>
      </c>
      <c r="F12" s="782" t="s">
        <v>655</v>
      </c>
      <c r="G12" s="770"/>
      <c r="H12" s="770"/>
      <c r="I12" s="770"/>
      <c r="J12" s="770"/>
      <c r="K12" s="770"/>
      <c r="L12" s="770"/>
      <c r="M12" s="770"/>
      <c r="N12" s="770"/>
      <c r="O12" s="770"/>
      <c r="P12" s="770"/>
      <c r="Q12" s="770"/>
      <c r="R12" s="770"/>
      <c r="S12" s="770"/>
      <c r="T12" s="770"/>
      <c r="U12" s="770"/>
      <c r="V12" s="770"/>
      <c r="W12" s="770"/>
      <c r="X12" s="770"/>
      <c r="Y12" s="770"/>
      <c r="Z12" s="770"/>
      <c r="AA12" s="770"/>
      <c r="AB12" s="770"/>
      <c r="AC12" s="770"/>
      <c r="AD12" s="770"/>
      <c r="AE12" s="770"/>
      <c r="AF12" s="770"/>
      <c r="AG12" s="770"/>
      <c r="AH12" s="770"/>
      <c r="AI12" s="770"/>
      <c r="AJ12" s="770"/>
      <c r="AK12" s="770"/>
      <c r="AL12" s="770"/>
      <c r="AM12" s="770"/>
      <c r="AN12" s="770"/>
      <c r="AO12" s="770"/>
      <c r="AP12" s="770"/>
      <c r="AQ12" s="770"/>
      <c r="AR12" s="770"/>
      <c r="AS12" s="770"/>
      <c r="AT12" s="770"/>
      <c r="AU12" s="770"/>
      <c r="AV12" s="770"/>
      <c r="AW12" s="770"/>
      <c r="AX12" s="770"/>
      <c r="AY12" s="770"/>
      <c r="AZ12" s="770"/>
      <c r="BA12" s="770"/>
      <c r="BB12" s="770"/>
      <c r="BC12" s="770"/>
      <c r="BD12" s="770"/>
      <c r="BE12" s="770"/>
      <c r="BF12" s="770"/>
      <c r="BG12" s="770"/>
      <c r="BH12" s="770"/>
      <c r="BI12" s="770"/>
      <c r="BJ12" s="770"/>
      <c r="BK12" s="770"/>
      <c r="BL12" s="770"/>
      <c r="BM12" s="770"/>
      <c r="BN12" s="770"/>
      <c r="BO12" s="770"/>
      <c r="BP12" s="770"/>
      <c r="BQ12" s="770"/>
      <c r="BR12" s="770"/>
      <c r="BS12" s="770"/>
      <c r="BT12" s="770"/>
      <c r="BU12" s="770"/>
      <c r="BV12" s="770"/>
      <c r="BW12" s="770"/>
      <c r="BX12" s="770"/>
      <c r="BY12" s="770"/>
      <c r="BZ12" s="770"/>
      <c r="CA12" s="770"/>
      <c r="CB12" s="770"/>
      <c r="CC12" s="770"/>
      <c r="CD12" s="770"/>
      <c r="CE12" s="770"/>
      <c r="CF12" s="770"/>
      <c r="CG12" s="770"/>
      <c r="CH12" s="770"/>
      <c r="CI12" s="770"/>
      <c r="CJ12" s="770"/>
      <c r="CK12" s="770"/>
      <c r="CL12" s="770"/>
      <c r="CM12" s="770"/>
      <c r="CN12" s="770"/>
      <c r="CO12" s="770"/>
      <c r="CP12" s="770"/>
      <c r="CQ12" s="770"/>
      <c r="CR12" s="770"/>
      <c r="CS12" s="770"/>
      <c r="CT12" s="770"/>
      <c r="CU12" s="770"/>
      <c r="CV12" s="770"/>
      <c r="CW12" s="770"/>
      <c r="CX12" s="770"/>
      <c r="CY12" s="770"/>
      <c r="CZ12" s="770"/>
      <c r="DA12" s="770"/>
      <c r="DB12" s="770"/>
      <c r="DC12" s="770"/>
      <c r="DD12" s="770"/>
      <c r="DE12" s="770"/>
      <c r="DF12" s="770"/>
      <c r="DG12" s="770"/>
      <c r="DH12" s="770"/>
      <c r="DI12" s="770"/>
      <c r="DJ12" s="770"/>
      <c r="DK12" s="770"/>
      <c r="DL12" s="770"/>
      <c r="DM12" s="770"/>
      <c r="DN12" s="770"/>
      <c r="DO12" s="770"/>
      <c r="DP12" s="770"/>
      <c r="DQ12" s="770"/>
      <c r="DR12" s="770"/>
      <c r="DS12" s="770"/>
      <c r="DT12" s="770"/>
      <c r="DU12" s="770"/>
      <c r="DV12" s="770"/>
      <c r="DW12" s="770"/>
      <c r="DX12" s="770"/>
      <c r="DY12" s="770"/>
      <c r="DZ12" s="770"/>
      <c r="EA12" s="770"/>
      <c r="EB12" s="770"/>
      <c r="EC12" s="770"/>
      <c r="ED12" s="770"/>
      <c r="EE12" s="770"/>
      <c r="EF12" s="770"/>
      <c r="EG12" s="770"/>
      <c r="EH12" s="770"/>
      <c r="EI12" s="770"/>
    </row>
    <row r="13" spans="2:139" s="391" customFormat="1" ht="29.25" hidden="1" thickBot="1" x14ac:dyDescent="0.5">
      <c r="B13" s="1109"/>
      <c r="C13" s="397" t="s">
        <v>430</v>
      </c>
      <c r="D13" s="725" t="s">
        <v>760</v>
      </c>
      <c r="E13" s="395" t="s">
        <v>657</v>
      </c>
      <c r="F13" s="783" t="s">
        <v>655</v>
      </c>
      <c r="G13" s="770"/>
      <c r="H13" s="770"/>
      <c r="I13" s="770"/>
      <c r="J13" s="770"/>
      <c r="K13" s="770"/>
      <c r="L13" s="770"/>
      <c r="M13" s="770"/>
      <c r="N13" s="770"/>
      <c r="O13" s="770"/>
      <c r="P13" s="770"/>
      <c r="Q13" s="770"/>
      <c r="R13" s="770"/>
      <c r="S13" s="770"/>
      <c r="T13" s="770"/>
      <c r="U13" s="770"/>
      <c r="V13" s="770"/>
      <c r="W13" s="770"/>
      <c r="X13" s="770"/>
      <c r="Y13" s="770"/>
      <c r="Z13" s="770"/>
      <c r="AA13" s="770"/>
      <c r="AB13" s="770"/>
      <c r="AC13" s="770"/>
      <c r="AD13" s="770"/>
      <c r="AE13" s="770"/>
      <c r="AF13" s="770"/>
      <c r="AG13" s="770"/>
      <c r="AH13" s="770"/>
      <c r="AI13" s="770"/>
      <c r="AJ13" s="770"/>
      <c r="AK13" s="770"/>
      <c r="AL13" s="770"/>
      <c r="AM13" s="770"/>
      <c r="AN13" s="770"/>
      <c r="AO13" s="770"/>
      <c r="AP13" s="770"/>
      <c r="AQ13" s="770"/>
      <c r="AR13" s="770"/>
      <c r="AS13" s="770"/>
      <c r="AT13" s="770"/>
      <c r="AU13" s="770"/>
      <c r="AV13" s="770"/>
      <c r="AW13" s="770"/>
      <c r="AX13" s="770"/>
      <c r="AY13" s="770"/>
      <c r="AZ13" s="770"/>
      <c r="BA13" s="770"/>
      <c r="BB13" s="770"/>
      <c r="BC13" s="770"/>
      <c r="BD13" s="770"/>
      <c r="BE13" s="770"/>
      <c r="BF13" s="770"/>
      <c r="BG13" s="770"/>
      <c r="BH13" s="770"/>
      <c r="BI13" s="770"/>
      <c r="BJ13" s="770"/>
      <c r="BK13" s="770"/>
      <c r="BL13" s="770"/>
      <c r="BM13" s="770"/>
      <c r="BN13" s="770"/>
      <c r="BO13" s="770"/>
      <c r="BP13" s="770"/>
      <c r="BQ13" s="770"/>
      <c r="BR13" s="770"/>
      <c r="BS13" s="770"/>
      <c r="BT13" s="770"/>
      <c r="BU13" s="770"/>
      <c r="BV13" s="770"/>
      <c r="BW13" s="770"/>
      <c r="BX13" s="770"/>
      <c r="BY13" s="770"/>
      <c r="BZ13" s="770"/>
      <c r="CA13" s="770"/>
      <c r="CB13" s="770"/>
      <c r="CC13" s="770"/>
      <c r="CD13" s="770"/>
      <c r="CE13" s="770"/>
      <c r="CF13" s="770"/>
      <c r="CG13" s="770"/>
      <c r="CH13" s="770"/>
      <c r="CI13" s="770"/>
      <c r="CJ13" s="770"/>
      <c r="CK13" s="770"/>
      <c r="CL13" s="770"/>
      <c r="CM13" s="770"/>
      <c r="CN13" s="770"/>
      <c r="CO13" s="770"/>
      <c r="CP13" s="770"/>
      <c r="CQ13" s="770"/>
      <c r="CR13" s="770"/>
      <c r="CS13" s="770"/>
      <c r="CT13" s="770"/>
      <c r="CU13" s="770"/>
      <c r="CV13" s="770"/>
      <c r="CW13" s="770"/>
      <c r="CX13" s="770"/>
      <c r="CY13" s="770"/>
      <c r="CZ13" s="770"/>
      <c r="DA13" s="770"/>
      <c r="DB13" s="770"/>
      <c r="DC13" s="770"/>
      <c r="DD13" s="770"/>
      <c r="DE13" s="770"/>
      <c r="DF13" s="770"/>
      <c r="DG13" s="770"/>
      <c r="DH13" s="770"/>
      <c r="DI13" s="770"/>
      <c r="DJ13" s="770"/>
      <c r="DK13" s="770"/>
      <c r="DL13" s="770"/>
      <c r="DM13" s="770"/>
      <c r="DN13" s="770"/>
      <c r="DO13" s="770"/>
      <c r="DP13" s="770"/>
      <c r="DQ13" s="770"/>
      <c r="DR13" s="770"/>
      <c r="DS13" s="770"/>
      <c r="DT13" s="770"/>
      <c r="DU13" s="770"/>
      <c r="DV13" s="770"/>
      <c r="DW13" s="770"/>
      <c r="DX13" s="770"/>
      <c r="DY13" s="770"/>
      <c r="DZ13" s="770"/>
      <c r="EA13" s="770"/>
      <c r="EB13" s="770"/>
      <c r="EC13" s="770"/>
      <c r="ED13" s="770"/>
      <c r="EE13" s="770"/>
      <c r="EF13" s="770"/>
      <c r="EG13" s="770"/>
      <c r="EH13" s="770"/>
      <c r="EI13" s="770"/>
    </row>
    <row r="14" spans="2:139" ht="29.25" thickBot="1" x14ac:dyDescent="0.5">
      <c r="B14" s="1140" t="s">
        <v>12</v>
      </c>
      <c r="C14" s="1141"/>
      <c r="D14" s="1141"/>
      <c r="E14" s="1141"/>
      <c r="F14" s="1142"/>
    </row>
    <row r="15" spans="2:139" ht="57" x14ac:dyDescent="0.45">
      <c r="B15" s="1143" t="s">
        <v>100</v>
      </c>
      <c r="C15" s="1007" t="s">
        <v>909</v>
      </c>
      <c r="D15" s="727" t="s">
        <v>119</v>
      </c>
      <c r="E15" s="476" t="s">
        <v>72</v>
      </c>
      <c r="F15" s="784" t="s">
        <v>575</v>
      </c>
    </row>
    <row r="16" spans="2:139" ht="57" x14ac:dyDescent="0.45">
      <c r="B16" s="1144"/>
      <c r="C16" s="1008" t="s">
        <v>910</v>
      </c>
      <c r="D16" s="724" t="s">
        <v>121</v>
      </c>
      <c r="E16" s="400" t="s">
        <v>73</v>
      </c>
      <c r="F16" s="785" t="s">
        <v>576</v>
      </c>
    </row>
    <row r="17" spans="2:6" ht="57" x14ac:dyDescent="0.45">
      <c r="B17" s="1144"/>
      <c r="C17" s="399" t="s">
        <v>122</v>
      </c>
      <c r="D17" s="724" t="s">
        <v>308</v>
      </c>
      <c r="E17" s="400" t="s">
        <v>568</v>
      </c>
      <c r="F17" s="785" t="s">
        <v>577</v>
      </c>
    </row>
    <row r="18" spans="2:6" x14ac:dyDescent="0.45">
      <c r="B18" s="1144"/>
      <c r="C18" s="399" t="s">
        <v>951</v>
      </c>
      <c r="D18" s="724" t="s">
        <v>950</v>
      </c>
      <c r="E18" s="400" t="s">
        <v>1372</v>
      </c>
      <c r="F18" s="785"/>
    </row>
    <row r="19" spans="2:6" x14ac:dyDescent="0.45">
      <c r="B19" s="1144"/>
      <c r="C19" s="387" t="s">
        <v>123</v>
      </c>
      <c r="D19" s="724" t="s">
        <v>124</v>
      </c>
      <c r="E19" s="400" t="s">
        <v>41</v>
      </c>
      <c r="F19" s="785" t="s">
        <v>578</v>
      </c>
    </row>
    <row r="20" spans="2:6" x14ac:dyDescent="0.45">
      <c r="B20" s="1144"/>
      <c r="C20" s="387" t="s">
        <v>136</v>
      </c>
      <c r="D20" s="724" t="s">
        <v>125</v>
      </c>
      <c r="E20" s="400" t="s">
        <v>126</v>
      </c>
      <c r="F20" s="785" t="s">
        <v>579</v>
      </c>
    </row>
    <row r="21" spans="2:6" x14ac:dyDescent="0.45">
      <c r="B21" s="1144"/>
      <c r="C21" s="401" t="s">
        <v>128</v>
      </c>
      <c r="D21" s="728" t="s">
        <v>127</v>
      </c>
      <c r="E21" s="400" t="s">
        <v>37</v>
      </c>
      <c r="F21" s="785" t="s">
        <v>290</v>
      </c>
    </row>
    <row r="22" spans="2:6" x14ac:dyDescent="0.45">
      <c r="B22" s="1144"/>
      <c r="C22" s="387" t="s">
        <v>129</v>
      </c>
      <c r="D22" s="724" t="s">
        <v>130</v>
      </c>
      <c r="E22" s="400" t="s">
        <v>38</v>
      </c>
      <c r="F22" s="785" t="s">
        <v>580</v>
      </c>
    </row>
    <row r="23" spans="2:6" x14ac:dyDescent="0.45">
      <c r="B23" s="1144"/>
      <c r="C23" s="387" t="s">
        <v>583</v>
      </c>
      <c r="D23" s="724" t="s">
        <v>131</v>
      </c>
      <c r="E23" s="400" t="s">
        <v>39</v>
      </c>
      <c r="F23" s="785" t="s">
        <v>581</v>
      </c>
    </row>
    <row r="24" spans="2:6" x14ac:dyDescent="0.45">
      <c r="B24" s="1145"/>
      <c r="C24" s="1008" t="s">
        <v>1118</v>
      </c>
      <c r="D24" s="1068" t="s">
        <v>1119</v>
      </c>
      <c r="E24" s="400" t="s">
        <v>1373</v>
      </c>
      <c r="F24" s="786"/>
    </row>
    <row r="25" spans="2:6" ht="29.25" thickBot="1" x14ac:dyDescent="0.5">
      <c r="B25" s="1146"/>
      <c r="C25" s="389" t="s">
        <v>132</v>
      </c>
      <c r="D25" s="725" t="s">
        <v>133</v>
      </c>
      <c r="E25" s="402" t="s">
        <v>40</v>
      </c>
      <c r="F25" s="787" t="s">
        <v>134</v>
      </c>
    </row>
    <row r="26" spans="2:6" ht="57" x14ac:dyDescent="0.45">
      <c r="B26" s="1153" t="s">
        <v>13</v>
      </c>
      <c r="C26" s="396" t="s">
        <v>136</v>
      </c>
      <c r="D26" s="726" t="s">
        <v>135</v>
      </c>
      <c r="E26" s="398" t="s">
        <v>74</v>
      </c>
      <c r="F26" s="788" t="s">
        <v>582</v>
      </c>
    </row>
    <row r="27" spans="2:6" ht="57.75" thickBot="1" x14ac:dyDescent="0.5">
      <c r="B27" s="1154"/>
      <c r="C27" s="403" t="s">
        <v>128</v>
      </c>
      <c r="D27" s="725" t="s">
        <v>137</v>
      </c>
      <c r="E27" s="402" t="s">
        <v>82</v>
      </c>
      <c r="F27" s="787" t="s">
        <v>582</v>
      </c>
    </row>
    <row r="28" spans="2:6" x14ac:dyDescent="0.45">
      <c r="B28" s="1153" t="s">
        <v>14</v>
      </c>
      <c r="C28" s="396" t="s">
        <v>955</v>
      </c>
      <c r="D28" s="726" t="s">
        <v>138</v>
      </c>
      <c r="E28" s="398" t="s">
        <v>75</v>
      </c>
      <c r="F28" s="788" t="s">
        <v>582</v>
      </c>
    </row>
    <row r="29" spans="2:6" ht="29.25" thickBot="1" x14ac:dyDescent="0.5">
      <c r="B29" s="1154"/>
      <c r="C29" s="403" t="s">
        <v>421</v>
      </c>
      <c r="D29" s="725" t="s">
        <v>139</v>
      </c>
      <c r="E29" s="402" t="s">
        <v>83</v>
      </c>
      <c r="F29" s="787" t="s">
        <v>582</v>
      </c>
    </row>
    <row r="30" spans="2:6" ht="57" x14ac:dyDescent="0.45">
      <c r="B30" s="1153" t="s">
        <v>15</v>
      </c>
      <c r="C30" s="396" t="s">
        <v>955</v>
      </c>
      <c r="D30" s="726" t="s">
        <v>140</v>
      </c>
      <c r="E30" s="398" t="s">
        <v>76</v>
      </c>
      <c r="F30" s="788" t="s">
        <v>582</v>
      </c>
    </row>
    <row r="31" spans="2:6" ht="57.75" thickBot="1" x14ac:dyDescent="0.5">
      <c r="B31" s="1154"/>
      <c r="C31" s="403" t="s">
        <v>421</v>
      </c>
      <c r="D31" s="725" t="s">
        <v>141</v>
      </c>
      <c r="E31" s="402" t="s">
        <v>84</v>
      </c>
      <c r="F31" s="787" t="s">
        <v>582</v>
      </c>
    </row>
    <row r="32" spans="2:6" x14ac:dyDescent="0.45">
      <c r="B32" s="1153" t="s">
        <v>402</v>
      </c>
      <c r="C32" s="396" t="s">
        <v>956</v>
      </c>
      <c r="D32" s="726" t="s">
        <v>142</v>
      </c>
      <c r="E32" s="398" t="s">
        <v>77</v>
      </c>
      <c r="F32" s="788" t="s">
        <v>582</v>
      </c>
    </row>
    <row r="33" spans="2:139" ht="29.25" thickBot="1" x14ac:dyDescent="0.5">
      <c r="B33" s="1154"/>
      <c r="C33" s="403" t="s">
        <v>421</v>
      </c>
      <c r="D33" s="725" t="s">
        <v>143</v>
      </c>
      <c r="E33" s="402" t="s">
        <v>85</v>
      </c>
      <c r="F33" s="787" t="s">
        <v>582</v>
      </c>
    </row>
    <row r="34" spans="2:139" x14ac:dyDescent="0.45">
      <c r="B34" s="1153" t="s">
        <v>16</v>
      </c>
      <c r="C34" s="396" t="s">
        <v>956</v>
      </c>
      <c r="D34" s="726" t="s">
        <v>144</v>
      </c>
      <c r="E34" s="398" t="s">
        <v>78</v>
      </c>
      <c r="F34" s="788" t="s">
        <v>582</v>
      </c>
    </row>
    <row r="35" spans="2:139" ht="29.25" thickBot="1" x14ac:dyDescent="0.5">
      <c r="B35" s="1154"/>
      <c r="C35" s="403" t="s">
        <v>421</v>
      </c>
      <c r="D35" s="725" t="s">
        <v>145</v>
      </c>
      <c r="E35" s="402" t="s">
        <v>86</v>
      </c>
      <c r="F35" s="787" t="s">
        <v>582</v>
      </c>
    </row>
    <row r="36" spans="2:139" x14ac:dyDescent="0.45">
      <c r="B36" s="1153" t="s">
        <v>17</v>
      </c>
      <c r="C36" s="396" t="s">
        <v>956</v>
      </c>
      <c r="D36" s="726" t="s">
        <v>309</v>
      </c>
      <c r="E36" s="398" t="s">
        <v>79</v>
      </c>
      <c r="F36" s="788" t="s">
        <v>582</v>
      </c>
    </row>
    <row r="37" spans="2:139" s="404" customFormat="1" ht="29.25" thickBot="1" x14ac:dyDescent="0.3">
      <c r="B37" s="1154"/>
      <c r="C37" s="403" t="s">
        <v>421</v>
      </c>
      <c r="D37" s="725" t="s">
        <v>146</v>
      </c>
      <c r="E37" s="405" t="s">
        <v>87</v>
      </c>
      <c r="F37" s="789" t="s">
        <v>582</v>
      </c>
      <c r="G37" s="771"/>
      <c r="H37" s="771"/>
      <c r="I37" s="771"/>
      <c r="J37" s="771"/>
      <c r="K37" s="771"/>
      <c r="L37" s="771"/>
      <c r="M37" s="771"/>
      <c r="N37" s="771"/>
      <c r="O37" s="771"/>
      <c r="P37" s="771"/>
      <c r="Q37" s="771"/>
      <c r="R37" s="771"/>
      <c r="S37" s="771"/>
      <c r="T37" s="771"/>
      <c r="U37" s="771"/>
      <c r="V37" s="771"/>
      <c r="W37" s="771"/>
      <c r="X37" s="771"/>
      <c r="Y37" s="771"/>
      <c r="Z37" s="771"/>
      <c r="AA37" s="771"/>
      <c r="AB37" s="771"/>
      <c r="AC37" s="771"/>
      <c r="AD37" s="771"/>
      <c r="AE37" s="771"/>
      <c r="AF37" s="771"/>
      <c r="AG37" s="771"/>
      <c r="AH37" s="771"/>
      <c r="AI37" s="771"/>
      <c r="AJ37" s="771"/>
      <c r="AK37" s="771"/>
      <c r="AL37" s="771"/>
      <c r="AM37" s="771"/>
      <c r="AN37" s="771"/>
      <c r="AO37" s="771"/>
      <c r="AP37" s="771"/>
      <c r="AQ37" s="771"/>
      <c r="AR37" s="771"/>
      <c r="AS37" s="771"/>
      <c r="AT37" s="771"/>
      <c r="AU37" s="771"/>
      <c r="AV37" s="771"/>
      <c r="AW37" s="771"/>
      <c r="AX37" s="771"/>
      <c r="AY37" s="771"/>
      <c r="AZ37" s="771"/>
      <c r="BA37" s="771"/>
      <c r="BB37" s="771"/>
      <c r="BC37" s="771"/>
      <c r="BD37" s="771"/>
      <c r="BE37" s="771"/>
      <c r="BF37" s="771"/>
      <c r="BG37" s="771"/>
      <c r="BH37" s="771"/>
      <c r="BI37" s="771"/>
      <c r="BJ37" s="771"/>
      <c r="BK37" s="771"/>
      <c r="BL37" s="771"/>
      <c r="BM37" s="771"/>
      <c r="BN37" s="771"/>
      <c r="BO37" s="771"/>
      <c r="BP37" s="771"/>
      <c r="BQ37" s="771"/>
      <c r="BR37" s="771"/>
      <c r="BS37" s="771"/>
      <c r="BT37" s="771"/>
      <c r="BU37" s="771"/>
      <c r="BV37" s="771"/>
      <c r="BW37" s="771"/>
      <c r="BX37" s="771"/>
      <c r="BY37" s="771"/>
      <c r="BZ37" s="771"/>
      <c r="CA37" s="771"/>
      <c r="CB37" s="771"/>
      <c r="CC37" s="771"/>
      <c r="CD37" s="771"/>
      <c r="CE37" s="771"/>
      <c r="CF37" s="771"/>
      <c r="CG37" s="771"/>
      <c r="CH37" s="771"/>
      <c r="CI37" s="771"/>
      <c r="CJ37" s="771"/>
      <c r="CK37" s="771"/>
      <c r="CL37" s="771"/>
      <c r="CM37" s="771"/>
      <c r="CN37" s="771"/>
      <c r="CO37" s="771"/>
      <c r="CP37" s="771"/>
      <c r="CQ37" s="771"/>
      <c r="CR37" s="771"/>
      <c r="CS37" s="771"/>
      <c r="CT37" s="771"/>
      <c r="CU37" s="771"/>
      <c r="CV37" s="771"/>
      <c r="CW37" s="771"/>
      <c r="CX37" s="771"/>
      <c r="CY37" s="771"/>
      <c r="CZ37" s="771"/>
      <c r="DA37" s="771"/>
      <c r="DB37" s="771"/>
      <c r="DC37" s="771"/>
      <c r="DD37" s="771"/>
      <c r="DE37" s="771"/>
      <c r="DF37" s="771"/>
      <c r="DG37" s="771"/>
      <c r="DH37" s="771"/>
      <c r="DI37" s="771"/>
      <c r="DJ37" s="771"/>
      <c r="DK37" s="771"/>
      <c r="DL37" s="771"/>
      <c r="DM37" s="771"/>
      <c r="DN37" s="771"/>
      <c r="DO37" s="771"/>
      <c r="DP37" s="771"/>
      <c r="DQ37" s="771"/>
      <c r="DR37" s="771"/>
      <c r="DS37" s="771"/>
      <c r="DT37" s="771"/>
      <c r="DU37" s="771"/>
      <c r="DV37" s="771"/>
      <c r="DW37" s="771"/>
      <c r="DX37" s="771"/>
      <c r="DY37" s="771"/>
      <c r="DZ37" s="771"/>
      <c r="EA37" s="771"/>
      <c r="EB37" s="771"/>
      <c r="EC37" s="771"/>
      <c r="ED37" s="771"/>
      <c r="EE37" s="771"/>
      <c r="EF37" s="771"/>
      <c r="EG37" s="771"/>
      <c r="EH37" s="771"/>
      <c r="EI37" s="771"/>
    </row>
    <row r="38" spans="2:139" ht="57" x14ac:dyDescent="0.45">
      <c r="B38" s="1153" t="s">
        <v>22</v>
      </c>
      <c r="C38" s="396" t="s">
        <v>956</v>
      </c>
      <c r="D38" s="726" t="s">
        <v>147</v>
      </c>
      <c r="E38" s="398" t="s">
        <v>80</v>
      </c>
      <c r="F38" s="788" t="s">
        <v>582</v>
      </c>
    </row>
    <row r="39" spans="2:139" ht="57.75" thickBot="1" x14ac:dyDescent="0.5">
      <c r="B39" s="1154"/>
      <c r="C39" s="403" t="s">
        <v>421</v>
      </c>
      <c r="D39" s="725" t="s">
        <v>148</v>
      </c>
      <c r="E39" s="402" t="s">
        <v>88</v>
      </c>
      <c r="F39" s="787" t="s">
        <v>582</v>
      </c>
    </row>
    <row r="40" spans="2:139" ht="57" x14ac:dyDescent="0.45">
      <c r="B40" s="1153" t="s">
        <v>18</v>
      </c>
      <c r="C40" s="396" t="s">
        <v>956</v>
      </c>
      <c r="D40" s="726" t="s">
        <v>149</v>
      </c>
      <c r="E40" s="398" t="s">
        <v>81</v>
      </c>
      <c r="F40" s="788" t="s">
        <v>582</v>
      </c>
    </row>
    <row r="41" spans="2:139" ht="57.75" thickBot="1" x14ac:dyDescent="0.5">
      <c r="B41" s="1154"/>
      <c r="C41" s="403" t="s">
        <v>421</v>
      </c>
      <c r="D41" s="725" t="s">
        <v>150</v>
      </c>
      <c r="E41" s="402" t="s">
        <v>89</v>
      </c>
      <c r="F41" s="787" t="s">
        <v>582</v>
      </c>
    </row>
    <row r="42" spans="2:139" x14ac:dyDescent="0.45">
      <c r="B42" s="1153" t="s">
        <v>93</v>
      </c>
      <c r="C42" s="396" t="s">
        <v>956</v>
      </c>
      <c r="D42" s="726" t="s">
        <v>310</v>
      </c>
      <c r="E42" s="398" t="s">
        <v>111</v>
      </c>
      <c r="F42" s="788" t="s">
        <v>582</v>
      </c>
    </row>
    <row r="43" spans="2:139" ht="29.25" thickBot="1" x14ac:dyDescent="0.5">
      <c r="B43" s="1154"/>
      <c r="C43" s="403" t="s">
        <v>421</v>
      </c>
      <c r="D43" s="725" t="s">
        <v>151</v>
      </c>
      <c r="E43" s="435" t="s">
        <v>569</v>
      </c>
      <c r="F43" s="786" t="s">
        <v>582</v>
      </c>
    </row>
    <row r="44" spans="2:139" ht="57.75" thickBot="1" x14ac:dyDescent="0.5">
      <c r="B44" s="1131" t="s">
        <v>947</v>
      </c>
      <c r="C44" s="1069" t="s">
        <v>1374</v>
      </c>
      <c r="D44" s="1070" t="s">
        <v>1120</v>
      </c>
      <c r="E44" s="435" t="s">
        <v>1375</v>
      </c>
      <c r="F44" s="786"/>
    </row>
    <row r="45" spans="2:139" x14ac:dyDescent="0.45">
      <c r="B45" s="1132"/>
      <c r="C45" s="1010" t="s">
        <v>136</v>
      </c>
      <c r="D45" s="1011" t="s">
        <v>948</v>
      </c>
      <c r="E45" s="400" t="s">
        <v>1376</v>
      </c>
      <c r="F45" s="785"/>
    </row>
    <row r="46" spans="2:139" ht="29.25" thickBot="1" x14ac:dyDescent="0.5">
      <c r="B46" s="1133"/>
      <c r="C46" s="1012" t="s">
        <v>128</v>
      </c>
      <c r="D46" s="1011" t="s">
        <v>949</v>
      </c>
      <c r="E46" s="400" t="s">
        <v>1377</v>
      </c>
      <c r="F46" s="785"/>
    </row>
    <row r="47" spans="2:139" ht="57" x14ac:dyDescent="0.45">
      <c r="B47" s="1171" t="s">
        <v>1126</v>
      </c>
      <c r="C47" s="1013" t="s">
        <v>585</v>
      </c>
      <c r="D47" s="1014" t="s">
        <v>311</v>
      </c>
      <c r="E47" s="386" t="s">
        <v>848</v>
      </c>
      <c r="F47" s="778"/>
    </row>
    <row r="48" spans="2:139" ht="57.75" thickBot="1" x14ac:dyDescent="0.5">
      <c r="B48" s="1172"/>
      <c r="C48" s="1015" t="s">
        <v>594</v>
      </c>
      <c r="D48" s="1016" t="s">
        <v>312</v>
      </c>
      <c r="E48" s="388" t="s">
        <v>849</v>
      </c>
      <c r="F48" s="779"/>
    </row>
    <row r="49" spans="2:6" ht="57" x14ac:dyDescent="0.45">
      <c r="B49" s="1171" t="s">
        <v>1127</v>
      </c>
      <c r="C49" s="1071" t="s">
        <v>1128</v>
      </c>
      <c r="D49" s="1072" t="s">
        <v>1130</v>
      </c>
      <c r="E49" s="386" t="s">
        <v>1153</v>
      </c>
      <c r="F49" s="778"/>
    </row>
    <row r="50" spans="2:6" x14ac:dyDescent="0.45">
      <c r="B50" s="1173"/>
      <c r="C50" s="1073" t="s">
        <v>1129</v>
      </c>
      <c r="D50" s="1074" t="s">
        <v>1131</v>
      </c>
      <c r="E50" s="472" t="s">
        <v>1154</v>
      </c>
      <c r="F50" s="790"/>
    </row>
    <row r="51" spans="2:6" hidden="1" x14ac:dyDescent="0.45">
      <c r="B51" s="1174" t="s">
        <v>1141</v>
      </c>
      <c r="C51" s="1175"/>
      <c r="D51" s="1175"/>
      <c r="E51" s="1175"/>
      <c r="F51" s="1176"/>
    </row>
    <row r="52" spans="2:6" hidden="1" x14ac:dyDescent="0.45">
      <c r="B52" s="1177" t="s">
        <v>353</v>
      </c>
      <c r="C52" s="1017" t="s">
        <v>136</v>
      </c>
      <c r="D52" s="1018" t="s">
        <v>1137</v>
      </c>
      <c r="E52" s="717"/>
      <c r="F52" s="778"/>
    </row>
    <row r="53" spans="2:6" ht="29.25" hidden="1" thickBot="1" x14ac:dyDescent="0.5">
      <c r="B53" s="1178"/>
      <c r="C53" s="872" t="s">
        <v>128</v>
      </c>
      <c r="D53" s="1019" t="s">
        <v>1138</v>
      </c>
      <c r="E53" s="716"/>
      <c r="F53" s="779"/>
    </row>
    <row r="54" spans="2:6" hidden="1" x14ac:dyDescent="0.45">
      <c r="B54" s="1179" t="s">
        <v>351</v>
      </c>
      <c r="C54" s="871" t="s">
        <v>136</v>
      </c>
      <c r="D54" s="1020" t="s">
        <v>1139</v>
      </c>
      <c r="E54" s="716"/>
      <c r="F54" s="779"/>
    </row>
    <row r="55" spans="2:6" ht="29.25" hidden="1" thickBot="1" x14ac:dyDescent="0.5">
      <c r="B55" s="1178"/>
      <c r="C55" s="872" t="s">
        <v>128</v>
      </c>
      <c r="D55" s="1019" t="s">
        <v>1140</v>
      </c>
      <c r="E55" s="716"/>
      <c r="F55" s="779"/>
    </row>
    <row r="56" spans="2:6" hidden="1" x14ac:dyDescent="0.45">
      <c r="B56" s="1110" t="s">
        <v>914</v>
      </c>
      <c r="C56" s="1111"/>
      <c r="D56" s="1111"/>
      <c r="E56" s="1112"/>
      <c r="F56" s="1113"/>
    </row>
    <row r="57" spans="2:6" hidden="1" x14ac:dyDescent="0.45">
      <c r="B57" s="1150" t="s">
        <v>1355</v>
      </c>
      <c r="C57" s="1021" t="s">
        <v>1078</v>
      </c>
      <c r="D57" s="1022" t="s">
        <v>915</v>
      </c>
      <c r="E57" s="436"/>
      <c r="F57" s="791"/>
    </row>
    <row r="58" spans="2:6" ht="29.25" hidden="1" thickBot="1" x14ac:dyDescent="0.5">
      <c r="B58" s="1151"/>
      <c r="C58" s="1023" t="s">
        <v>1079</v>
      </c>
      <c r="D58" s="1024" t="s">
        <v>916</v>
      </c>
      <c r="E58" s="436"/>
      <c r="F58" s="791"/>
    </row>
    <row r="59" spans="2:6" hidden="1" x14ac:dyDescent="0.45">
      <c r="B59" s="1151"/>
      <c r="C59" s="1021" t="s">
        <v>1080</v>
      </c>
      <c r="D59" s="1022" t="s">
        <v>1082</v>
      </c>
      <c r="E59" s="436"/>
      <c r="F59" s="791"/>
    </row>
    <row r="60" spans="2:6" ht="29.25" hidden="1" thickBot="1" x14ac:dyDescent="0.5">
      <c r="B60" s="1152"/>
      <c r="C60" s="1023" t="s">
        <v>1081</v>
      </c>
      <c r="D60" s="1025" t="s">
        <v>1083</v>
      </c>
      <c r="E60" s="436"/>
      <c r="F60" s="791"/>
    </row>
    <row r="61" spans="2:6" hidden="1" x14ac:dyDescent="0.45">
      <c r="B61" s="1147" t="s">
        <v>1356</v>
      </c>
      <c r="C61" s="1021" t="s">
        <v>1078</v>
      </c>
      <c r="D61" s="1022" t="s">
        <v>917</v>
      </c>
      <c r="E61" s="436"/>
      <c r="F61" s="791"/>
    </row>
    <row r="62" spans="2:6" ht="29.25" hidden="1" thickBot="1" x14ac:dyDescent="0.5">
      <c r="B62" s="1148"/>
      <c r="C62" s="1023" t="s">
        <v>1079</v>
      </c>
      <c r="D62" s="1024" t="s">
        <v>918</v>
      </c>
      <c r="E62" s="436"/>
      <c r="F62" s="791"/>
    </row>
    <row r="63" spans="2:6" hidden="1" x14ac:dyDescent="0.45">
      <c r="B63" s="1148"/>
      <c r="C63" s="1021" t="s">
        <v>1080</v>
      </c>
      <c r="D63" s="1024" t="s">
        <v>1084</v>
      </c>
      <c r="E63" s="436"/>
      <c r="F63" s="791"/>
    </row>
    <row r="64" spans="2:6" ht="29.25" hidden="1" thickBot="1" x14ac:dyDescent="0.5">
      <c r="B64" s="1149"/>
      <c r="C64" s="1023" t="s">
        <v>1081</v>
      </c>
      <c r="D64" s="1026" t="s">
        <v>1085</v>
      </c>
      <c r="E64" s="436"/>
      <c r="F64" s="791"/>
    </row>
    <row r="65" spans="2:6" hidden="1" x14ac:dyDescent="0.45">
      <c r="B65" s="1150" t="s">
        <v>1357</v>
      </c>
      <c r="C65" s="1021" t="s">
        <v>1078</v>
      </c>
      <c r="D65" s="1022" t="s">
        <v>919</v>
      </c>
      <c r="E65" s="436"/>
      <c r="F65" s="791"/>
    </row>
    <row r="66" spans="2:6" ht="29.25" hidden="1" thickBot="1" x14ac:dyDescent="0.5">
      <c r="B66" s="1151"/>
      <c r="C66" s="1023" t="s">
        <v>1079</v>
      </c>
      <c r="D66" s="1024" t="s">
        <v>920</v>
      </c>
      <c r="E66" s="436"/>
      <c r="F66" s="791"/>
    </row>
    <row r="67" spans="2:6" hidden="1" x14ac:dyDescent="0.45">
      <c r="B67" s="1151"/>
      <c r="C67" s="1021" t="s">
        <v>1080</v>
      </c>
      <c r="D67" s="1024" t="s">
        <v>919</v>
      </c>
      <c r="E67" s="436"/>
      <c r="F67" s="791"/>
    </row>
    <row r="68" spans="2:6" ht="29.25" hidden="1" thickBot="1" x14ac:dyDescent="0.5">
      <c r="B68" s="1152"/>
      <c r="C68" s="1023" t="s">
        <v>1081</v>
      </c>
      <c r="D68" s="1026" t="s">
        <v>920</v>
      </c>
      <c r="E68" s="436"/>
      <c r="F68" s="791"/>
    </row>
    <row r="69" spans="2:6" hidden="1" x14ac:dyDescent="0.45">
      <c r="B69" s="1147" t="s">
        <v>1358</v>
      </c>
      <c r="C69" s="1021" t="s">
        <v>1078</v>
      </c>
      <c r="D69" s="1022" t="s">
        <v>921</v>
      </c>
      <c r="E69" s="436"/>
      <c r="F69" s="791"/>
    </row>
    <row r="70" spans="2:6" ht="29.25" hidden="1" thickBot="1" x14ac:dyDescent="0.5">
      <c r="B70" s="1148"/>
      <c r="C70" s="1023" t="s">
        <v>1079</v>
      </c>
      <c r="D70" s="1024" t="s">
        <v>922</v>
      </c>
      <c r="E70" s="436"/>
      <c r="F70" s="791"/>
    </row>
    <row r="71" spans="2:6" hidden="1" x14ac:dyDescent="0.45">
      <c r="B71" s="1148"/>
      <c r="C71" s="1021" t="s">
        <v>1080</v>
      </c>
      <c r="D71" s="1024" t="s">
        <v>1086</v>
      </c>
      <c r="E71" s="436"/>
      <c r="F71" s="791"/>
    </row>
    <row r="72" spans="2:6" ht="29.25" hidden="1" thickBot="1" x14ac:dyDescent="0.5">
      <c r="B72" s="1149"/>
      <c r="C72" s="1023" t="s">
        <v>1081</v>
      </c>
      <c r="D72" s="1026" t="s">
        <v>1087</v>
      </c>
      <c r="E72" s="436"/>
      <c r="F72" s="791"/>
    </row>
    <row r="73" spans="2:6" hidden="1" x14ac:dyDescent="0.45">
      <c r="B73" s="1147" t="s">
        <v>1359</v>
      </c>
      <c r="C73" s="1021" t="s">
        <v>1078</v>
      </c>
      <c r="D73" s="1027" t="s">
        <v>923</v>
      </c>
      <c r="E73" s="436"/>
      <c r="F73" s="791"/>
    </row>
    <row r="74" spans="2:6" ht="29.25" hidden="1" thickBot="1" x14ac:dyDescent="0.5">
      <c r="B74" s="1148"/>
      <c r="C74" s="1023" t="s">
        <v>1079</v>
      </c>
      <c r="D74" s="1024" t="s">
        <v>924</v>
      </c>
      <c r="E74" s="436"/>
      <c r="F74" s="791"/>
    </row>
    <row r="75" spans="2:6" hidden="1" x14ac:dyDescent="0.45">
      <c r="B75" s="1148"/>
      <c r="C75" s="1021" t="s">
        <v>1080</v>
      </c>
      <c r="D75" s="1024" t="s">
        <v>1088</v>
      </c>
      <c r="E75" s="436"/>
      <c r="F75" s="791"/>
    </row>
    <row r="76" spans="2:6" ht="29.25" hidden="1" thickBot="1" x14ac:dyDescent="0.5">
      <c r="B76" s="1149"/>
      <c r="C76" s="1023" t="s">
        <v>1081</v>
      </c>
      <c r="D76" s="1024" t="s">
        <v>1089</v>
      </c>
      <c r="E76" s="436"/>
      <c r="F76" s="791"/>
    </row>
    <row r="77" spans="2:6" ht="28.5" hidden="1" customHeight="1" x14ac:dyDescent="0.45">
      <c r="B77" s="1147" t="s">
        <v>1360</v>
      </c>
      <c r="C77" s="1021" t="s">
        <v>1078</v>
      </c>
      <c r="D77" s="1024" t="s">
        <v>925</v>
      </c>
      <c r="E77" s="436"/>
      <c r="F77" s="791"/>
    </row>
    <row r="78" spans="2:6" ht="29.25" hidden="1" thickBot="1" x14ac:dyDescent="0.5">
      <c r="B78" s="1148"/>
      <c r="C78" s="1023" t="s">
        <v>1079</v>
      </c>
      <c r="D78" s="1024" t="s">
        <v>926</v>
      </c>
      <c r="E78" s="436"/>
      <c r="F78" s="791"/>
    </row>
    <row r="79" spans="2:6" hidden="1" x14ac:dyDescent="0.45">
      <c r="B79" s="1148"/>
      <c r="C79" s="1021" t="s">
        <v>1080</v>
      </c>
      <c r="D79" s="1024" t="s">
        <v>1090</v>
      </c>
      <c r="E79" s="436"/>
      <c r="F79" s="791"/>
    </row>
    <row r="80" spans="2:6" ht="29.25" hidden="1" thickBot="1" x14ac:dyDescent="0.5">
      <c r="B80" s="1149"/>
      <c r="C80" s="1023" t="s">
        <v>1081</v>
      </c>
      <c r="D80" s="1024" t="s">
        <v>1091</v>
      </c>
      <c r="E80" s="436"/>
      <c r="F80" s="791"/>
    </row>
    <row r="81" spans="2:139" hidden="1" x14ac:dyDescent="0.45">
      <c r="B81" s="1147" t="s">
        <v>1361</v>
      </c>
      <c r="C81" s="1021" t="s">
        <v>1078</v>
      </c>
      <c r="D81" s="1024" t="s">
        <v>939</v>
      </c>
      <c r="E81" s="436"/>
      <c r="F81" s="791"/>
    </row>
    <row r="82" spans="2:139" ht="29.25" hidden="1" thickBot="1" x14ac:dyDescent="0.5">
      <c r="B82" s="1148"/>
      <c r="C82" s="1023" t="s">
        <v>1079</v>
      </c>
      <c r="D82" s="1026" t="s">
        <v>940</v>
      </c>
      <c r="E82" s="436"/>
      <c r="F82" s="791"/>
    </row>
    <row r="83" spans="2:139" ht="28.5" hidden="1" customHeight="1" x14ac:dyDescent="0.45">
      <c r="B83" s="1148"/>
      <c r="C83" s="1021" t="s">
        <v>1080</v>
      </c>
      <c r="D83" s="1024" t="s">
        <v>1092</v>
      </c>
      <c r="E83" s="436"/>
      <c r="F83" s="791"/>
    </row>
    <row r="84" spans="2:139" ht="29.25" hidden="1" thickBot="1" x14ac:dyDescent="0.5">
      <c r="B84" s="1149"/>
      <c r="C84" s="1023" t="s">
        <v>1081</v>
      </c>
      <c r="D84" s="1026" t="s">
        <v>1093</v>
      </c>
      <c r="E84" s="436"/>
      <c r="F84" s="791"/>
    </row>
    <row r="85" spans="2:139" ht="28.5" hidden="1" customHeight="1" x14ac:dyDescent="0.45">
      <c r="B85" s="1147" t="s">
        <v>1362</v>
      </c>
      <c r="C85" s="1021" t="s">
        <v>1078</v>
      </c>
      <c r="D85" s="1024" t="s">
        <v>941</v>
      </c>
      <c r="E85" s="436"/>
      <c r="F85" s="791"/>
    </row>
    <row r="86" spans="2:139" ht="29.25" hidden="1" thickBot="1" x14ac:dyDescent="0.5">
      <c r="B86" s="1148"/>
      <c r="C86" s="1023" t="s">
        <v>1079</v>
      </c>
      <c r="D86" s="1026" t="s">
        <v>942</v>
      </c>
      <c r="E86" s="436"/>
      <c r="F86" s="791"/>
    </row>
    <row r="87" spans="2:139" ht="28.5" hidden="1" customHeight="1" x14ac:dyDescent="0.45">
      <c r="B87" s="1148"/>
      <c r="C87" s="1021" t="s">
        <v>1080</v>
      </c>
      <c r="D87" s="1024" t="s">
        <v>1094</v>
      </c>
      <c r="E87" s="436"/>
      <c r="F87" s="791"/>
    </row>
    <row r="88" spans="2:139" ht="29.25" hidden="1" thickBot="1" x14ac:dyDescent="0.5">
      <c r="B88" s="1149"/>
      <c r="C88" s="1023" t="s">
        <v>1081</v>
      </c>
      <c r="D88" s="1026" t="s">
        <v>1095</v>
      </c>
      <c r="E88" s="436"/>
      <c r="F88" s="791"/>
    </row>
    <row r="89" spans="2:139" ht="28.5" hidden="1" customHeight="1" x14ac:dyDescent="0.45">
      <c r="B89" s="1147" t="s">
        <v>1363</v>
      </c>
      <c r="C89" s="1021" t="s">
        <v>1078</v>
      </c>
      <c r="D89" s="1024" t="s">
        <v>943</v>
      </c>
      <c r="E89" s="436"/>
      <c r="F89" s="791"/>
    </row>
    <row r="90" spans="2:139" ht="29.25" hidden="1" thickBot="1" x14ac:dyDescent="0.5">
      <c r="B90" s="1148"/>
      <c r="C90" s="1023" t="s">
        <v>1079</v>
      </c>
      <c r="D90" s="1026" t="s">
        <v>944</v>
      </c>
      <c r="E90" s="436"/>
      <c r="F90" s="791"/>
    </row>
    <row r="91" spans="2:139" ht="28.5" hidden="1" customHeight="1" x14ac:dyDescent="0.45">
      <c r="B91" s="1148"/>
      <c r="C91" s="1021" t="s">
        <v>1080</v>
      </c>
      <c r="D91" s="1024" t="s">
        <v>1096</v>
      </c>
      <c r="E91" s="436"/>
      <c r="F91" s="791"/>
    </row>
    <row r="92" spans="2:139" ht="29.25" hidden="1" thickBot="1" x14ac:dyDescent="0.5">
      <c r="B92" s="1149"/>
      <c r="C92" s="1023" t="s">
        <v>1081</v>
      </c>
      <c r="D92" s="1026" t="s">
        <v>1097</v>
      </c>
      <c r="E92" s="436"/>
      <c r="F92" s="791"/>
    </row>
    <row r="93" spans="2:139" s="427" customFormat="1" ht="28.5" hidden="1" customHeight="1" x14ac:dyDescent="0.45">
      <c r="B93" s="1147" t="s">
        <v>1364</v>
      </c>
      <c r="C93" s="1021" t="s">
        <v>1078</v>
      </c>
      <c r="D93" s="1024" t="s">
        <v>945</v>
      </c>
      <c r="E93" s="436"/>
      <c r="F93" s="791"/>
      <c r="G93" s="772"/>
      <c r="H93" s="772"/>
      <c r="I93" s="772"/>
      <c r="J93" s="772"/>
      <c r="K93" s="772"/>
      <c r="L93" s="772"/>
      <c r="M93" s="772"/>
      <c r="N93" s="772"/>
      <c r="O93" s="772"/>
      <c r="P93" s="772"/>
      <c r="Q93" s="772"/>
      <c r="R93" s="772"/>
      <c r="S93" s="772"/>
      <c r="T93" s="772"/>
      <c r="U93" s="772"/>
      <c r="V93" s="772"/>
      <c r="W93" s="772"/>
      <c r="X93" s="772"/>
      <c r="Y93" s="772"/>
      <c r="Z93" s="772"/>
      <c r="AA93" s="772"/>
      <c r="AB93" s="772"/>
      <c r="AC93" s="772"/>
      <c r="AD93" s="772"/>
      <c r="AE93" s="772"/>
      <c r="AF93" s="772"/>
      <c r="AG93" s="772"/>
      <c r="AH93" s="772"/>
      <c r="AI93" s="772"/>
      <c r="AJ93" s="772"/>
      <c r="AK93" s="772"/>
      <c r="AL93" s="772"/>
      <c r="AM93" s="772"/>
      <c r="AN93" s="772"/>
      <c r="AO93" s="772"/>
      <c r="AP93" s="772"/>
      <c r="AQ93" s="772"/>
      <c r="AR93" s="772"/>
      <c r="AS93" s="772"/>
      <c r="AT93" s="772"/>
      <c r="AU93" s="772"/>
      <c r="AV93" s="772"/>
      <c r="AW93" s="772"/>
      <c r="AX93" s="772"/>
      <c r="AY93" s="772"/>
      <c r="AZ93" s="772"/>
      <c r="BA93" s="772"/>
      <c r="BB93" s="772"/>
      <c r="BC93" s="772"/>
      <c r="BD93" s="772"/>
      <c r="BE93" s="772"/>
      <c r="BF93" s="772"/>
      <c r="BG93" s="772"/>
      <c r="BH93" s="772"/>
      <c r="BI93" s="772"/>
      <c r="BJ93" s="772"/>
      <c r="BK93" s="772"/>
      <c r="BL93" s="772"/>
      <c r="BM93" s="772"/>
      <c r="BN93" s="772"/>
      <c r="BO93" s="772"/>
      <c r="BP93" s="772"/>
      <c r="BQ93" s="772"/>
      <c r="BR93" s="772"/>
      <c r="BS93" s="772"/>
      <c r="BT93" s="772"/>
      <c r="BU93" s="772"/>
      <c r="BV93" s="772"/>
      <c r="BW93" s="772"/>
      <c r="BX93" s="772"/>
      <c r="BY93" s="772"/>
      <c r="BZ93" s="772"/>
      <c r="CA93" s="772"/>
      <c r="CB93" s="772"/>
      <c r="CC93" s="772"/>
      <c r="CD93" s="772"/>
      <c r="CE93" s="772"/>
      <c r="CF93" s="772"/>
      <c r="CG93" s="772"/>
      <c r="CH93" s="772"/>
      <c r="CI93" s="772"/>
      <c r="CJ93" s="772"/>
      <c r="CK93" s="772"/>
      <c r="CL93" s="772"/>
      <c r="CM93" s="772"/>
      <c r="CN93" s="772"/>
      <c r="CO93" s="772"/>
      <c r="CP93" s="772"/>
      <c r="CQ93" s="772"/>
      <c r="CR93" s="772"/>
      <c r="CS93" s="772"/>
      <c r="CT93" s="772"/>
      <c r="CU93" s="772"/>
      <c r="CV93" s="772"/>
      <c r="CW93" s="772"/>
      <c r="CX93" s="772"/>
      <c r="CY93" s="772"/>
      <c r="CZ93" s="772"/>
      <c r="DA93" s="772"/>
      <c r="DB93" s="772"/>
      <c r="DC93" s="772"/>
      <c r="DD93" s="772"/>
      <c r="DE93" s="772"/>
      <c r="DF93" s="772"/>
      <c r="DG93" s="772"/>
      <c r="DH93" s="772"/>
      <c r="DI93" s="772"/>
      <c r="DJ93" s="772"/>
      <c r="DK93" s="772"/>
      <c r="DL93" s="772"/>
      <c r="DM93" s="772"/>
      <c r="DN93" s="772"/>
      <c r="DO93" s="772"/>
      <c r="DP93" s="772"/>
      <c r="DQ93" s="772"/>
      <c r="DR93" s="772"/>
      <c r="DS93" s="772"/>
      <c r="DT93" s="772"/>
      <c r="DU93" s="772"/>
      <c r="DV93" s="772"/>
      <c r="DW93" s="772"/>
      <c r="DX93" s="772"/>
      <c r="DY93" s="772"/>
      <c r="DZ93" s="772"/>
      <c r="EA93" s="772"/>
      <c r="EB93" s="772"/>
      <c r="EC93" s="772"/>
      <c r="ED93" s="772"/>
      <c r="EE93" s="772"/>
      <c r="EF93" s="772"/>
      <c r="EG93" s="772"/>
      <c r="EH93" s="772"/>
      <c r="EI93" s="772"/>
    </row>
    <row r="94" spans="2:139" s="427" customFormat="1" ht="29.25" hidden="1" thickBot="1" x14ac:dyDescent="0.5">
      <c r="B94" s="1148"/>
      <c r="C94" s="1023" t="s">
        <v>1079</v>
      </c>
      <c r="D94" s="1026" t="s">
        <v>946</v>
      </c>
      <c r="E94" s="436"/>
      <c r="F94" s="791"/>
      <c r="G94" s="772"/>
      <c r="H94" s="772"/>
      <c r="I94" s="772"/>
      <c r="J94" s="772"/>
      <c r="K94" s="772"/>
      <c r="L94" s="772"/>
      <c r="M94" s="772"/>
      <c r="N94" s="772"/>
      <c r="O94" s="772"/>
      <c r="P94" s="772"/>
      <c r="Q94" s="772"/>
      <c r="R94" s="772"/>
      <c r="S94" s="772"/>
      <c r="T94" s="772"/>
      <c r="U94" s="772"/>
      <c r="V94" s="772"/>
      <c r="W94" s="772"/>
      <c r="X94" s="772"/>
      <c r="Y94" s="772"/>
      <c r="Z94" s="772"/>
      <c r="AA94" s="772"/>
      <c r="AB94" s="772"/>
      <c r="AC94" s="772"/>
      <c r="AD94" s="772"/>
      <c r="AE94" s="772"/>
      <c r="AF94" s="772"/>
      <c r="AG94" s="772"/>
      <c r="AH94" s="772"/>
      <c r="AI94" s="772"/>
      <c r="AJ94" s="772"/>
      <c r="AK94" s="772"/>
      <c r="AL94" s="772"/>
      <c r="AM94" s="772"/>
      <c r="AN94" s="772"/>
      <c r="AO94" s="772"/>
      <c r="AP94" s="772"/>
      <c r="AQ94" s="772"/>
      <c r="AR94" s="772"/>
      <c r="AS94" s="772"/>
      <c r="AT94" s="772"/>
      <c r="AU94" s="772"/>
      <c r="AV94" s="772"/>
      <c r="AW94" s="772"/>
      <c r="AX94" s="772"/>
      <c r="AY94" s="772"/>
      <c r="AZ94" s="772"/>
      <c r="BA94" s="772"/>
      <c r="BB94" s="772"/>
      <c r="BC94" s="772"/>
      <c r="BD94" s="772"/>
      <c r="BE94" s="772"/>
      <c r="BF94" s="772"/>
      <c r="BG94" s="772"/>
      <c r="BH94" s="772"/>
      <c r="BI94" s="772"/>
      <c r="BJ94" s="772"/>
      <c r="BK94" s="772"/>
      <c r="BL94" s="772"/>
      <c r="BM94" s="772"/>
      <c r="BN94" s="772"/>
      <c r="BO94" s="772"/>
      <c r="BP94" s="772"/>
      <c r="BQ94" s="772"/>
      <c r="BR94" s="772"/>
      <c r="BS94" s="772"/>
      <c r="BT94" s="772"/>
      <c r="BU94" s="772"/>
      <c r="BV94" s="772"/>
      <c r="BW94" s="772"/>
      <c r="BX94" s="772"/>
      <c r="BY94" s="772"/>
      <c r="BZ94" s="772"/>
      <c r="CA94" s="772"/>
      <c r="CB94" s="772"/>
      <c r="CC94" s="772"/>
      <c r="CD94" s="772"/>
      <c r="CE94" s="772"/>
      <c r="CF94" s="772"/>
      <c r="CG94" s="772"/>
      <c r="CH94" s="772"/>
      <c r="CI94" s="772"/>
      <c r="CJ94" s="772"/>
      <c r="CK94" s="772"/>
      <c r="CL94" s="772"/>
      <c r="CM94" s="772"/>
      <c r="CN94" s="772"/>
      <c r="CO94" s="772"/>
      <c r="CP94" s="772"/>
      <c r="CQ94" s="772"/>
      <c r="CR94" s="772"/>
      <c r="CS94" s="772"/>
      <c r="CT94" s="772"/>
      <c r="CU94" s="772"/>
      <c r="CV94" s="772"/>
      <c r="CW94" s="772"/>
      <c r="CX94" s="772"/>
      <c r="CY94" s="772"/>
      <c r="CZ94" s="772"/>
      <c r="DA94" s="772"/>
      <c r="DB94" s="772"/>
      <c r="DC94" s="772"/>
      <c r="DD94" s="772"/>
      <c r="DE94" s="772"/>
      <c r="DF94" s="772"/>
      <c r="DG94" s="772"/>
      <c r="DH94" s="772"/>
      <c r="DI94" s="772"/>
      <c r="DJ94" s="772"/>
      <c r="DK94" s="772"/>
      <c r="DL94" s="772"/>
      <c r="DM94" s="772"/>
      <c r="DN94" s="772"/>
      <c r="DO94" s="772"/>
      <c r="DP94" s="772"/>
      <c r="DQ94" s="772"/>
      <c r="DR94" s="772"/>
      <c r="DS94" s="772"/>
      <c r="DT94" s="772"/>
      <c r="DU94" s="772"/>
      <c r="DV94" s="772"/>
      <c r="DW94" s="772"/>
      <c r="DX94" s="772"/>
      <c r="DY94" s="772"/>
      <c r="DZ94" s="772"/>
      <c r="EA94" s="772"/>
      <c r="EB94" s="772"/>
      <c r="EC94" s="772"/>
      <c r="ED94" s="772"/>
      <c r="EE94" s="772"/>
      <c r="EF94" s="772"/>
      <c r="EG94" s="772"/>
      <c r="EH94" s="772"/>
      <c r="EI94" s="772"/>
    </row>
    <row r="95" spans="2:139" s="427" customFormat="1" ht="28.5" hidden="1" customHeight="1" x14ac:dyDescent="0.45">
      <c r="B95" s="1148"/>
      <c r="C95" s="1021" t="s">
        <v>1080</v>
      </c>
      <c r="D95" s="1024" t="s">
        <v>1098</v>
      </c>
      <c r="E95" s="436"/>
      <c r="F95" s="791"/>
      <c r="G95" s="772"/>
      <c r="H95" s="772"/>
      <c r="I95" s="772"/>
      <c r="J95" s="772"/>
      <c r="K95" s="772"/>
      <c r="L95" s="772"/>
      <c r="M95" s="772"/>
      <c r="N95" s="772"/>
      <c r="O95" s="772"/>
      <c r="P95" s="772"/>
      <c r="Q95" s="772"/>
      <c r="R95" s="772"/>
      <c r="S95" s="772"/>
      <c r="T95" s="772"/>
      <c r="U95" s="772"/>
      <c r="V95" s="772"/>
      <c r="W95" s="772"/>
      <c r="X95" s="772"/>
      <c r="Y95" s="772"/>
      <c r="Z95" s="772"/>
      <c r="AA95" s="772"/>
      <c r="AB95" s="772"/>
      <c r="AC95" s="772"/>
      <c r="AD95" s="772"/>
      <c r="AE95" s="772"/>
      <c r="AF95" s="772"/>
      <c r="AG95" s="772"/>
      <c r="AH95" s="772"/>
      <c r="AI95" s="772"/>
      <c r="AJ95" s="772"/>
      <c r="AK95" s="772"/>
      <c r="AL95" s="772"/>
      <c r="AM95" s="772"/>
      <c r="AN95" s="772"/>
      <c r="AO95" s="772"/>
      <c r="AP95" s="772"/>
      <c r="AQ95" s="772"/>
      <c r="AR95" s="772"/>
      <c r="AS95" s="772"/>
      <c r="AT95" s="772"/>
      <c r="AU95" s="772"/>
      <c r="AV95" s="772"/>
      <c r="AW95" s="772"/>
      <c r="AX95" s="772"/>
      <c r="AY95" s="772"/>
      <c r="AZ95" s="772"/>
      <c r="BA95" s="772"/>
      <c r="BB95" s="772"/>
      <c r="BC95" s="772"/>
      <c r="BD95" s="772"/>
      <c r="BE95" s="772"/>
      <c r="BF95" s="772"/>
      <c r="BG95" s="772"/>
      <c r="BH95" s="772"/>
      <c r="BI95" s="772"/>
      <c r="BJ95" s="772"/>
      <c r="BK95" s="772"/>
      <c r="BL95" s="772"/>
      <c r="BM95" s="772"/>
      <c r="BN95" s="772"/>
      <c r="BO95" s="772"/>
      <c r="BP95" s="772"/>
      <c r="BQ95" s="772"/>
      <c r="BR95" s="772"/>
      <c r="BS95" s="772"/>
      <c r="BT95" s="772"/>
      <c r="BU95" s="772"/>
      <c r="BV95" s="772"/>
      <c r="BW95" s="772"/>
      <c r="BX95" s="772"/>
      <c r="BY95" s="772"/>
      <c r="BZ95" s="772"/>
      <c r="CA95" s="772"/>
      <c r="CB95" s="772"/>
      <c r="CC95" s="772"/>
      <c r="CD95" s="772"/>
      <c r="CE95" s="772"/>
      <c r="CF95" s="772"/>
      <c r="CG95" s="772"/>
      <c r="CH95" s="772"/>
      <c r="CI95" s="772"/>
      <c r="CJ95" s="772"/>
      <c r="CK95" s="772"/>
      <c r="CL95" s="772"/>
      <c r="CM95" s="772"/>
      <c r="CN95" s="772"/>
      <c r="CO95" s="772"/>
      <c r="CP95" s="772"/>
      <c r="CQ95" s="772"/>
      <c r="CR95" s="772"/>
      <c r="CS95" s="772"/>
      <c r="CT95" s="772"/>
      <c r="CU95" s="772"/>
      <c r="CV95" s="772"/>
      <c r="CW95" s="772"/>
      <c r="CX95" s="772"/>
      <c r="CY95" s="772"/>
      <c r="CZ95" s="772"/>
      <c r="DA95" s="772"/>
      <c r="DB95" s="772"/>
      <c r="DC95" s="772"/>
      <c r="DD95" s="772"/>
      <c r="DE95" s="772"/>
      <c r="DF95" s="772"/>
      <c r="DG95" s="772"/>
      <c r="DH95" s="772"/>
      <c r="DI95" s="772"/>
      <c r="DJ95" s="772"/>
      <c r="DK95" s="772"/>
      <c r="DL95" s="772"/>
      <c r="DM95" s="772"/>
      <c r="DN95" s="772"/>
      <c r="DO95" s="772"/>
      <c r="DP95" s="772"/>
      <c r="DQ95" s="772"/>
      <c r="DR95" s="772"/>
      <c r="DS95" s="772"/>
      <c r="DT95" s="772"/>
      <c r="DU95" s="772"/>
      <c r="DV95" s="772"/>
      <c r="DW95" s="772"/>
      <c r="DX95" s="772"/>
      <c r="DY95" s="772"/>
      <c r="DZ95" s="772"/>
      <c r="EA95" s="772"/>
      <c r="EB95" s="772"/>
      <c r="EC95" s="772"/>
      <c r="ED95" s="772"/>
      <c r="EE95" s="772"/>
      <c r="EF95" s="772"/>
      <c r="EG95" s="772"/>
      <c r="EH95" s="772"/>
      <c r="EI95" s="772"/>
    </row>
    <row r="96" spans="2:139" s="427" customFormat="1" ht="29.25" hidden="1" thickBot="1" x14ac:dyDescent="0.5">
      <c r="B96" s="1149"/>
      <c r="C96" s="1023" t="s">
        <v>1081</v>
      </c>
      <c r="D96" s="1026" t="s">
        <v>1099</v>
      </c>
      <c r="E96" s="436"/>
      <c r="F96" s="791"/>
      <c r="G96" s="772"/>
      <c r="H96" s="772"/>
      <c r="I96" s="772"/>
      <c r="J96" s="772"/>
      <c r="K96" s="772"/>
      <c r="L96" s="772"/>
      <c r="M96" s="772"/>
      <c r="N96" s="772"/>
      <c r="O96" s="772"/>
      <c r="P96" s="772"/>
      <c r="Q96" s="772"/>
      <c r="R96" s="772"/>
      <c r="S96" s="772"/>
      <c r="T96" s="772"/>
      <c r="U96" s="772"/>
      <c r="V96" s="772"/>
      <c r="W96" s="772"/>
      <c r="X96" s="772"/>
      <c r="Y96" s="772"/>
      <c r="Z96" s="772"/>
      <c r="AA96" s="772"/>
      <c r="AB96" s="772"/>
      <c r="AC96" s="772"/>
      <c r="AD96" s="772"/>
      <c r="AE96" s="772"/>
      <c r="AF96" s="772"/>
      <c r="AG96" s="772"/>
      <c r="AH96" s="772"/>
      <c r="AI96" s="772"/>
      <c r="AJ96" s="772"/>
      <c r="AK96" s="772"/>
      <c r="AL96" s="772"/>
      <c r="AM96" s="772"/>
      <c r="AN96" s="772"/>
      <c r="AO96" s="772"/>
      <c r="AP96" s="772"/>
      <c r="AQ96" s="772"/>
      <c r="AR96" s="772"/>
      <c r="AS96" s="772"/>
      <c r="AT96" s="772"/>
      <c r="AU96" s="772"/>
      <c r="AV96" s="772"/>
      <c r="AW96" s="772"/>
      <c r="AX96" s="772"/>
      <c r="AY96" s="772"/>
      <c r="AZ96" s="772"/>
      <c r="BA96" s="772"/>
      <c r="BB96" s="772"/>
      <c r="BC96" s="772"/>
      <c r="BD96" s="772"/>
      <c r="BE96" s="772"/>
      <c r="BF96" s="772"/>
      <c r="BG96" s="772"/>
      <c r="BH96" s="772"/>
      <c r="BI96" s="772"/>
      <c r="BJ96" s="772"/>
      <c r="BK96" s="772"/>
      <c r="BL96" s="772"/>
      <c r="BM96" s="772"/>
      <c r="BN96" s="772"/>
      <c r="BO96" s="772"/>
      <c r="BP96" s="772"/>
      <c r="BQ96" s="772"/>
      <c r="BR96" s="772"/>
      <c r="BS96" s="772"/>
      <c r="BT96" s="772"/>
      <c r="BU96" s="772"/>
      <c r="BV96" s="772"/>
      <c r="BW96" s="772"/>
      <c r="BX96" s="772"/>
      <c r="BY96" s="772"/>
      <c r="BZ96" s="772"/>
      <c r="CA96" s="772"/>
      <c r="CB96" s="772"/>
      <c r="CC96" s="772"/>
      <c r="CD96" s="772"/>
      <c r="CE96" s="772"/>
      <c r="CF96" s="772"/>
      <c r="CG96" s="772"/>
      <c r="CH96" s="772"/>
      <c r="CI96" s="772"/>
      <c r="CJ96" s="772"/>
      <c r="CK96" s="772"/>
      <c r="CL96" s="772"/>
      <c r="CM96" s="772"/>
      <c r="CN96" s="772"/>
      <c r="CO96" s="772"/>
      <c r="CP96" s="772"/>
      <c r="CQ96" s="772"/>
      <c r="CR96" s="772"/>
      <c r="CS96" s="772"/>
      <c r="CT96" s="772"/>
      <c r="CU96" s="772"/>
      <c r="CV96" s="772"/>
      <c r="CW96" s="772"/>
      <c r="CX96" s="772"/>
      <c r="CY96" s="772"/>
      <c r="CZ96" s="772"/>
      <c r="DA96" s="772"/>
      <c r="DB96" s="772"/>
      <c r="DC96" s="772"/>
      <c r="DD96" s="772"/>
      <c r="DE96" s="772"/>
      <c r="DF96" s="772"/>
      <c r="DG96" s="772"/>
      <c r="DH96" s="772"/>
      <c r="DI96" s="772"/>
      <c r="DJ96" s="772"/>
      <c r="DK96" s="772"/>
      <c r="DL96" s="772"/>
      <c r="DM96" s="772"/>
      <c r="DN96" s="772"/>
      <c r="DO96" s="772"/>
      <c r="DP96" s="772"/>
      <c r="DQ96" s="772"/>
      <c r="DR96" s="772"/>
      <c r="DS96" s="772"/>
      <c r="DT96" s="772"/>
      <c r="DU96" s="772"/>
      <c r="DV96" s="772"/>
      <c r="DW96" s="772"/>
      <c r="DX96" s="772"/>
      <c r="DY96" s="772"/>
      <c r="DZ96" s="772"/>
      <c r="EA96" s="772"/>
      <c r="EB96" s="772"/>
      <c r="EC96" s="772"/>
      <c r="ED96" s="772"/>
      <c r="EE96" s="772"/>
      <c r="EF96" s="772"/>
      <c r="EG96" s="772"/>
      <c r="EH96" s="772"/>
      <c r="EI96" s="772"/>
    </row>
    <row r="97" spans="2:6" x14ac:dyDescent="0.45">
      <c r="B97" s="1170" t="s">
        <v>92</v>
      </c>
      <c r="C97" s="1112"/>
      <c r="D97" s="1112"/>
      <c r="E97" s="1112"/>
      <c r="F97" s="1113"/>
    </row>
    <row r="98" spans="2:6" ht="57" x14ac:dyDescent="0.45">
      <c r="B98" s="1099" t="s">
        <v>20</v>
      </c>
      <c r="C98" s="456" t="s">
        <v>957</v>
      </c>
      <c r="D98" s="724" t="s">
        <v>152</v>
      </c>
      <c r="E98" s="400" t="s">
        <v>1378</v>
      </c>
      <c r="F98" s="785" t="s">
        <v>158</v>
      </c>
    </row>
    <row r="99" spans="2:6" ht="57" x14ac:dyDescent="0.45">
      <c r="B99" s="1099"/>
      <c r="C99" s="456" t="s">
        <v>153</v>
      </c>
      <c r="D99" s="724" t="s">
        <v>154</v>
      </c>
      <c r="E99" s="400" t="s">
        <v>1379</v>
      </c>
      <c r="F99" s="785"/>
    </row>
    <row r="100" spans="2:6" x14ac:dyDescent="0.45">
      <c r="B100" s="1099"/>
      <c r="C100" s="456" t="s">
        <v>292</v>
      </c>
      <c r="D100" s="724" t="s">
        <v>155</v>
      </c>
      <c r="E100" s="400" t="s">
        <v>42</v>
      </c>
      <c r="F100" s="785"/>
    </row>
    <row r="101" spans="2:6" x14ac:dyDescent="0.45">
      <c r="B101" s="1099"/>
      <c r="C101" s="407" t="s">
        <v>958</v>
      </c>
      <c r="D101" s="724" t="s">
        <v>156</v>
      </c>
      <c r="E101" s="400" t="s">
        <v>43</v>
      </c>
      <c r="F101" s="785"/>
    </row>
    <row r="102" spans="2:6" ht="57" x14ac:dyDescent="0.45">
      <c r="B102" s="1099"/>
      <c r="C102" s="1008" t="s">
        <v>1282</v>
      </c>
      <c r="D102" s="1036" t="s">
        <v>1192</v>
      </c>
      <c r="E102" s="400" t="s">
        <v>1265</v>
      </c>
      <c r="F102" s="785" t="s">
        <v>1263</v>
      </c>
    </row>
    <row r="103" spans="2:6" ht="57.75" thickBot="1" x14ac:dyDescent="0.5">
      <c r="B103" s="1099"/>
      <c r="C103" s="407" t="s">
        <v>293</v>
      </c>
      <c r="D103" s="724" t="s">
        <v>157</v>
      </c>
      <c r="E103" s="400" t="s">
        <v>44</v>
      </c>
      <c r="F103" s="785"/>
    </row>
    <row r="104" spans="2:6" ht="57" x14ac:dyDescent="0.45">
      <c r="B104" s="1147" t="s">
        <v>1237</v>
      </c>
      <c r="C104" s="1010" t="s">
        <v>136</v>
      </c>
      <c r="D104" s="724" t="s">
        <v>880</v>
      </c>
      <c r="E104" s="400" t="s">
        <v>1380</v>
      </c>
      <c r="F104" s="785" t="s">
        <v>885</v>
      </c>
    </row>
    <row r="105" spans="2:6" ht="27.95" customHeight="1" thickBot="1" x14ac:dyDescent="0.5">
      <c r="B105" s="1149"/>
      <c r="C105" s="1012" t="s">
        <v>128</v>
      </c>
      <c r="D105" s="724" t="s">
        <v>881</v>
      </c>
      <c r="E105" s="400" t="s">
        <v>1381</v>
      </c>
      <c r="F105" s="785" t="s">
        <v>885</v>
      </c>
    </row>
    <row r="106" spans="2:6" ht="31.5" customHeight="1" x14ac:dyDescent="0.45">
      <c r="B106" s="1147" t="s">
        <v>1382</v>
      </c>
      <c r="C106" s="1010" t="s">
        <v>136</v>
      </c>
      <c r="D106" s="1068" t="s">
        <v>1124</v>
      </c>
      <c r="E106" s="400" t="s">
        <v>1383</v>
      </c>
      <c r="F106" s="785"/>
    </row>
    <row r="107" spans="2:6" ht="57.75" thickBot="1" x14ac:dyDescent="0.5">
      <c r="B107" s="1149"/>
      <c r="C107" s="1012" t="s">
        <v>128</v>
      </c>
      <c r="D107" s="1045" t="s">
        <v>1125</v>
      </c>
      <c r="E107" s="400" t="s">
        <v>1384</v>
      </c>
      <c r="F107" s="785"/>
    </row>
    <row r="108" spans="2:6" x14ac:dyDescent="0.45">
      <c r="B108" s="1170" t="s">
        <v>102</v>
      </c>
      <c r="C108" s="1112"/>
      <c r="D108" s="1112"/>
      <c r="E108" s="1112"/>
      <c r="F108" s="1113"/>
    </row>
    <row r="109" spans="2:6" ht="57" x14ac:dyDescent="0.45">
      <c r="B109" s="1095" t="s">
        <v>1353</v>
      </c>
      <c r="C109" s="456" t="s">
        <v>1349</v>
      </c>
      <c r="D109" s="724" t="s">
        <v>162</v>
      </c>
      <c r="E109" s="400" t="s">
        <v>1346</v>
      </c>
      <c r="F109" s="785" t="s">
        <v>173</v>
      </c>
    </row>
    <row r="110" spans="2:6" ht="57" x14ac:dyDescent="0.45">
      <c r="B110" s="1095"/>
      <c r="C110" s="456" t="s">
        <v>1350</v>
      </c>
      <c r="D110" s="724" t="s">
        <v>515</v>
      </c>
      <c r="E110" s="388" t="s">
        <v>1347</v>
      </c>
      <c r="F110" s="779" t="s">
        <v>658</v>
      </c>
    </row>
    <row r="111" spans="2:6" x14ac:dyDescent="0.45">
      <c r="B111" s="1095"/>
      <c r="C111" s="456" t="s">
        <v>1351</v>
      </c>
      <c r="D111" s="724" t="s">
        <v>516</v>
      </c>
      <c r="E111" s="388" t="s">
        <v>659</v>
      </c>
      <c r="F111" s="779" t="s">
        <v>658</v>
      </c>
    </row>
    <row r="112" spans="2:6" ht="85.5" x14ac:dyDescent="0.45">
      <c r="B112" s="1095"/>
      <c r="C112" s="456" t="s">
        <v>1352</v>
      </c>
      <c r="D112" s="724" t="s">
        <v>163</v>
      </c>
      <c r="E112" s="400" t="s">
        <v>1348</v>
      </c>
      <c r="F112" s="785" t="s">
        <v>174</v>
      </c>
    </row>
    <row r="113" spans="2:6" ht="57.75" thickBot="1" x14ac:dyDescent="0.5">
      <c r="B113" s="1085" t="s">
        <v>1354</v>
      </c>
      <c r="C113" s="408" t="s">
        <v>584</v>
      </c>
      <c r="D113" s="724" t="s">
        <v>164</v>
      </c>
      <c r="E113" s="400" t="s">
        <v>1345</v>
      </c>
      <c r="F113" s="785" t="s">
        <v>175</v>
      </c>
    </row>
    <row r="114" spans="2:6" ht="29.25" hidden="1" thickBot="1" x14ac:dyDescent="0.5">
      <c r="B114" s="1095" t="s">
        <v>529</v>
      </c>
      <c r="C114" s="407" t="s">
        <v>355</v>
      </c>
      <c r="D114" s="724" t="s">
        <v>530</v>
      </c>
      <c r="E114" s="388" t="s">
        <v>660</v>
      </c>
      <c r="F114" s="779" t="s">
        <v>661</v>
      </c>
    </row>
    <row r="115" spans="2:6" ht="29.25" hidden="1" thickBot="1" x14ac:dyDescent="0.5">
      <c r="B115" s="1095"/>
      <c r="C115" s="407" t="s">
        <v>350</v>
      </c>
      <c r="D115" s="724" t="s">
        <v>531</v>
      </c>
      <c r="E115" s="388" t="s">
        <v>662</v>
      </c>
      <c r="F115" s="779" t="s">
        <v>661</v>
      </c>
    </row>
    <row r="116" spans="2:6" ht="29.25" hidden="1" thickBot="1" x14ac:dyDescent="0.5">
      <c r="B116" s="1095"/>
      <c r="C116" s="456" t="s">
        <v>351</v>
      </c>
      <c r="D116" s="724" t="s">
        <v>532</v>
      </c>
      <c r="E116" s="388" t="s">
        <v>663</v>
      </c>
      <c r="F116" s="779" t="s">
        <v>661</v>
      </c>
    </row>
    <row r="117" spans="2:6" ht="29.25" hidden="1" thickBot="1" x14ac:dyDescent="0.5">
      <c r="B117" s="1095"/>
      <c r="C117" s="456" t="s">
        <v>352</v>
      </c>
      <c r="D117" s="724" t="s">
        <v>533</v>
      </c>
      <c r="E117" s="388" t="s">
        <v>664</v>
      </c>
      <c r="F117" s="779" t="s">
        <v>661</v>
      </c>
    </row>
    <row r="118" spans="2:6" ht="29.25" hidden="1" thickBot="1" x14ac:dyDescent="0.5">
      <c r="B118" s="1095"/>
      <c r="C118" s="456" t="s">
        <v>353</v>
      </c>
      <c r="D118" s="724" t="s">
        <v>534</v>
      </c>
      <c r="E118" s="388" t="s">
        <v>665</v>
      </c>
      <c r="F118" s="779" t="s">
        <v>661</v>
      </c>
    </row>
    <row r="119" spans="2:6" ht="29.25" hidden="1" thickBot="1" x14ac:dyDescent="0.5">
      <c r="B119" s="1095"/>
      <c r="C119" s="456" t="s">
        <v>354</v>
      </c>
      <c r="D119" s="724" t="s">
        <v>535</v>
      </c>
      <c r="E119" s="388" t="s">
        <v>666</v>
      </c>
      <c r="F119" s="779" t="s">
        <v>661</v>
      </c>
    </row>
    <row r="120" spans="2:6" ht="32.25" customHeight="1" x14ac:dyDescent="0.45">
      <c r="B120" s="1155" t="s">
        <v>1206</v>
      </c>
      <c r="C120" s="1060" t="s">
        <v>1100</v>
      </c>
      <c r="D120" s="1034" t="s">
        <v>1193</v>
      </c>
      <c r="E120" s="881" t="s">
        <v>1244</v>
      </c>
      <c r="F120" s="785" t="s">
        <v>1243</v>
      </c>
    </row>
    <row r="121" spans="2:6" ht="32.25" customHeight="1" thickBot="1" x14ac:dyDescent="0.5">
      <c r="B121" s="1156"/>
      <c r="C121" s="1061" t="s">
        <v>1101</v>
      </c>
      <c r="D121" s="1062" t="s">
        <v>1194</v>
      </c>
      <c r="E121" s="881" t="s">
        <v>1245</v>
      </c>
      <c r="F121" s="785" t="s">
        <v>1243</v>
      </c>
    </row>
    <row r="122" spans="2:6" ht="32.25" customHeight="1" x14ac:dyDescent="0.45">
      <c r="B122" s="1128" t="s">
        <v>1201</v>
      </c>
      <c r="C122" s="1060" t="s">
        <v>1196</v>
      </c>
      <c r="D122" s="1034" t="s">
        <v>1198</v>
      </c>
      <c r="E122" s="882" t="s">
        <v>1329</v>
      </c>
      <c r="F122" s="785" t="s">
        <v>1243</v>
      </c>
    </row>
    <row r="123" spans="2:6" ht="32.25" customHeight="1" thickBot="1" x14ac:dyDescent="0.5">
      <c r="B123" s="1130"/>
      <c r="C123" s="1061" t="s">
        <v>1197</v>
      </c>
      <c r="D123" s="1062" t="s">
        <v>1199</v>
      </c>
      <c r="E123" s="882" t="s">
        <v>1330</v>
      </c>
      <c r="F123" s="785" t="s">
        <v>1243</v>
      </c>
    </row>
    <row r="124" spans="2:6" ht="32.25" customHeight="1" x14ac:dyDescent="0.45">
      <c r="B124" s="1128" t="s">
        <v>1336</v>
      </c>
      <c r="C124" s="1060" t="s">
        <v>1200</v>
      </c>
      <c r="D124" s="1034" t="s">
        <v>1203</v>
      </c>
      <c r="E124" s="882" t="s">
        <v>1331</v>
      </c>
      <c r="F124" s="785" t="s">
        <v>1243</v>
      </c>
    </row>
    <row r="125" spans="2:6" ht="32.25" customHeight="1" x14ac:dyDescent="0.45">
      <c r="B125" s="1129"/>
      <c r="C125" s="1087" t="s">
        <v>1202</v>
      </c>
      <c r="D125" s="1033" t="s">
        <v>1204</v>
      </c>
      <c r="E125" s="882" t="s">
        <v>1344</v>
      </c>
      <c r="F125" s="785" t="s">
        <v>1243</v>
      </c>
    </row>
    <row r="126" spans="2:6" ht="32.25" customHeight="1" thickBot="1" x14ac:dyDescent="0.5">
      <c r="B126" s="1130"/>
      <c r="C126" s="1061" t="s">
        <v>21</v>
      </c>
      <c r="D126" s="1062" t="s">
        <v>1205</v>
      </c>
      <c r="E126" s="882" t="s">
        <v>1246</v>
      </c>
      <c r="F126" s="785" t="s">
        <v>1243</v>
      </c>
    </row>
    <row r="127" spans="2:6" ht="32.25" hidden="1" customHeight="1" thickBot="1" x14ac:dyDescent="0.5">
      <c r="B127" s="1063" t="s">
        <v>1212</v>
      </c>
      <c r="C127" s="1060" t="s">
        <v>1213</v>
      </c>
      <c r="D127" s="1034" t="s">
        <v>1214</v>
      </c>
      <c r="E127" s="882" t="s">
        <v>1247</v>
      </c>
      <c r="F127" s="779"/>
    </row>
    <row r="128" spans="2:6" ht="89.25" customHeight="1" thickBot="1" x14ac:dyDescent="0.5">
      <c r="B128" s="1031" t="s">
        <v>1332</v>
      </c>
      <c r="C128" s="1032" t="s">
        <v>1365</v>
      </c>
      <c r="D128" s="1033" t="s">
        <v>911</v>
      </c>
      <c r="E128" s="400" t="s">
        <v>1259</v>
      </c>
      <c r="F128" s="785" t="s">
        <v>1243</v>
      </c>
    </row>
    <row r="129" spans="2:139" ht="32.25" customHeight="1" x14ac:dyDescent="0.45">
      <c r="B129" s="1124" t="s">
        <v>1333</v>
      </c>
      <c r="C129" s="1010" t="s">
        <v>1076</v>
      </c>
      <c r="D129" s="1034" t="s">
        <v>166</v>
      </c>
      <c r="E129" s="881" t="s">
        <v>1343</v>
      </c>
      <c r="F129" s="785"/>
    </row>
    <row r="130" spans="2:139" ht="32.25" customHeight="1" thickBot="1" x14ac:dyDescent="0.5">
      <c r="B130" s="1125"/>
      <c r="C130" s="1035" t="s">
        <v>1077</v>
      </c>
      <c r="D130" s="1036" t="s">
        <v>167</v>
      </c>
      <c r="E130" s="881" t="s">
        <v>1342</v>
      </c>
      <c r="F130" s="785"/>
    </row>
    <row r="131" spans="2:139" ht="32.25" customHeight="1" x14ac:dyDescent="0.45">
      <c r="B131" s="1126" t="s">
        <v>1102</v>
      </c>
      <c r="C131" s="1037" t="s">
        <v>1100</v>
      </c>
      <c r="D131" s="1036" t="s">
        <v>1103</v>
      </c>
      <c r="E131" s="883" t="s">
        <v>1248</v>
      </c>
      <c r="F131" s="785"/>
    </row>
    <row r="132" spans="2:139" ht="32.25" customHeight="1" thickBot="1" x14ac:dyDescent="0.5">
      <c r="B132" s="1127"/>
      <c r="C132" s="1038" t="s">
        <v>1101</v>
      </c>
      <c r="D132" s="1039" t="s">
        <v>1104</v>
      </c>
      <c r="E132" s="883" t="s">
        <v>1249</v>
      </c>
      <c r="F132" s="785"/>
    </row>
    <row r="133" spans="2:139" ht="32.25" hidden="1" customHeight="1" x14ac:dyDescent="0.45">
      <c r="B133" s="1165" t="s">
        <v>94</v>
      </c>
      <c r="C133" s="474" t="s">
        <v>959</v>
      </c>
      <c r="D133" s="723" t="s">
        <v>316</v>
      </c>
      <c r="E133" s="400" t="s">
        <v>113</v>
      </c>
      <c r="F133" s="785" t="s">
        <v>176</v>
      </c>
    </row>
    <row r="134" spans="2:139" ht="32.25" hidden="1" customHeight="1" thickBot="1" x14ac:dyDescent="0.5">
      <c r="B134" s="1099"/>
      <c r="C134" s="457" t="s">
        <v>294</v>
      </c>
      <c r="D134" s="724" t="s">
        <v>317</v>
      </c>
      <c r="E134" s="400" t="s">
        <v>112</v>
      </c>
      <c r="F134" s="785" t="s">
        <v>177</v>
      </c>
    </row>
    <row r="135" spans="2:139" ht="32.25" hidden="1" customHeight="1" x14ac:dyDescent="0.45">
      <c r="B135" s="1126" t="s">
        <v>1142</v>
      </c>
      <c r="C135" s="1064" t="s">
        <v>353</v>
      </c>
      <c r="D135" s="1065" t="s">
        <v>1143</v>
      </c>
      <c r="E135" s="881" t="s">
        <v>1262</v>
      </c>
      <c r="F135" s="785"/>
    </row>
    <row r="136" spans="2:139" ht="32.25" hidden="1" customHeight="1" thickBot="1" x14ac:dyDescent="0.5">
      <c r="B136" s="1149"/>
      <c r="C136" s="1066" t="s">
        <v>351</v>
      </c>
      <c r="D136" s="1067" t="s">
        <v>1144</v>
      </c>
      <c r="E136" s="881" t="s">
        <v>1261</v>
      </c>
      <c r="F136" s="785"/>
    </row>
    <row r="137" spans="2:139" ht="38.25" customHeight="1" x14ac:dyDescent="0.45">
      <c r="B137" s="1128" t="s">
        <v>1334</v>
      </c>
      <c r="C137" s="1060" t="s">
        <v>1196</v>
      </c>
      <c r="D137" s="1034" t="s">
        <v>1207</v>
      </c>
      <c r="E137" s="884" t="s">
        <v>1341</v>
      </c>
      <c r="F137" s="786"/>
    </row>
    <row r="138" spans="2:139" ht="43.5" customHeight="1" thickBot="1" x14ac:dyDescent="0.5">
      <c r="B138" s="1130"/>
      <c r="C138" s="1061" t="s">
        <v>1197</v>
      </c>
      <c r="D138" s="1062" t="s">
        <v>1208</v>
      </c>
      <c r="E138" s="884" t="s">
        <v>1340</v>
      </c>
      <c r="F138" s="786"/>
    </row>
    <row r="139" spans="2:139" ht="32.25" customHeight="1" x14ac:dyDescent="0.45">
      <c r="B139" s="1128" t="s">
        <v>1335</v>
      </c>
      <c r="C139" s="1060" t="s">
        <v>1200</v>
      </c>
      <c r="D139" s="1034" t="s">
        <v>1209</v>
      </c>
      <c r="E139" s="884" t="s">
        <v>1337</v>
      </c>
      <c r="F139" s="786"/>
    </row>
    <row r="140" spans="2:139" ht="32.25" customHeight="1" x14ac:dyDescent="0.45">
      <c r="B140" s="1129"/>
      <c r="C140" s="1087" t="s">
        <v>1202</v>
      </c>
      <c r="D140" s="1033" t="s">
        <v>1210</v>
      </c>
      <c r="E140" s="884" t="s">
        <v>1338</v>
      </c>
      <c r="F140" s="786"/>
    </row>
    <row r="141" spans="2:139" ht="72" customHeight="1" thickBot="1" x14ac:dyDescent="0.5">
      <c r="B141" s="1130"/>
      <c r="C141" s="1061" t="s">
        <v>21</v>
      </c>
      <c r="D141" s="1062" t="s">
        <v>1211</v>
      </c>
      <c r="E141" s="435" t="s">
        <v>1339</v>
      </c>
      <c r="F141" s="786"/>
    </row>
    <row r="142" spans="2:139" ht="49.5" hidden="1" customHeight="1" thickBot="1" x14ac:dyDescent="0.5">
      <c r="B142" s="1030" t="s">
        <v>1215</v>
      </c>
      <c r="C142" s="1028" t="s">
        <v>1216</v>
      </c>
      <c r="D142" s="1029" t="s">
        <v>1217</v>
      </c>
      <c r="E142" s="435" t="s">
        <v>1260</v>
      </c>
      <c r="F142" s="786"/>
    </row>
    <row r="143" spans="2:139" x14ac:dyDescent="0.45">
      <c r="B143" s="1092" t="s">
        <v>1145</v>
      </c>
      <c r="C143" s="1093"/>
      <c r="D143" s="1093"/>
      <c r="E143" s="1093"/>
      <c r="F143" s="1094"/>
    </row>
    <row r="144" spans="2:139" s="18" customFormat="1" ht="33.4" customHeight="1" x14ac:dyDescent="0.4">
      <c r="B144" s="1092" t="s">
        <v>1183</v>
      </c>
      <c r="C144" s="1093"/>
      <c r="D144" s="1093"/>
      <c r="E144" s="1093"/>
      <c r="F144" s="1094"/>
      <c r="G144" s="773"/>
      <c r="H144" s="773"/>
      <c r="I144" s="773"/>
      <c r="J144" s="773"/>
      <c r="K144" s="773"/>
      <c r="L144" s="773"/>
      <c r="M144" s="773"/>
      <c r="N144" s="773"/>
      <c r="O144" s="773"/>
      <c r="P144" s="773"/>
      <c r="Q144" s="773"/>
      <c r="R144" s="773"/>
      <c r="S144" s="773"/>
      <c r="T144" s="773"/>
      <c r="U144" s="773"/>
      <c r="V144" s="773"/>
      <c r="W144" s="773"/>
      <c r="X144" s="773"/>
      <c r="Y144" s="773"/>
      <c r="Z144" s="773"/>
      <c r="AA144" s="773"/>
      <c r="AB144" s="773"/>
      <c r="AC144" s="773"/>
      <c r="AD144" s="773"/>
      <c r="AE144" s="773"/>
      <c r="AF144" s="773"/>
      <c r="AG144" s="773"/>
      <c r="AH144" s="773"/>
      <c r="AI144" s="773"/>
      <c r="AJ144" s="773"/>
      <c r="AK144" s="773"/>
      <c r="AL144" s="773"/>
      <c r="AM144" s="773"/>
      <c r="AN144" s="773"/>
      <c r="AO144" s="444">
        <v>97</v>
      </c>
      <c r="AP144" s="74"/>
      <c r="AQ144" s="774"/>
      <c r="AR144" s="775"/>
      <c r="AS144" s="775"/>
      <c r="AT144" s="775"/>
      <c r="AU144" s="775"/>
      <c r="AV144" s="775"/>
      <c r="AW144" s="775"/>
      <c r="AX144" s="775"/>
      <c r="AY144" s="775"/>
      <c r="AZ144" s="775"/>
      <c r="BA144" s="775"/>
      <c r="BB144" s="775"/>
      <c r="BC144" s="775"/>
      <c r="BD144" s="775"/>
      <c r="BE144" s="775"/>
      <c r="BF144" s="775"/>
      <c r="BG144" s="775"/>
      <c r="BH144" s="775"/>
      <c r="BI144" s="775"/>
      <c r="BJ144" s="775"/>
      <c r="BK144" s="775"/>
      <c r="BL144" s="775"/>
      <c r="BM144" s="775"/>
      <c r="BN144" s="775"/>
      <c r="BO144" s="775"/>
      <c r="BP144" s="775"/>
      <c r="BQ144" s="775"/>
      <c r="BR144" s="775"/>
      <c r="BS144" s="775"/>
      <c r="BT144" s="775"/>
      <c r="BU144" s="775"/>
      <c r="BV144" s="775"/>
      <c r="BW144" s="775"/>
      <c r="BX144" s="775"/>
      <c r="BY144" s="775"/>
      <c r="BZ144" s="775"/>
      <c r="CA144" s="775"/>
      <c r="CB144" s="775"/>
      <c r="CC144" s="775"/>
      <c r="CD144" s="775"/>
      <c r="CE144" s="775"/>
      <c r="CF144" s="775"/>
      <c r="CG144" s="775"/>
      <c r="CH144" s="775"/>
      <c r="CI144" s="775"/>
      <c r="CJ144" s="775"/>
      <c r="CK144" s="775"/>
      <c r="CL144" s="775"/>
      <c r="CM144" s="775"/>
      <c r="CN144" s="775"/>
      <c r="CO144" s="775"/>
      <c r="CP144" s="775"/>
      <c r="CQ144" s="775"/>
      <c r="CR144" s="775"/>
      <c r="CS144" s="775"/>
      <c r="CT144" s="775"/>
      <c r="CU144" s="775"/>
      <c r="CV144" s="775"/>
      <c r="CW144" s="775"/>
      <c r="CX144" s="775"/>
      <c r="CY144" s="775"/>
      <c r="CZ144" s="775"/>
      <c r="DA144" s="775"/>
      <c r="DB144" s="775"/>
      <c r="DC144" s="775"/>
      <c r="DD144" s="775"/>
      <c r="DE144" s="775"/>
      <c r="DF144" s="775"/>
      <c r="DG144" s="775"/>
      <c r="DH144" s="775"/>
      <c r="DI144" s="775"/>
      <c r="DJ144" s="775"/>
      <c r="DK144" s="775"/>
      <c r="DL144" s="775"/>
      <c r="DM144" s="775"/>
      <c r="DN144" s="775"/>
      <c r="DO144" s="775"/>
      <c r="DP144" s="775"/>
      <c r="DQ144" s="775"/>
      <c r="DR144" s="775"/>
      <c r="DS144" s="775"/>
      <c r="DT144" s="775"/>
      <c r="DU144" s="775"/>
      <c r="DV144" s="775"/>
      <c r="DW144" s="775"/>
      <c r="DX144" s="775"/>
      <c r="DY144" s="775"/>
      <c r="DZ144" s="775"/>
      <c r="EA144" s="775"/>
      <c r="EB144" s="775"/>
      <c r="EC144" s="775"/>
      <c r="ED144" s="775"/>
      <c r="EE144" s="775"/>
      <c r="EF144" s="775"/>
      <c r="EG144" s="775"/>
      <c r="EH144" s="775"/>
      <c r="EI144" s="775"/>
    </row>
    <row r="145" spans="1:139" s="738" customFormat="1" ht="85.5" x14ac:dyDescent="0.45">
      <c r="A145" s="764"/>
      <c r="B145" s="1058" t="s">
        <v>1146</v>
      </c>
      <c r="C145" s="456" t="s">
        <v>1307</v>
      </c>
      <c r="D145" s="1059" t="s">
        <v>1184</v>
      </c>
      <c r="E145" s="737" t="s">
        <v>1385</v>
      </c>
      <c r="F145" s="793"/>
      <c r="G145" s="763"/>
      <c r="H145" s="763"/>
      <c r="I145" s="763"/>
      <c r="J145" s="763"/>
      <c r="K145" s="763"/>
      <c r="L145" s="763"/>
      <c r="M145" s="763"/>
      <c r="N145" s="763"/>
      <c r="O145" s="763"/>
      <c r="P145" s="763"/>
      <c r="Q145" s="763"/>
      <c r="R145" s="763"/>
      <c r="S145" s="763"/>
      <c r="T145" s="763"/>
      <c r="U145" s="763"/>
      <c r="V145" s="763"/>
      <c r="W145" s="763"/>
      <c r="X145" s="763"/>
      <c r="Y145" s="763"/>
      <c r="Z145" s="763"/>
      <c r="AA145" s="763"/>
      <c r="AB145" s="763"/>
      <c r="AC145" s="763"/>
      <c r="AD145" s="763"/>
      <c r="AE145" s="763"/>
      <c r="AF145" s="763"/>
      <c r="AG145" s="763"/>
      <c r="AH145" s="763"/>
      <c r="AI145" s="763"/>
      <c r="AJ145" s="763"/>
      <c r="AK145" s="763"/>
      <c r="AL145" s="763"/>
      <c r="AM145" s="763"/>
      <c r="AN145" s="763"/>
      <c r="AO145" s="763"/>
      <c r="AP145" s="763"/>
      <c r="AQ145" s="763"/>
      <c r="AR145" s="763"/>
      <c r="AS145" s="763"/>
      <c r="AT145" s="763"/>
      <c r="AU145" s="763"/>
      <c r="AV145" s="763"/>
      <c r="AW145" s="763"/>
      <c r="AX145" s="763"/>
      <c r="AY145" s="763"/>
      <c r="AZ145" s="763"/>
      <c r="BA145" s="763"/>
      <c r="BB145" s="763"/>
      <c r="BC145" s="763"/>
      <c r="BD145" s="763"/>
      <c r="BE145" s="763"/>
      <c r="BF145" s="763"/>
      <c r="BG145" s="763"/>
      <c r="BH145" s="763"/>
      <c r="BI145" s="763"/>
      <c r="BJ145" s="763"/>
      <c r="BK145" s="763"/>
      <c r="BL145" s="763"/>
      <c r="BM145" s="763"/>
      <c r="BN145" s="763"/>
      <c r="BO145" s="763"/>
      <c r="BP145" s="763"/>
      <c r="BQ145" s="763"/>
      <c r="BR145" s="763"/>
      <c r="BS145" s="763"/>
      <c r="BT145" s="763"/>
      <c r="BU145" s="763"/>
      <c r="BV145" s="763"/>
      <c r="BW145" s="763"/>
      <c r="BX145" s="763"/>
      <c r="BY145" s="763"/>
      <c r="BZ145" s="763"/>
      <c r="CA145" s="763"/>
      <c r="CB145" s="763"/>
      <c r="CC145" s="763"/>
      <c r="CD145" s="763"/>
      <c r="CE145" s="763"/>
      <c r="CF145" s="763"/>
      <c r="CG145" s="763"/>
      <c r="CH145" s="763"/>
      <c r="CI145" s="763"/>
      <c r="CJ145" s="763"/>
      <c r="CK145" s="763"/>
      <c r="CL145" s="763"/>
      <c r="CM145" s="763"/>
      <c r="CN145" s="763"/>
      <c r="CO145" s="763"/>
      <c r="CP145" s="763"/>
      <c r="CQ145" s="763"/>
      <c r="CR145" s="763"/>
      <c r="CS145" s="763"/>
      <c r="CT145" s="763"/>
      <c r="CU145" s="763"/>
      <c r="CV145" s="763"/>
      <c r="CW145" s="763"/>
      <c r="CX145" s="763"/>
      <c r="CY145" s="763"/>
      <c r="CZ145" s="763"/>
      <c r="DA145" s="763"/>
      <c r="DB145" s="763"/>
      <c r="DC145" s="763"/>
      <c r="DD145" s="763"/>
      <c r="DE145" s="763"/>
      <c r="DF145" s="763"/>
      <c r="DG145" s="763"/>
      <c r="DH145" s="763"/>
      <c r="DI145" s="763"/>
      <c r="DJ145" s="763"/>
      <c r="DK145" s="763"/>
      <c r="DL145" s="763"/>
      <c r="DM145" s="763"/>
      <c r="DN145" s="763"/>
      <c r="DO145" s="763"/>
      <c r="DP145" s="763"/>
      <c r="DQ145" s="763"/>
      <c r="DR145" s="763"/>
      <c r="DS145" s="763"/>
      <c r="DT145" s="763"/>
      <c r="DU145" s="763"/>
      <c r="DV145" s="763"/>
      <c r="DW145" s="763"/>
      <c r="DX145" s="763"/>
      <c r="DY145" s="763"/>
      <c r="DZ145" s="763"/>
      <c r="EA145" s="763"/>
      <c r="EB145" s="763"/>
      <c r="EC145" s="763"/>
      <c r="ED145" s="763"/>
      <c r="EE145" s="763"/>
      <c r="EF145" s="763"/>
      <c r="EG145" s="763"/>
      <c r="EH145" s="763"/>
      <c r="EI145" s="763"/>
    </row>
    <row r="146" spans="1:139" s="763" customFormat="1" ht="114" x14ac:dyDescent="0.45">
      <c r="B146" s="1058" t="s">
        <v>1146</v>
      </c>
      <c r="C146" s="456" t="s">
        <v>1299</v>
      </c>
      <c r="D146" s="1059" t="s">
        <v>1277</v>
      </c>
      <c r="E146" s="737" t="s">
        <v>1386</v>
      </c>
      <c r="F146" s="793"/>
    </row>
    <row r="147" spans="1:139" s="18" customFormat="1" ht="33.4" customHeight="1" x14ac:dyDescent="0.4">
      <c r="B147" s="1092" t="s">
        <v>1306</v>
      </c>
      <c r="C147" s="1093"/>
      <c r="D147" s="1093"/>
      <c r="E147" s="1093"/>
      <c r="F147" s="1094"/>
      <c r="G147" s="773"/>
      <c r="H147" s="773"/>
      <c r="I147" s="773"/>
      <c r="J147" s="773"/>
      <c r="K147" s="773"/>
      <c r="L147" s="773"/>
      <c r="M147" s="773"/>
      <c r="N147" s="773"/>
      <c r="O147" s="773"/>
      <c r="P147" s="773"/>
      <c r="Q147" s="773"/>
      <c r="R147" s="773"/>
      <c r="S147" s="773"/>
      <c r="T147" s="773"/>
      <c r="U147" s="773"/>
      <c r="V147" s="773"/>
      <c r="W147" s="773"/>
      <c r="X147" s="773"/>
      <c r="Y147" s="773"/>
      <c r="Z147" s="773"/>
      <c r="AA147" s="773"/>
      <c r="AB147" s="773"/>
      <c r="AC147" s="773"/>
      <c r="AD147" s="773"/>
      <c r="AE147" s="773"/>
      <c r="AF147" s="773"/>
      <c r="AG147" s="773"/>
      <c r="AH147" s="773"/>
      <c r="AI147" s="773"/>
      <c r="AJ147" s="773"/>
      <c r="AK147" s="773"/>
      <c r="AL147" s="773"/>
      <c r="AM147" s="773"/>
      <c r="AN147" s="773"/>
      <c r="AO147" s="444">
        <v>97</v>
      </c>
      <c r="AP147" s="74"/>
      <c r="AQ147" s="774"/>
      <c r="AR147" s="775"/>
      <c r="AS147" s="775"/>
      <c r="AT147" s="775"/>
      <c r="AU147" s="775"/>
      <c r="AV147" s="775"/>
      <c r="AW147" s="775"/>
      <c r="AX147" s="775"/>
      <c r="AY147" s="775"/>
      <c r="AZ147" s="775"/>
      <c r="BA147" s="775"/>
      <c r="BB147" s="775"/>
      <c r="BC147" s="775"/>
      <c r="BD147" s="775"/>
      <c r="BE147" s="775"/>
      <c r="BF147" s="775"/>
      <c r="BG147" s="775"/>
      <c r="BH147" s="775"/>
      <c r="BI147" s="775"/>
      <c r="BJ147" s="775"/>
      <c r="BK147" s="775"/>
      <c r="BL147" s="775"/>
      <c r="BM147" s="775"/>
      <c r="BN147" s="775"/>
      <c r="BO147" s="775"/>
      <c r="BP147" s="775"/>
      <c r="BQ147" s="775"/>
      <c r="BR147" s="775"/>
      <c r="BS147" s="775"/>
      <c r="BT147" s="775"/>
      <c r="BU147" s="775"/>
      <c r="BV147" s="775"/>
      <c r="BW147" s="775"/>
      <c r="BX147" s="775"/>
      <c r="BY147" s="775"/>
      <c r="BZ147" s="775"/>
      <c r="CA147" s="775"/>
      <c r="CB147" s="775"/>
      <c r="CC147" s="775"/>
      <c r="CD147" s="775"/>
      <c r="CE147" s="775"/>
      <c r="CF147" s="775"/>
      <c r="CG147" s="775"/>
      <c r="CH147" s="775"/>
      <c r="CI147" s="775"/>
      <c r="CJ147" s="775"/>
      <c r="CK147" s="775"/>
      <c r="CL147" s="775"/>
      <c r="CM147" s="775"/>
      <c r="CN147" s="775"/>
      <c r="CO147" s="775"/>
      <c r="CP147" s="775"/>
      <c r="CQ147" s="775"/>
      <c r="CR147" s="775"/>
      <c r="CS147" s="775"/>
      <c r="CT147" s="775"/>
      <c r="CU147" s="775"/>
      <c r="CV147" s="775"/>
      <c r="CW147" s="775"/>
      <c r="CX147" s="775"/>
      <c r="CY147" s="775"/>
      <c r="CZ147" s="775"/>
      <c r="DA147" s="775"/>
      <c r="DB147" s="775"/>
      <c r="DC147" s="775"/>
      <c r="DD147" s="775"/>
      <c r="DE147" s="775"/>
      <c r="DF147" s="775"/>
      <c r="DG147" s="775"/>
      <c r="DH147" s="775"/>
      <c r="DI147" s="775"/>
      <c r="DJ147" s="775"/>
      <c r="DK147" s="775"/>
      <c r="DL147" s="775"/>
      <c r="DM147" s="775"/>
      <c r="DN147" s="775"/>
      <c r="DO147" s="775"/>
      <c r="DP147" s="775"/>
      <c r="DQ147" s="775"/>
      <c r="DR147" s="775"/>
      <c r="DS147" s="775"/>
      <c r="DT147" s="775"/>
      <c r="DU147" s="775"/>
      <c r="DV147" s="775"/>
      <c r="DW147" s="775"/>
      <c r="DX147" s="775"/>
      <c r="DY147" s="775"/>
      <c r="DZ147" s="775"/>
      <c r="EA147" s="775"/>
      <c r="EB147" s="775"/>
      <c r="EC147" s="775"/>
      <c r="ED147" s="775"/>
      <c r="EE147" s="775"/>
      <c r="EF147" s="775"/>
      <c r="EG147" s="775"/>
      <c r="EH147" s="775"/>
      <c r="EI147" s="775"/>
    </row>
    <row r="148" spans="1:139" ht="57" x14ac:dyDescent="0.45">
      <c r="B148" s="1099" t="s">
        <v>857</v>
      </c>
      <c r="C148" s="736" t="s">
        <v>960</v>
      </c>
      <c r="D148" s="723" t="s">
        <v>179</v>
      </c>
      <c r="E148" s="737" t="s">
        <v>67</v>
      </c>
      <c r="F148" s="792" t="s">
        <v>1387</v>
      </c>
    </row>
    <row r="149" spans="1:139" ht="57" x14ac:dyDescent="0.45">
      <c r="B149" s="1099"/>
      <c r="C149" s="456" t="s">
        <v>961</v>
      </c>
      <c r="D149" s="724" t="s">
        <v>180</v>
      </c>
      <c r="E149" s="400" t="s">
        <v>859</v>
      </c>
      <c r="F149" s="785" t="s">
        <v>1387</v>
      </c>
      <c r="G149" s="1169"/>
      <c r="H149" s="1169"/>
      <c r="I149" s="1169"/>
      <c r="J149" s="1169"/>
      <c r="K149" s="1169"/>
      <c r="L149" s="1169"/>
      <c r="M149" s="1169"/>
      <c r="N149" s="1169"/>
    </row>
    <row r="150" spans="1:139" ht="57" x14ac:dyDescent="0.45">
      <c r="B150" s="1099" t="s">
        <v>858</v>
      </c>
      <c r="C150" s="456" t="s">
        <v>962</v>
      </c>
      <c r="D150" s="724" t="s">
        <v>181</v>
      </c>
      <c r="E150" s="400" t="s">
        <v>860</v>
      </c>
      <c r="F150" s="785" t="s">
        <v>1387</v>
      </c>
    </row>
    <row r="151" spans="1:139" ht="57" x14ac:dyDescent="0.45">
      <c r="B151" s="1099"/>
      <c r="C151" s="456" t="s">
        <v>961</v>
      </c>
      <c r="D151" s="724" t="s">
        <v>182</v>
      </c>
      <c r="E151" s="400" t="s">
        <v>861</v>
      </c>
      <c r="F151" s="785" t="s">
        <v>1387</v>
      </c>
    </row>
    <row r="152" spans="1:139" ht="57" x14ac:dyDescent="0.45">
      <c r="B152" s="1099" t="s">
        <v>27</v>
      </c>
      <c r="C152" s="457" t="s">
        <v>295</v>
      </c>
      <c r="D152" s="724" t="s">
        <v>183</v>
      </c>
      <c r="E152" s="400" t="s">
        <v>68</v>
      </c>
      <c r="F152" s="785" t="s">
        <v>1387</v>
      </c>
    </row>
    <row r="153" spans="1:139" ht="57" x14ac:dyDescent="0.45">
      <c r="B153" s="1099"/>
      <c r="C153" s="457" t="s">
        <v>296</v>
      </c>
      <c r="D153" s="724" t="s">
        <v>184</v>
      </c>
      <c r="E153" s="400" t="s">
        <v>178</v>
      </c>
      <c r="F153" s="785" t="s">
        <v>1387</v>
      </c>
    </row>
    <row r="154" spans="1:139" ht="57" x14ac:dyDescent="0.45">
      <c r="B154" s="1099" t="s">
        <v>28</v>
      </c>
      <c r="C154" s="457" t="s">
        <v>295</v>
      </c>
      <c r="D154" s="724" t="s">
        <v>185</v>
      </c>
      <c r="E154" s="400" t="s">
        <v>69</v>
      </c>
      <c r="F154" s="785" t="s">
        <v>1387</v>
      </c>
    </row>
    <row r="155" spans="1:139" ht="57" x14ac:dyDescent="0.45">
      <c r="B155" s="1099"/>
      <c r="C155" s="409" t="s">
        <v>963</v>
      </c>
      <c r="D155" s="724" t="s">
        <v>186</v>
      </c>
      <c r="E155" s="400" t="s">
        <v>178</v>
      </c>
      <c r="F155" s="785" t="s">
        <v>1387</v>
      </c>
    </row>
    <row r="156" spans="1:139" ht="57" x14ac:dyDescent="0.45">
      <c r="B156" s="1099" t="s">
        <v>29</v>
      </c>
      <c r="C156" s="409" t="s">
        <v>295</v>
      </c>
      <c r="D156" s="724" t="s">
        <v>187</v>
      </c>
      <c r="E156" s="400" t="s">
        <v>70</v>
      </c>
      <c r="F156" s="785" t="s">
        <v>1387</v>
      </c>
    </row>
    <row r="157" spans="1:139" ht="57" x14ac:dyDescent="0.45">
      <c r="B157" s="1099"/>
      <c r="C157" s="457" t="s">
        <v>964</v>
      </c>
      <c r="D157" s="724" t="s">
        <v>188</v>
      </c>
      <c r="E157" s="400" t="s">
        <v>178</v>
      </c>
      <c r="F157" s="785" t="s">
        <v>1387</v>
      </c>
    </row>
    <row r="158" spans="1:139" ht="57" x14ac:dyDescent="0.45">
      <c r="B158" s="1099" t="s">
        <v>30</v>
      </c>
      <c r="C158" s="457" t="s">
        <v>295</v>
      </c>
      <c r="D158" s="724" t="s">
        <v>189</v>
      </c>
      <c r="E158" s="400" t="s">
        <v>71</v>
      </c>
      <c r="F158" s="785" t="s">
        <v>1387</v>
      </c>
    </row>
    <row r="159" spans="1:139" ht="57" x14ac:dyDescent="0.45">
      <c r="B159" s="1099"/>
      <c r="C159" s="457" t="s">
        <v>297</v>
      </c>
      <c r="D159" s="724" t="s">
        <v>190</v>
      </c>
      <c r="E159" s="400" t="s">
        <v>178</v>
      </c>
      <c r="F159" s="785" t="s">
        <v>1387</v>
      </c>
    </row>
    <row r="160" spans="1:139" s="18" customFormat="1" ht="33.4" customHeight="1" x14ac:dyDescent="0.4">
      <c r="B160" s="1092" t="s">
        <v>1182</v>
      </c>
      <c r="C160" s="1093"/>
      <c r="D160" s="1093"/>
      <c r="E160" s="1093"/>
      <c r="F160" s="1094"/>
      <c r="G160" s="773"/>
      <c r="H160" s="773"/>
      <c r="I160" s="773"/>
      <c r="J160" s="773"/>
      <c r="K160" s="773"/>
      <c r="L160" s="773"/>
      <c r="M160" s="773"/>
      <c r="N160" s="773"/>
      <c r="O160" s="773"/>
      <c r="P160" s="773"/>
      <c r="Q160" s="773"/>
      <c r="R160" s="773"/>
      <c r="S160" s="773"/>
      <c r="T160" s="773"/>
      <c r="U160" s="773"/>
      <c r="V160" s="773"/>
      <c r="W160" s="773"/>
      <c r="X160" s="773"/>
      <c r="Y160" s="773"/>
      <c r="Z160" s="773"/>
      <c r="AA160" s="773"/>
      <c r="AB160" s="773"/>
      <c r="AC160" s="773"/>
      <c r="AD160" s="773"/>
      <c r="AE160" s="773"/>
      <c r="AF160" s="773"/>
      <c r="AG160" s="773"/>
      <c r="AH160" s="773"/>
      <c r="AI160" s="773"/>
      <c r="AJ160" s="773"/>
      <c r="AK160" s="773"/>
      <c r="AL160" s="773"/>
      <c r="AM160" s="773"/>
      <c r="AN160" s="773"/>
      <c r="AO160" s="444">
        <v>97</v>
      </c>
      <c r="AP160" s="74"/>
      <c r="AQ160" s="774"/>
      <c r="AR160" s="775"/>
      <c r="AS160" s="775"/>
      <c r="AT160" s="775"/>
      <c r="AU160" s="775"/>
      <c r="AV160" s="775"/>
      <c r="AW160" s="775"/>
      <c r="AX160" s="775"/>
      <c r="AY160" s="775"/>
      <c r="AZ160" s="775"/>
      <c r="BA160" s="775"/>
      <c r="BB160" s="775"/>
      <c r="BC160" s="775"/>
      <c r="BD160" s="775"/>
      <c r="BE160" s="775"/>
      <c r="BF160" s="775"/>
      <c r="BG160" s="775"/>
      <c r="BH160" s="775"/>
      <c r="BI160" s="775"/>
      <c r="BJ160" s="775"/>
      <c r="BK160" s="775"/>
      <c r="BL160" s="775"/>
      <c r="BM160" s="775"/>
      <c r="BN160" s="775"/>
      <c r="BO160" s="775"/>
      <c r="BP160" s="775"/>
      <c r="BQ160" s="775"/>
      <c r="BR160" s="775"/>
      <c r="BS160" s="775"/>
      <c r="BT160" s="775"/>
      <c r="BU160" s="775"/>
      <c r="BV160" s="775"/>
      <c r="BW160" s="775"/>
      <c r="BX160" s="775"/>
      <c r="BY160" s="775"/>
      <c r="BZ160" s="775"/>
      <c r="CA160" s="775"/>
      <c r="CB160" s="775"/>
      <c r="CC160" s="775"/>
      <c r="CD160" s="775"/>
      <c r="CE160" s="775"/>
      <c r="CF160" s="775"/>
      <c r="CG160" s="775"/>
      <c r="CH160" s="775"/>
      <c r="CI160" s="775"/>
      <c r="CJ160" s="775"/>
      <c r="CK160" s="775"/>
      <c r="CL160" s="775"/>
      <c r="CM160" s="775"/>
      <c r="CN160" s="775"/>
      <c r="CO160" s="775"/>
      <c r="CP160" s="775"/>
      <c r="CQ160" s="775"/>
      <c r="CR160" s="775"/>
      <c r="CS160" s="775"/>
      <c r="CT160" s="775"/>
      <c r="CU160" s="775"/>
      <c r="CV160" s="775"/>
      <c r="CW160" s="775"/>
      <c r="CX160" s="775"/>
      <c r="CY160" s="775"/>
      <c r="CZ160" s="775"/>
      <c r="DA160" s="775"/>
      <c r="DB160" s="775"/>
      <c r="DC160" s="775"/>
      <c r="DD160" s="775"/>
      <c r="DE160" s="775"/>
      <c r="DF160" s="775"/>
      <c r="DG160" s="775"/>
      <c r="DH160" s="775"/>
      <c r="DI160" s="775"/>
      <c r="DJ160" s="775"/>
      <c r="DK160" s="775"/>
      <c r="DL160" s="775"/>
      <c r="DM160" s="775"/>
      <c r="DN160" s="775"/>
      <c r="DO160" s="775"/>
      <c r="DP160" s="775"/>
      <c r="DQ160" s="775"/>
      <c r="DR160" s="775"/>
      <c r="DS160" s="775"/>
      <c r="DT160" s="775"/>
      <c r="DU160" s="775"/>
      <c r="DV160" s="775"/>
      <c r="DW160" s="775"/>
      <c r="DX160" s="775"/>
      <c r="DY160" s="775"/>
      <c r="DZ160" s="775"/>
      <c r="EA160" s="775"/>
      <c r="EB160" s="775"/>
      <c r="EC160" s="775"/>
      <c r="ED160" s="775"/>
      <c r="EE160" s="775"/>
      <c r="EF160" s="775"/>
      <c r="EG160" s="775"/>
      <c r="EH160" s="775"/>
      <c r="EI160" s="775"/>
    </row>
    <row r="161" spans="1:139" s="738" customFormat="1" ht="85.5" x14ac:dyDescent="0.45">
      <c r="A161" s="764"/>
      <c r="B161" s="1058" t="s">
        <v>1181</v>
      </c>
      <c r="C161" s="456" t="s">
        <v>1304</v>
      </c>
      <c r="D161" s="1040" t="s">
        <v>1184</v>
      </c>
      <c r="E161" s="737" t="s">
        <v>1385</v>
      </c>
      <c r="F161" s="793"/>
      <c r="G161" s="763"/>
      <c r="H161" s="763"/>
      <c r="I161" s="763"/>
      <c r="J161" s="763"/>
      <c r="K161" s="763"/>
      <c r="L161" s="763"/>
      <c r="M161" s="763"/>
      <c r="N161" s="763"/>
      <c r="O161" s="763"/>
      <c r="P161" s="763"/>
      <c r="Q161" s="763"/>
      <c r="R161" s="763"/>
      <c r="S161" s="763"/>
      <c r="T161" s="763"/>
      <c r="U161" s="763"/>
      <c r="V161" s="763"/>
      <c r="W161" s="763"/>
      <c r="X161" s="763"/>
      <c r="Y161" s="763"/>
      <c r="Z161" s="763"/>
      <c r="AA161" s="763"/>
      <c r="AB161" s="763"/>
      <c r="AC161" s="763"/>
      <c r="AD161" s="763"/>
      <c r="AE161" s="763"/>
      <c r="AF161" s="763"/>
      <c r="AG161" s="763"/>
      <c r="AH161" s="763"/>
      <c r="AI161" s="763"/>
      <c r="AJ161" s="763"/>
      <c r="AK161" s="763"/>
      <c r="AL161" s="763"/>
      <c r="AM161" s="763"/>
      <c r="AN161" s="763"/>
      <c r="AO161" s="763"/>
      <c r="AP161" s="763"/>
      <c r="AQ161" s="763"/>
      <c r="AR161" s="763"/>
      <c r="AS161" s="763"/>
      <c r="AT161" s="763"/>
      <c r="AU161" s="763"/>
      <c r="AV161" s="763"/>
      <c r="AW161" s="763"/>
      <c r="AX161" s="763"/>
      <c r="AY161" s="763"/>
      <c r="AZ161" s="763"/>
      <c r="BA161" s="763"/>
      <c r="BB161" s="763"/>
      <c r="BC161" s="763"/>
      <c r="BD161" s="763"/>
      <c r="BE161" s="763"/>
      <c r="BF161" s="763"/>
      <c r="BG161" s="763"/>
      <c r="BH161" s="763"/>
      <c r="BI161" s="763"/>
      <c r="BJ161" s="763"/>
      <c r="BK161" s="763"/>
      <c r="BL161" s="763"/>
      <c r="BM161" s="763"/>
      <c r="BN161" s="763"/>
      <c r="BO161" s="763"/>
      <c r="BP161" s="763"/>
      <c r="BQ161" s="763"/>
      <c r="BR161" s="763"/>
      <c r="BS161" s="763"/>
      <c r="BT161" s="763"/>
      <c r="BU161" s="763"/>
      <c r="BV161" s="763"/>
      <c r="BW161" s="763"/>
      <c r="BX161" s="763"/>
      <c r="BY161" s="763"/>
      <c r="BZ161" s="763"/>
      <c r="CA161" s="763"/>
      <c r="CB161" s="763"/>
      <c r="CC161" s="763"/>
      <c r="CD161" s="763"/>
      <c r="CE161" s="763"/>
      <c r="CF161" s="763"/>
      <c r="CG161" s="763"/>
      <c r="CH161" s="763"/>
      <c r="CI161" s="763"/>
      <c r="CJ161" s="763"/>
      <c r="CK161" s="763"/>
      <c r="CL161" s="763"/>
      <c r="CM161" s="763"/>
      <c r="CN161" s="763"/>
      <c r="CO161" s="763"/>
      <c r="CP161" s="763"/>
      <c r="CQ161" s="763"/>
      <c r="CR161" s="763"/>
      <c r="CS161" s="763"/>
      <c r="CT161" s="763"/>
      <c r="CU161" s="763"/>
      <c r="CV161" s="763"/>
      <c r="CW161" s="763"/>
      <c r="CX161" s="763"/>
      <c r="CY161" s="763"/>
      <c r="CZ161" s="763"/>
      <c r="DA161" s="763"/>
      <c r="DB161" s="763"/>
      <c r="DC161" s="763"/>
      <c r="DD161" s="763"/>
      <c r="DE161" s="763"/>
      <c r="DF161" s="763"/>
      <c r="DG161" s="763"/>
      <c r="DH161" s="763"/>
      <c r="DI161" s="763"/>
      <c r="DJ161" s="763"/>
      <c r="DK161" s="763"/>
      <c r="DL161" s="763"/>
      <c r="DM161" s="763"/>
      <c r="DN161" s="763"/>
      <c r="DO161" s="763"/>
      <c r="DP161" s="763"/>
      <c r="DQ161" s="763"/>
      <c r="DR161" s="763"/>
      <c r="DS161" s="763"/>
      <c r="DT161" s="763"/>
      <c r="DU161" s="763"/>
      <c r="DV161" s="763"/>
      <c r="DW161" s="763"/>
      <c r="DX161" s="763"/>
      <c r="DY161" s="763"/>
      <c r="DZ161" s="763"/>
      <c r="EA161" s="763"/>
      <c r="EB161" s="763"/>
      <c r="EC161" s="763"/>
      <c r="ED161" s="763"/>
      <c r="EE161" s="763"/>
      <c r="EF161" s="763"/>
      <c r="EG161" s="763"/>
      <c r="EH161" s="763"/>
      <c r="EI161" s="763"/>
    </row>
    <row r="162" spans="1:139" s="763" customFormat="1" ht="114" x14ac:dyDescent="0.45">
      <c r="B162" s="1058" t="s">
        <v>1181</v>
      </c>
      <c r="C162" s="456" t="s">
        <v>1305</v>
      </c>
      <c r="D162" s="1040" t="s">
        <v>1277</v>
      </c>
      <c r="E162" s="737" t="s">
        <v>1386</v>
      </c>
      <c r="F162" s="793"/>
    </row>
    <row r="163" spans="1:139" s="18" customFormat="1" ht="33.4" customHeight="1" x14ac:dyDescent="0.4">
      <c r="B163" s="1092" t="s">
        <v>1306</v>
      </c>
      <c r="C163" s="1093"/>
      <c r="D163" s="1093"/>
      <c r="E163" s="1093"/>
      <c r="F163" s="1094"/>
      <c r="G163" s="773"/>
      <c r="H163" s="773"/>
      <c r="I163" s="773"/>
      <c r="J163" s="773"/>
      <c r="K163" s="773"/>
      <c r="L163" s="773"/>
      <c r="M163" s="773"/>
      <c r="N163" s="773"/>
      <c r="O163" s="773"/>
      <c r="P163" s="773"/>
      <c r="Q163" s="773"/>
      <c r="R163" s="773"/>
      <c r="S163" s="773"/>
      <c r="T163" s="773"/>
      <c r="U163" s="773"/>
      <c r="V163" s="773"/>
      <c r="W163" s="773"/>
      <c r="X163" s="773"/>
      <c r="Y163" s="773"/>
      <c r="Z163" s="773"/>
      <c r="AA163" s="773"/>
      <c r="AB163" s="773"/>
      <c r="AC163" s="773"/>
      <c r="AD163" s="773"/>
      <c r="AE163" s="773"/>
      <c r="AF163" s="773"/>
      <c r="AG163" s="773"/>
      <c r="AH163" s="773"/>
      <c r="AI163" s="773"/>
      <c r="AJ163" s="773"/>
      <c r="AK163" s="773"/>
      <c r="AL163" s="773"/>
      <c r="AM163" s="773"/>
      <c r="AN163" s="773"/>
      <c r="AO163" s="444">
        <v>97</v>
      </c>
      <c r="AP163" s="74"/>
      <c r="AQ163" s="774"/>
      <c r="AR163" s="775"/>
      <c r="AS163" s="775"/>
      <c r="AT163" s="775"/>
      <c r="AU163" s="775"/>
      <c r="AV163" s="775"/>
      <c r="AW163" s="775"/>
      <c r="AX163" s="775"/>
      <c r="AY163" s="775"/>
      <c r="AZ163" s="775"/>
      <c r="BA163" s="775"/>
      <c r="BB163" s="775"/>
      <c r="BC163" s="775"/>
      <c r="BD163" s="775"/>
      <c r="BE163" s="775"/>
      <c r="BF163" s="775"/>
      <c r="BG163" s="775"/>
      <c r="BH163" s="775"/>
      <c r="BI163" s="775"/>
      <c r="BJ163" s="775"/>
      <c r="BK163" s="775"/>
      <c r="BL163" s="775"/>
      <c r="BM163" s="775"/>
      <c r="BN163" s="775"/>
      <c r="BO163" s="775"/>
      <c r="BP163" s="775"/>
      <c r="BQ163" s="775"/>
      <c r="BR163" s="775"/>
      <c r="BS163" s="775"/>
      <c r="BT163" s="775"/>
      <c r="BU163" s="775"/>
      <c r="BV163" s="775"/>
      <c r="BW163" s="775"/>
      <c r="BX163" s="775"/>
      <c r="BY163" s="775"/>
      <c r="BZ163" s="775"/>
      <c r="CA163" s="775"/>
      <c r="CB163" s="775"/>
      <c r="CC163" s="775"/>
      <c r="CD163" s="775"/>
      <c r="CE163" s="775"/>
      <c r="CF163" s="775"/>
      <c r="CG163" s="775"/>
      <c r="CH163" s="775"/>
      <c r="CI163" s="775"/>
      <c r="CJ163" s="775"/>
      <c r="CK163" s="775"/>
      <c r="CL163" s="775"/>
      <c r="CM163" s="775"/>
      <c r="CN163" s="775"/>
      <c r="CO163" s="775"/>
      <c r="CP163" s="775"/>
      <c r="CQ163" s="775"/>
      <c r="CR163" s="775"/>
      <c r="CS163" s="775"/>
      <c r="CT163" s="775"/>
      <c r="CU163" s="775"/>
      <c r="CV163" s="775"/>
      <c r="CW163" s="775"/>
      <c r="CX163" s="775"/>
      <c r="CY163" s="775"/>
      <c r="CZ163" s="775"/>
      <c r="DA163" s="775"/>
      <c r="DB163" s="775"/>
      <c r="DC163" s="775"/>
      <c r="DD163" s="775"/>
      <c r="DE163" s="775"/>
      <c r="DF163" s="775"/>
      <c r="DG163" s="775"/>
      <c r="DH163" s="775"/>
      <c r="DI163" s="775"/>
      <c r="DJ163" s="775"/>
      <c r="DK163" s="775"/>
      <c r="DL163" s="775"/>
      <c r="DM163" s="775"/>
      <c r="DN163" s="775"/>
      <c r="DO163" s="775"/>
      <c r="DP163" s="775"/>
      <c r="DQ163" s="775"/>
      <c r="DR163" s="775"/>
      <c r="DS163" s="775"/>
      <c r="DT163" s="775"/>
      <c r="DU163" s="775"/>
      <c r="DV163" s="775"/>
      <c r="DW163" s="775"/>
      <c r="DX163" s="775"/>
      <c r="DY163" s="775"/>
      <c r="DZ163" s="775"/>
      <c r="EA163" s="775"/>
      <c r="EB163" s="775"/>
      <c r="EC163" s="775"/>
      <c r="ED163" s="775"/>
      <c r="EE163" s="775"/>
      <c r="EF163" s="775"/>
      <c r="EG163" s="775"/>
      <c r="EH163" s="775"/>
      <c r="EI163" s="775"/>
    </row>
    <row r="164" spans="1:139" s="763" customFormat="1" ht="57" x14ac:dyDescent="0.45">
      <c r="B164" s="1088" t="s">
        <v>1160</v>
      </c>
      <c r="C164" s="456" t="s">
        <v>1366</v>
      </c>
      <c r="D164" s="1040" t="s">
        <v>1162</v>
      </c>
      <c r="E164" s="737" t="s">
        <v>1388</v>
      </c>
      <c r="F164" s="792" t="s">
        <v>1387</v>
      </c>
    </row>
    <row r="165" spans="1:139" s="763" customFormat="1" ht="57" x14ac:dyDescent="0.45">
      <c r="B165" s="1088"/>
      <c r="C165" s="456" t="s">
        <v>1148</v>
      </c>
      <c r="D165" s="1040" t="s">
        <v>1163</v>
      </c>
      <c r="E165" s="400" t="s">
        <v>1389</v>
      </c>
      <c r="F165" s="785" t="s">
        <v>1387</v>
      </c>
    </row>
    <row r="166" spans="1:139" s="763" customFormat="1" ht="57" x14ac:dyDescent="0.45">
      <c r="B166" s="1088" t="s">
        <v>1161</v>
      </c>
      <c r="C166" s="456" t="s">
        <v>1149</v>
      </c>
      <c r="D166" s="1040" t="s">
        <v>1164</v>
      </c>
      <c r="E166" s="400" t="s">
        <v>1390</v>
      </c>
      <c r="F166" s="785" t="s">
        <v>1387</v>
      </c>
    </row>
    <row r="167" spans="1:139" s="763" customFormat="1" ht="57" x14ac:dyDescent="0.45">
      <c r="B167" s="1088"/>
      <c r="C167" s="456" t="s">
        <v>1148</v>
      </c>
      <c r="D167" s="1040" t="s">
        <v>1165</v>
      </c>
      <c r="E167" s="400" t="s">
        <v>1391</v>
      </c>
      <c r="F167" s="785" t="s">
        <v>1387</v>
      </c>
    </row>
    <row r="168" spans="1:139" ht="28.5" customHeight="1" x14ac:dyDescent="0.45">
      <c r="B168" s="1089" t="s">
        <v>1175</v>
      </c>
      <c r="C168" s="1041" t="s">
        <v>608</v>
      </c>
      <c r="D168" s="1040" t="s">
        <v>1166</v>
      </c>
      <c r="E168" s="400" t="s">
        <v>68</v>
      </c>
      <c r="F168" s="785" t="s">
        <v>1387</v>
      </c>
    </row>
    <row r="169" spans="1:139" ht="57" x14ac:dyDescent="0.45">
      <c r="B169" s="1089"/>
      <c r="C169" s="1041" t="s">
        <v>609</v>
      </c>
      <c r="D169" s="1040" t="s">
        <v>1167</v>
      </c>
      <c r="E169" s="400" t="s">
        <v>1392</v>
      </c>
      <c r="F169" s="785" t="s">
        <v>1387</v>
      </c>
    </row>
    <row r="170" spans="1:139" ht="57" x14ac:dyDescent="0.45">
      <c r="B170" s="1089" t="s">
        <v>1174</v>
      </c>
      <c r="C170" s="1041" t="s">
        <v>608</v>
      </c>
      <c r="D170" s="1040" t="s">
        <v>1168</v>
      </c>
      <c r="E170" s="400" t="s">
        <v>69</v>
      </c>
      <c r="F170" s="785" t="s">
        <v>1387</v>
      </c>
    </row>
    <row r="171" spans="1:139" ht="57" customHeight="1" x14ac:dyDescent="0.45">
      <c r="B171" s="1089"/>
      <c r="C171" s="1041" t="s">
        <v>609</v>
      </c>
      <c r="D171" s="1040" t="s">
        <v>1169</v>
      </c>
      <c r="E171" s="400" t="s">
        <v>1392</v>
      </c>
      <c r="F171" s="785" t="s">
        <v>1387</v>
      </c>
    </row>
    <row r="172" spans="1:139" ht="85.5" customHeight="1" x14ac:dyDescent="0.45">
      <c r="B172" s="1089" t="s">
        <v>1176</v>
      </c>
      <c r="C172" s="1041" t="s">
        <v>608</v>
      </c>
      <c r="D172" s="1040" t="s">
        <v>1170</v>
      </c>
      <c r="E172" s="400" t="s">
        <v>70</v>
      </c>
      <c r="F172" s="785" t="s">
        <v>1387</v>
      </c>
    </row>
    <row r="173" spans="1:139" ht="57" x14ac:dyDescent="0.45">
      <c r="B173" s="1089"/>
      <c r="C173" s="1041" t="s">
        <v>609</v>
      </c>
      <c r="D173" s="1040" t="s">
        <v>1171</v>
      </c>
      <c r="E173" s="400" t="s">
        <v>1392</v>
      </c>
      <c r="F173" s="785" t="s">
        <v>1387</v>
      </c>
    </row>
    <row r="174" spans="1:139" ht="85.5" customHeight="1" x14ac:dyDescent="0.45">
      <c r="B174" s="1089" t="s">
        <v>1177</v>
      </c>
      <c r="C174" s="1041" t="s">
        <v>608</v>
      </c>
      <c r="D174" s="1040" t="s">
        <v>1172</v>
      </c>
      <c r="E174" s="400" t="s">
        <v>71</v>
      </c>
      <c r="F174" s="785" t="s">
        <v>1387</v>
      </c>
    </row>
    <row r="175" spans="1:139" ht="57" x14ac:dyDescent="0.45">
      <c r="B175" s="1089"/>
      <c r="C175" s="1041" t="s">
        <v>609</v>
      </c>
      <c r="D175" s="1040" t="s">
        <v>1173</v>
      </c>
      <c r="E175" s="400" t="s">
        <v>1392</v>
      </c>
      <c r="F175" s="785" t="s">
        <v>1387</v>
      </c>
    </row>
    <row r="176" spans="1:139" x14ac:dyDescent="0.45">
      <c r="B176" s="1162" t="s">
        <v>103</v>
      </c>
      <c r="C176" s="1163"/>
      <c r="D176" s="1163"/>
      <c r="E176" s="1163"/>
      <c r="F176" s="1164"/>
    </row>
    <row r="177" spans="2:139" ht="57" x14ac:dyDescent="0.45">
      <c r="B177" s="1099" t="s">
        <v>31</v>
      </c>
      <c r="C177" s="456" t="s">
        <v>965</v>
      </c>
      <c r="D177" s="724" t="s">
        <v>318</v>
      </c>
      <c r="E177" s="400" t="s">
        <v>45</v>
      </c>
      <c r="F177" s="785" t="s">
        <v>193</v>
      </c>
    </row>
    <row r="178" spans="2:139" ht="57" x14ac:dyDescent="0.45">
      <c r="B178" s="1099"/>
      <c r="C178" s="456" t="s">
        <v>192</v>
      </c>
      <c r="D178" s="724" t="s">
        <v>191</v>
      </c>
      <c r="E178" s="400" t="s">
        <v>47</v>
      </c>
      <c r="F178" s="785" t="s">
        <v>194</v>
      </c>
    </row>
    <row r="179" spans="2:139" x14ac:dyDescent="0.45">
      <c r="B179" s="1099"/>
      <c r="C179" s="410" t="s">
        <v>894</v>
      </c>
      <c r="D179" s="730" t="s">
        <v>891</v>
      </c>
      <c r="E179" s="400"/>
      <c r="F179" s="785"/>
    </row>
    <row r="180" spans="2:139" ht="57" x14ac:dyDescent="0.45">
      <c r="B180" s="1099"/>
      <c r="C180" s="456" t="s">
        <v>966</v>
      </c>
      <c r="D180" s="724" t="s">
        <v>319</v>
      </c>
      <c r="E180" s="400" t="s">
        <v>46</v>
      </c>
      <c r="F180" s="785" t="s">
        <v>195</v>
      </c>
    </row>
    <row r="181" spans="2:139" x14ac:dyDescent="0.45">
      <c r="B181" s="1099"/>
      <c r="C181" s="456" t="s">
        <v>967</v>
      </c>
      <c r="D181" s="724" t="s">
        <v>196</v>
      </c>
      <c r="E181" s="400" t="s">
        <v>48</v>
      </c>
      <c r="F181" s="785" t="s">
        <v>199</v>
      </c>
    </row>
    <row r="182" spans="2:139" ht="57" x14ac:dyDescent="0.45">
      <c r="B182" s="1099"/>
      <c r="C182" s="456" t="s">
        <v>968</v>
      </c>
      <c r="D182" s="724" t="s">
        <v>197</v>
      </c>
      <c r="E182" s="400" t="s">
        <v>49</v>
      </c>
      <c r="F182" s="785" t="s">
        <v>200</v>
      </c>
    </row>
    <row r="183" spans="2:139" ht="57" x14ac:dyDescent="0.45">
      <c r="B183" s="1099"/>
      <c r="C183" s="456" t="s">
        <v>969</v>
      </c>
      <c r="D183" s="724" t="s">
        <v>198</v>
      </c>
      <c r="E183" s="400" t="s">
        <v>50</v>
      </c>
      <c r="F183" s="785" t="s">
        <v>200</v>
      </c>
    </row>
    <row r="184" spans="2:139" ht="57" x14ac:dyDescent="0.45">
      <c r="B184" s="1099" t="s">
        <v>427</v>
      </c>
      <c r="C184" s="456" t="s">
        <v>204</v>
      </c>
      <c r="D184" s="724" t="s">
        <v>320</v>
      </c>
      <c r="E184" s="400" t="s">
        <v>45</v>
      </c>
      <c r="F184" s="785" t="s">
        <v>201</v>
      </c>
    </row>
    <row r="185" spans="2:139" ht="57" x14ac:dyDescent="0.45">
      <c r="B185" s="1099"/>
      <c r="C185" s="456" t="s">
        <v>970</v>
      </c>
      <c r="D185" s="724" t="s">
        <v>321</v>
      </c>
      <c r="E185" s="400" t="s">
        <v>47</v>
      </c>
      <c r="F185" s="785" t="s">
        <v>202</v>
      </c>
    </row>
    <row r="186" spans="2:139" ht="57" x14ac:dyDescent="0.45">
      <c r="B186" s="1099"/>
      <c r="C186" s="456" t="s">
        <v>205</v>
      </c>
      <c r="D186" s="724" t="s">
        <v>206</v>
      </c>
      <c r="E186" s="400" t="s">
        <v>46</v>
      </c>
      <c r="F186" s="785" t="s">
        <v>203</v>
      </c>
    </row>
    <row r="187" spans="2:139" hidden="1" x14ac:dyDescent="0.45">
      <c r="B187" s="1099"/>
      <c r="C187" s="410" t="s">
        <v>894</v>
      </c>
      <c r="D187" s="730" t="s">
        <v>891</v>
      </c>
      <c r="E187" s="400"/>
      <c r="F187" s="785"/>
    </row>
    <row r="188" spans="2:139" hidden="1" x14ac:dyDescent="0.45">
      <c r="B188" s="1099"/>
      <c r="C188" s="407" t="s">
        <v>298</v>
      </c>
      <c r="D188" s="724" t="s">
        <v>207</v>
      </c>
      <c r="E188" s="400" t="s">
        <v>48</v>
      </c>
      <c r="F188" s="785" t="s">
        <v>210</v>
      </c>
    </row>
    <row r="189" spans="2:139" ht="57" hidden="1" x14ac:dyDescent="0.45">
      <c r="B189" s="1099"/>
      <c r="C189" s="407" t="s">
        <v>968</v>
      </c>
      <c r="D189" s="724" t="s">
        <v>322</v>
      </c>
      <c r="E189" s="400" t="s">
        <v>49</v>
      </c>
      <c r="F189" s="785" t="s">
        <v>211</v>
      </c>
    </row>
    <row r="190" spans="2:139" ht="57" hidden="1" x14ac:dyDescent="0.45">
      <c r="B190" s="1099"/>
      <c r="C190" s="456" t="s">
        <v>208</v>
      </c>
      <c r="D190" s="724" t="s">
        <v>209</v>
      </c>
      <c r="E190" s="400" t="s">
        <v>50</v>
      </c>
      <c r="F190" s="785" t="s">
        <v>211</v>
      </c>
    </row>
    <row r="191" spans="2:139" s="411" customFormat="1" ht="57" hidden="1" x14ac:dyDescent="0.45">
      <c r="B191" s="1099" t="s">
        <v>25</v>
      </c>
      <c r="C191" s="456" t="s">
        <v>971</v>
      </c>
      <c r="D191" s="724" t="s">
        <v>323</v>
      </c>
      <c r="E191" s="400" t="s">
        <v>45</v>
      </c>
      <c r="F191" s="785" t="s">
        <v>212</v>
      </c>
      <c r="G191" s="776"/>
      <c r="H191" s="776"/>
      <c r="I191" s="776"/>
      <c r="J191" s="776"/>
      <c r="K191" s="776"/>
      <c r="L191" s="776"/>
      <c r="M191" s="776"/>
      <c r="N191" s="776"/>
      <c r="O191" s="776"/>
      <c r="P191" s="776"/>
      <c r="Q191" s="776"/>
      <c r="R191" s="776"/>
      <c r="S191" s="776"/>
      <c r="T191" s="776"/>
      <c r="U191" s="776"/>
      <c r="V191" s="776"/>
      <c r="W191" s="776"/>
      <c r="X191" s="776"/>
      <c r="Y191" s="776"/>
      <c r="Z191" s="776"/>
      <c r="AA191" s="776"/>
      <c r="AB191" s="776"/>
      <c r="AC191" s="776"/>
      <c r="AD191" s="776"/>
      <c r="AE191" s="776"/>
      <c r="AF191" s="776"/>
      <c r="AG191" s="776"/>
      <c r="AH191" s="776"/>
      <c r="AI191" s="776"/>
      <c r="AJ191" s="776"/>
      <c r="AK191" s="776"/>
      <c r="AL191" s="776"/>
      <c r="AM191" s="776"/>
      <c r="AN191" s="776"/>
      <c r="AO191" s="776"/>
      <c r="AP191" s="776"/>
      <c r="AQ191" s="776"/>
      <c r="AR191" s="776"/>
      <c r="AS191" s="776"/>
      <c r="AT191" s="776"/>
      <c r="AU191" s="776"/>
      <c r="AV191" s="776"/>
      <c r="AW191" s="776"/>
      <c r="AX191" s="776"/>
      <c r="AY191" s="776"/>
      <c r="AZ191" s="776"/>
      <c r="BA191" s="776"/>
      <c r="BB191" s="776"/>
      <c r="BC191" s="776"/>
      <c r="BD191" s="776"/>
      <c r="BE191" s="776"/>
      <c r="BF191" s="776"/>
      <c r="BG191" s="776"/>
      <c r="BH191" s="776"/>
      <c r="BI191" s="776"/>
      <c r="BJ191" s="776"/>
      <c r="BK191" s="776"/>
      <c r="BL191" s="776"/>
      <c r="BM191" s="776"/>
      <c r="BN191" s="776"/>
      <c r="BO191" s="776"/>
      <c r="BP191" s="776"/>
      <c r="BQ191" s="776"/>
      <c r="BR191" s="776"/>
      <c r="BS191" s="776"/>
      <c r="BT191" s="776"/>
      <c r="BU191" s="776"/>
      <c r="BV191" s="776"/>
      <c r="BW191" s="776"/>
      <c r="BX191" s="776"/>
      <c r="BY191" s="776"/>
      <c r="BZ191" s="776"/>
      <c r="CA191" s="776"/>
      <c r="CB191" s="776"/>
      <c r="CC191" s="776"/>
      <c r="CD191" s="776"/>
      <c r="CE191" s="776"/>
      <c r="CF191" s="776"/>
      <c r="CG191" s="776"/>
      <c r="CH191" s="776"/>
      <c r="CI191" s="776"/>
      <c r="CJ191" s="776"/>
      <c r="CK191" s="776"/>
      <c r="CL191" s="776"/>
      <c r="CM191" s="776"/>
      <c r="CN191" s="776"/>
      <c r="CO191" s="776"/>
      <c r="CP191" s="776"/>
      <c r="CQ191" s="776"/>
      <c r="CR191" s="776"/>
      <c r="CS191" s="776"/>
      <c r="CT191" s="776"/>
      <c r="CU191" s="776"/>
      <c r="CV191" s="776"/>
      <c r="CW191" s="776"/>
      <c r="CX191" s="776"/>
      <c r="CY191" s="776"/>
      <c r="CZ191" s="776"/>
      <c r="DA191" s="776"/>
      <c r="DB191" s="776"/>
      <c r="DC191" s="776"/>
      <c r="DD191" s="776"/>
      <c r="DE191" s="776"/>
      <c r="DF191" s="776"/>
      <c r="DG191" s="776"/>
      <c r="DH191" s="776"/>
      <c r="DI191" s="776"/>
      <c r="DJ191" s="776"/>
      <c r="DK191" s="776"/>
      <c r="DL191" s="776"/>
      <c r="DM191" s="776"/>
      <c r="DN191" s="776"/>
      <c r="DO191" s="776"/>
      <c r="DP191" s="776"/>
      <c r="DQ191" s="776"/>
      <c r="DR191" s="776"/>
      <c r="DS191" s="776"/>
      <c r="DT191" s="776"/>
      <c r="DU191" s="776"/>
      <c r="DV191" s="776"/>
      <c r="DW191" s="776"/>
      <c r="DX191" s="776"/>
      <c r="DY191" s="776"/>
      <c r="DZ191" s="776"/>
      <c r="EA191" s="776"/>
      <c r="EB191" s="776"/>
      <c r="EC191" s="776"/>
      <c r="ED191" s="776"/>
      <c r="EE191" s="776"/>
      <c r="EF191" s="776"/>
      <c r="EG191" s="776"/>
      <c r="EH191" s="776"/>
      <c r="EI191" s="776"/>
    </row>
    <row r="192" spans="2:139" ht="57" hidden="1" x14ac:dyDescent="0.45">
      <c r="B192" s="1099"/>
      <c r="C192" s="407" t="s">
        <v>192</v>
      </c>
      <c r="D192" s="724" t="s">
        <v>324</v>
      </c>
      <c r="E192" s="400" t="s">
        <v>47</v>
      </c>
      <c r="F192" s="785" t="s">
        <v>213</v>
      </c>
    </row>
    <row r="193" spans="2:6" ht="57" hidden="1" x14ac:dyDescent="0.45">
      <c r="B193" s="1099"/>
      <c r="C193" s="456" t="s">
        <v>205</v>
      </c>
      <c r="D193" s="724" t="s">
        <v>325</v>
      </c>
      <c r="E193" s="400" t="s">
        <v>46</v>
      </c>
      <c r="F193" s="785" t="s">
        <v>214</v>
      </c>
    </row>
    <row r="194" spans="2:6" hidden="1" x14ac:dyDescent="0.45">
      <c r="B194" s="1099"/>
      <c r="C194" s="410" t="s">
        <v>894</v>
      </c>
      <c r="D194" s="730" t="s">
        <v>891</v>
      </c>
      <c r="E194" s="400"/>
      <c r="F194" s="785"/>
    </row>
    <row r="195" spans="2:6" hidden="1" x14ac:dyDescent="0.45">
      <c r="B195" s="1099"/>
      <c r="C195" s="456" t="s">
        <v>967</v>
      </c>
      <c r="D195" s="724" t="s">
        <v>217</v>
      </c>
      <c r="E195" s="400" t="s">
        <v>48</v>
      </c>
      <c r="F195" s="785" t="s">
        <v>216</v>
      </c>
    </row>
    <row r="196" spans="2:6" ht="57" hidden="1" x14ac:dyDescent="0.45">
      <c r="B196" s="1099"/>
      <c r="C196" s="456" t="s">
        <v>968</v>
      </c>
      <c r="D196" s="724" t="s">
        <v>326</v>
      </c>
      <c r="E196" s="400" t="s">
        <v>49</v>
      </c>
      <c r="F196" s="785" t="s">
        <v>215</v>
      </c>
    </row>
    <row r="197" spans="2:6" ht="57" hidden="1" x14ac:dyDescent="0.45">
      <c r="B197" s="1099"/>
      <c r="C197" s="456" t="s">
        <v>208</v>
      </c>
      <c r="D197" s="724" t="s">
        <v>327</v>
      </c>
      <c r="E197" s="400" t="s">
        <v>50</v>
      </c>
      <c r="F197" s="785" t="s">
        <v>215</v>
      </c>
    </row>
    <row r="198" spans="2:6" hidden="1" x14ac:dyDescent="0.45">
      <c r="B198" s="1159" t="s">
        <v>104</v>
      </c>
      <c r="C198" s="1160"/>
      <c r="D198" s="1160"/>
      <c r="E198" s="1160"/>
      <c r="F198" s="1161"/>
    </row>
    <row r="199" spans="2:6" hidden="1" x14ac:dyDescent="0.45">
      <c r="B199" s="1099" t="s">
        <v>773</v>
      </c>
      <c r="C199" s="456" t="s">
        <v>615</v>
      </c>
      <c r="D199" s="731" t="s">
        <v>476</v>
      </c>
      <c r="E199" s="400" t="s">
        <v>651</v>
      </c>
      <c r="F199" s="794" t="s">
        <v>667</v>
      </c>
    </row>
    <row r="200" spans="2:6" hidden="1" x14ac:dyDescent="0.45">
      <c r="B200" s="1099"/>
      <c r="C200" s="456" t="s">
        <v>812</v>
      </c>
      <c r="D200" s="731" t="s">
        <v>477</v>
      </c>
      <c r="E200" s="400" t="s">
        <v>668</v>
      </c>
      <c r="F200" s="795" t="s">
        <v>669</v>
      </c>
    </row>
    <row r="201" spans="2:6" hidden="1" x14ac:dyDescent="0.45">
      <c r="B201" s="1099"/>
      <c r="C201" s="406" t="s">
        <v>816</v>
      </c>
      <c r="D201" s="731" t="s">
        <v>777</v>
      </c>
      <c r="E201" s="400" t="s">
        <v>827</v>
      </c>
      <c r="F201" s="795" t="s">
        <v>828</v>
      </c>
    </row>
    <row r="202" spans="2:6" hidden="1" x14ac:dyDescent="0.45">
      <c r="B202" s="1099"/>
      <c r="C202" s="456" t="s">
        <v>768</v>
      </c>
      <c r="D202" s="731" t="s">
        <v>778</v>
      </c>
      <c r="E202" s="400" t="s">
        <v>829</v>
      </c>
      <c r="F202" s="795" t="s">
        <v>828</v>
      </c>
    </row>
    <row r="203" spans="2:6" ht="57" hidden="1" x14ac:dyDescent="0.45">
      <c r="B203" s="1099"/>
      <c r="C203" s="456" t="s">
        <v>769</v>
      </c>
      <c r="D203" s="731" t="s">
        <v>779</v>
      </c>
      <c r="E203" s="400" t="s">
        <v>830</v>
      </c>
      <c r="F203" s="795" t="s">
        <v>831</v>
      </c>
    </row>
    <row r="204" spans="2:6" hidden="1" x14ac:dyDescent="0.45">
      <c r="B204" s="1099"/>
      <c r="C204" s="456" t="s">
        <v>770</v>
      </c>
      <c r="D204" s="731" t="s">
        <v>780</v>
      </c>
      <c r="E204" s="400" t="s">
        <v>832</v>
      </c>
      <c r="F204" s="795" t="s">
        <v>828</v>
      </c>
    </row>
    <row r="205" spans="2:6" hidden="1" x14ac:dyDescent="0.45">
      <c r="B205" s="1099"/>
      <c r="C205" s="456" t="s">
        <v>771</v>
      </c>
      <c r="D205" s="731" t="s">
        <v>781</v>
      </c>
      <c r="E205" s="400" t="s">
        <v>833</v>
      </c>
      <c r="F205" s="795" t="s">
        <v>831</v>
      </c>
    </row>
    <row r="206" spans="2:6" hidden="1" x14ac:dyDescent="0.45">
      <c r="B206" s="1099"/>
      <c r="C206" s="456" t="s">
        <v>772</v>
      </c>
      <c r="D206" s="731" t="s">
        <v>782</v>
      </c>
      <c r="E206" s="400" t="s">
        <v>834</v>
      </c>
      <c r="F206" s="795" t="s">
        <v>828</v>
      </c>
    </row>
    <row r="207" spans="2:6" hidden="1" x14ac:dyDescent="0.45">
      <c r="B207" s="1099"/>
      <c r="C207" s="456" t="s">
        <v>807</v>
      </c>
      <c r="D207" s="731" t="s">
        <v>783</v>
      </c>
      <c r="E207" s="400" t="s">
        <v>838</v>
      </c>
      <c r="F207" s="795" t="s">
        <v>828</v>
      </c>
    </row>
    <row r="208" spans="2:6" hidden="1" x14ac:dyDescent="0.45">
      <c r="B208" s="1099" t="s">
        <v>774</v>
      </c>
      <c r="C208" s="456" t="s">
        <v>818</v>
      </c>
      <c r="D208" s="731" t="s">
        <v>784</v>
      </c>
      <c r="E208" s="400" t="s">
        <v>835</v>
      </c>
      <c r="F208" s="795" t="s">
        <v>836</v>
      </c>
    </row>
    <row r="209" spans="2:6" hidden="1" x14ac:dyDescent="0.45">
      <c r="B209" s="1099"/>
      <c r="C209" s="456" t="s">
        <v>813</v>
      </c>
      <c r="D209" s="731" t="s">
        <v>785</v>
      </c>
      <c r="E209" s="400" t="s">
        <v>837</v>
      </c>
      <c r="F209" s="795" t="s">
        <v>669</v>
      </c>
    </row>
    <row r="210" spans="2:6" hidden="1" x14ac:dyDescent="0.45">
      <c r="B210" s="1099"/>
      <c r="C210" s="406" t="s">
        <v>821</v>
      </c>
      <c r="D210" s="731" t="s">
        <v>786</v>
      </c>
      <c r="E210" s="400" t="s">
        <v>827</v>
      </c>
      <c r="F210" s="795" t="s">
        <v>828</v>
      </c>
    </row>
    <row r="211" spans="2:6" hidden="1" x14ac:dyDescent="0.45">
      <c r="B211" s="1099"/>
      <c r="C211" s="456" t="s">
        <v>768</v>
      </c>
      <c r="D211" s="731" t="s">
        <v>787</v>
      </c>
      <c r="E211" s="400" t="s">
        <v>829</v>
      </c>
      <c r="F211" s="795" t="s">
        <v>828</v>
      </c>
    </row>
    <row r="212" spans="2:6" ht="57" hidden="1" x14ac:dyDescent="0.45">
      <c r="B212" s="1099"/>
      <c r="C212" s="456" t="s">
        <v>769</v>
      </c>
      <c r="D212" s="731" t="s">
        <v>788</v>
      </c>
      <c r="E212" s="400" t="s">
        <v>830</v>
      </c>
      <c r="F212" s="795" t="s">
        <v>831</v>
      </c>
    </row>
    <row r="213" spans="2:6" hidden="1" x14ac:dyDescent="0.45">
      <c r="B213" s="1099"/>
      <c r="C213" s="456" t="s">
        <v>770</v>
      </c>
      <c r="D213" s="731" t="s">
        <v>789</v>
      </c>
      <c r="E213" s="400" t="s">
        <v>832</v>
      </c>
      <c r="F213" s="795" t="s">
        <v>828</v>
      </c>
    </row>
    <row r="214" spans="2:6" hidden="1" x14ac:dyDescent="0.45">
      <c r="B214" s="1099"/>
      <c r="C214" s="456" t="s">
        <v>771</v>
      </c>
      <c r="D214" s="731" t="s">
        <v>790</v>
      </c>
      <c r="E214" s="400" t="s">
        <v>833</v>
      </c>
      <c r="F214" s="795" t="s">
        <v>831</v>
      </c>
    </row>
    <row r="215" spans="2:6" hidden="1" x14ac:dyDescent="0.45">
      <c r="B215" s="1099"/>
      <c r="C215" s="456" t="s">
        <v>772</v>
      </c>
      <c r="D215" s="731" t="s">
        <v>791</v>
      </c>
      <c r="E215" s="400" t="s">
        <v>834</v>
      </c>
      <c r="F215" s="795" t="s">
        <v>828</v>
      </c>
    </row>
    <row r="216" spans="2:6" hidden="1" x14ac:dyDescent="0.45">
      <c r="B216" s="1099"/>
      <c r="C216" s="456" t="s">
        <v>807</v>
      </c>
      <c r="D216" s="731" t="s">
        <v>792</v>
      </c>
      <c r="E216" s="400" t="s">
        <v>838</v>
      </c>
      <c r="F216" s="795" t="s">
        <v>828</v>
      </c>
    </row>
    <row r="217" spans="2:6" hidden="1" x14ac:dyDescent="0.45">
      <c r="B217" s="1099" t="s">
        <v>776</v>
      </c>
      <c r="C217" s="456" t="s">
        <v>819</v>
      </c>
      <c r="D217" s="731" t="s">
        <v>793</v>
      </c>
      <c r="E217" s="400" t="s">
        <v>839</v>
      </c>
      <c r="F217" s="795" t="s">
        <v>840</v>
      </c>
    </row>
    <row r="218" spans="2:6" hidden="1" x14ac:dyDescent="0.45">
      <c r="B218" s="1099"/>
      <c r="C218" s="456" t="s">
        <v>814</v>
      </c>
      <c r="D218" s="731" t="s">
        <v>794</v>
      </c>
      <c r="E218" s="400" t="s">
        <v>841</v>
      </c>
      <c r="F218" s="795" t="s">
        <v>669</v>
      </c>
    </row>
    <row r="219" spans="2:6" hidden="1" x14ac:dyDescent="0.45">
      <c r="B219" s="1099"/>
      <c r="C219" s="406" t="s">
        <v>822</v>
      </c>
      <c r="D219" s="731" t="s">
        <v>795</v>
      </c>
      <c r="E219" s="400" t="s">
        <v>827</v>
      </c>
      <c r="F219" s="795" t="s">
        <v>828</v>
      </c>
    </row>
    <row r="220" spans="2:6" hidden="1" x14ac:dyDescent="0.45">
      <c r="B220" s="1099"/>
      <c r="C220" s="456" t="s">
        <v>768</v>
      </c>
      <c r="D220" s="731" t="s">
        <v>796</v>
      </c>
      <c r="E220" s="400" t="s">
        <v>842</v>
      </c>
      <c r="F220" s="795" t="s">
        <v>828</v>
      </c>
    </row>
    <row r="221" spans="2:6" hidden="1" x14ac:dyDescent="0.45">
      <c r="B221" s="1099"/>
      <c r="C221" s="456" t="s">
        <v>769</v>
      </c>
      <c r="D221" s="731" t="s">
        <v>797</v>
      </c>
      <c r="E221" s="400" t="s">
        <v>843</v>
      </c>
      <c r="F221" s="795" t="s">
        <v>831</v>
      </c>
    </row>
    <row r="222" spans="2:6" hidden="1" x14ac:dyDescent="0.45">
      <c r="B222" s="1099"/>
      <c r="C222" s="456" t="s">
        <v>770</v>
      </c>
      <c r="D222" s="731" t="s">
        <v>798</v>
      </c>
      <c r="E222" s="400" t="s">
        <v>844</v>
      </c>
      <c r="F222" s="795" t="s">
        <v>828</v>
      </c>
    </row>
    <row r="223" spans="2:6" x14ac:dyDescent="0.45">
      <c r="B223" s="1099"/>
      <c r="C223" s="456" t="s">
        <v>771</v>
      </c>
      <c r="D223" s="731" t="s">
        <v>799</v>
      </c>
      <c r="E223" s="400" t="s">
        <v>845</v>
      </c>
      <c r="F223" s="795" t="s">
        <v>831</v>
      </c>
    </row>
    <row r="224" spans="2:6" x14ac:dyDescent="0.45">
      <c r="B224" s="1099"/>
      <c r="C224" s="456" t="s">
        <v>772</v>
      </c>
      <c r="D224" s="731" t="s">
        <v>800</v>
      </c>
      <c r="E224" s="400" t="s">
        <v>834</v>
      </c>
      <c r="F224" s="795" t="s">
        <v>828</v>
      </c>
    </row>
    <row r="225" spans="2:6" x14ac:dyDescent="0.45">
      <c r="B225" s="1099"/>
      <c r="C225" s="456" t="s">
        <v>807</v>
      </c>
      <c r="D225" s="731" t="s">
        <v>801</v>
      </c>
      <c r="E225" s="400" t="s">
        <v>838</v>
      </c>
      <c r="F225" s="795" t="s">
        <v>828</v>
      </c>
    </row>
    <row r="226" spans="2:6" ht="57" x14ac:dyDescent="0.45">
      <c r="B226" s="1086" t="s">
        <v>33</v>
      </c>
      <c r="C226" s="412" t="s">
        <v>973</v>
      </c>
      <c r="D226" s="724" t="s">
        <v>218</v>
      </c>
      <c r="E226" s="413" t="s">
        <v>284</v>
      </c>
      <c r="F226" s="796" t="s">
        <v>219</v>
      </c>
    </row>
    <row r="227" spans="2:6" ht="57" x14ac:dyDescent="0.45">
      <c r="B227" s="1086" t="s">
        <v>32</v>
      </c>
      <c r="C227" s="456" t="s">
        <v>159</v>
      </c>
      <c r="D227" s="724" t="s">
        <v>161</v>
      </c>
      <c r="E227" s="400" t="s">
        <v>238</v>
      </c>
      <c r="F227" s="785" t="s">
        <v>219</v>
      </c>
    </row>
    <row r="228" spans="2:6" x14ac:dyDescent="0.45">
      <c r="B228" s="1085"/>
      <c r="C228" s="409" t="s">
        <v>976</v>
      </c>
      <c r="D228" s="724" t="s">
        <v>226</v>
      </c>
      <c r="E228" s="400" t="s">
        <v>52</v>
      </c>
      <c r="F228" s="785" t="s">
        <v>235</v>
      </c>
    </row>
    <row r="229" spans="2:6" ht="31.5" x14ac:dyDescent="0.45">
      <c r="B229" s="1085"/>
      <c r="C229" s="409" t="s">
        <v>977</v>
      </c>
      <c r="D229" s="724" t="s">
        <v>227</v>
      </c>
      <c r="E229" s="400" t="s">
        <v>53</v>
      </c>
      <c r="F229" s="785" t="s">
        <v>235</v>
      </c>
    </row>
    <row r="230" spans="2:6" x14ac:dyDescent="0.45">
      <c r="B230" s="1085"/>
      <c r="C230" s="1075" t="s">
        <v>1288</v>
      </c>
      <c r="D230" s="724"/>
      <c r="E230" s="400" t="s">
        <v>1393</v>
      </c>
      <c r="F230" s="785"/>
    </row>
    <row r="231" spans="2:6" x14ac:dyDescent="0.45">
      <c r="B231" s="1086"/>
      <c r="C231" s="456" t="s">
        <v>972</v>
      </c>
      <c r="D231" s="724" t="s">
        <v>160</v>
      </c>
      <c r="E231" s="400" t="s">
        <v>51</v>
      </c>
      <c r="F231" s="785" t="s">
        <v>220</v>
      </c>
    </row>
    <row r="232" spans="2:6" x14ac:dyDescent="0.45">
      <c r="B232" s="1086"/>
      <c r="C232" s="1075" t="s">
        <v>1281</v>
      </c>
      <c r="D232" s="724"/>
      <c r="E232" s="400" t="s">
        <v>1394</v>
      </c>
      <c r="F232" s="785"/>
    </row>
    <row r="233" spans="2:6" ht="57" x14ac:dyDescent="0.45">
      <c r="B233" s="1085"/>
      <c r="C233" s="457" t="s">
        <v>300</v>
      </c>
      <c r="D233" s="724" t="s">
        <v>224</v>
      </c>
      <c r="E233" s="400" t="s">
        <v>1395</v>
      </c>
      <c r="F233" s="785" t="s">
        <v>233</v>
      </c>
    </row>
    <row r="234" spans="2:6" x14ac:dyDescent="0.45">
      <c r="B234" s="1085"/>
      <c r="C234" s="457" t="s">
        <v>301</v>
      </c>
      <c r="D234" s="724" t="s">
        <v>225</v>
      </c>
      <c r="E234" s="400" t="s">
        <v>234</v>
      </c>
      <c r="F234" s="785" t="s">
        <v>232</v>
      </c>
    </row>
    <row r="235" spans="2:6" x14ac:dyDescent="0.45">
      <c r="B235" s="1085"/>
      <c r="C235" s="457" t="s">
        <v>974</v>
      </c>
      <c r="D235" s="724" t="s">
        <v>221</v>
      </c>
      <c r="E235" s="400" t="s">
        <v>1396</v>
      </c>
      <c r="F235" s="785" t="s">
        <v>230</v>
      </c>
    </row>
    <row r="236" spans="2:6" x14ac:dyDescent="0.45">
      <c r="B236" s="1085"/>
      <c r="C236" s="457" t="s">
        <v>299</v>
      </c>
      <c r="D236" s="724" t="s">
        <v>222</v>
      </c>
      <c r="E236" s="400" t="s">
        <v>1397</v>
      </c>
      <c r="F236" s="785" t="s">
        <v>230</v>
      </c>
    </row>
    <row r="237" spans="2:6" x14ac:dyDescent="0.45">
      <c r="B237" s="1085"/>
      <c r="C237" s="1076" t="s">
        <v>1313</v>
      </c>
      <c r="D237" s="724"/>
      <c r="E237" s="400" t="s">
        <v>1398</v>
      </c>
      <c r="F237" s="785"/>
    </row>
    <row r="238" spans="2:6" x14ac:dyDescent="0.45">
      <c r="B238" s="1085"/>
      <c r="C238" s="457" t="s">
        <v>975</v>
      </c>
      <c r="D238" s="724" t="s">
        <v>223</v>
      </c>
      <c r="E238" s="400" t="s">
        <v>1399</v>
      </c>
      <c r="F238" s="785" t="s">
        <v>231</v>
      </c>
    </row>
    <row r="239" spans="2:6" x14ac:dyDescent="0.45">
      <c r="B239" s="1095" t="s">
        <v>91</v>
      </c>
      <c r="C239" s="457" t="s">
        <v>236</v>
      </c>
      <c r="D239" s="724" t="s">
        <v>228</v>
      </c>
      <c r="E239" s="400" t="s">
        <v>114</v>
      </c>
      <c r="F239" s="785" t="s">
        <v>220</v>
      </c>
    </row>
    <row r="240" spans="2:6" ht="57" x14ac:dyDescent="0.45">
      <c r="B240" s="1095"/>
      <c r="C240" s="409" t="s">
        <v>237</v>
      </c>
      <c r="D240" s="724" t="s">
        <v>229</v>
      </c>
      <c r="E240" s="400" t="s">
        <v>570</v>
      </c>
      <c r="F240" s="785" t="s">
        <v>220</v>
      </c>
    </row>
    <row r="241" spans="2:6" x14ac:dyDescent="0.45">
      <c r="B241" s="1095"/>
      <c r="C241" s="457" t="s">
        <v>978</v>
      </c>
      <c r="D241" s="724" t="s">
        <v>285</v>
      </c>
      <c r="E241" s="400" t="s">
        <v>287</v>
      </c>
      <c r="F241" s="785" t="s">
        <v>288</v>
      </c>
    </row>
    <row r="242" spans="2:6" ht="57" x14ac:dyDescent="0.45">
      <c r="B242" s="1095"/>
      <c r="C242" s="457" t="s">
        <v>979</v>
      </c>
      <c r="D242" s="724" t="s">
        <v>286</v>
      </c>
      <c r="E242" s="400" t="s">
        <v>289</v>
      </c>
      <c r="F242" s="785" t="s">
        <v>288</v>
      </c>
    </row>
    <row r="243" spans="2:6" x14ac:dyDescent="0.45">
      <c r="B243" s="1100" t="s">
        <v>106</v>
      </c>
      <c r="C243" s="1101"/>
      <c r="D243" s="1101"/>
      <c r="E243" s="1101"/>
      <c r="F243" s="1102"/>
    </row>
    <row r="244" spans="2:6" x14ac:dyDescent="0.45">
      <c r="B244" s="1091" t="s">
        <v>95</v>
      </c>
      <c r="C244" s="412" t="s">
        <v>980</v>
      </c>
      <c r="D244" s="724" t="s">
        <v>328</v>
      </c>
      <c r="E244" s="400" t="s">
        <v>55</v>
      </c>
      <c r="F244" s="785" t="s">
        <v>241</v>
      </c>
    </row>
    <row r="245" spans="2:6" ht="57" x14ac:dyDescent="0.45">
      <c r="B245" s="1091"/>
      <c r="C245" s="412" t="s">
        <v>434</v>
      </c>
      <c r="D245" s="724" t="s">
        <v>239</v>
      </c>
      <c r="E245" s="400" t="s">
        <v>54</v>
      </c>
      <c r="F245" s="785" t="s">
        <v>242</v>
      </c>
    </row>
    <row r="246" spans="2:6" ht="57" x14ac:dyDescent="0.45">
      <c r="B246" s="1091"/>
      <c r="C246" s="456" t="s">
        <v>981</v>
      </c>
      <c r="D246" s="724" t="s">
        <v>240</v>
      </c>
      <c r="E246" s="400" t="s">
        <v>97</v>
      </c>
      <c r="F246" s="785" t="s">
        <v>243</v>
      </c>
    </row>
    <row r="247" spans="2:6" ht="57" x14ac:dyDescent="0.45">
      <c r="B247" s="1091"/>
      <c r="C247" s="412" t="s">
        <v>436</v>
      </c>
      <c r="D247" s="724" t="s">
        <v>329</v>
      </c>
      <c r="E247" s="400" t="s">
        <v>96</v>
      </c>
      <c r="F247" s="785" t="s">
        <v>244</v>
      </c>
    </row>
    <row r="248" spans="2:6" ht="57" x14ac:dyDescent="0.45">
      <c r="B248" s="1091"/>
      <c r="C248" s="408" t="s">
        <v>435</v>
      </c>
      <c r="D248" s="724" t="s">
        <v>439</v>
      </c>
      <c r="E248" s="388" t="s">
        <v>670</v>
      </c>
      <c r="F248" s="779"/>
    </row>
    <row r="249" spans="2:6" ht="57" x14ac:dyDescent="0.45">
      <c r="B249" s="1091"/>
      <c r="C249" s="408" t="s">
        <v>440</v>
      </c>
      <c r="D249" s="724" t="s">
        <v>454</v>
      </c>
      <c r="E249" s="400" t="s">
        <v>671</v>
      </c>
      <c r="F249" s="779"/>
    </row>
    <row r="250" spans="2:6" ht="57" x14ac:dyDescent="0.45">
      <c r="B250" s="1099" t="s">
        <v>982</v>
      </c>
      <c r="C250" s="414" t="s">
        <v>983</v>
      </c>
      <c r="D250" s="724" t="s">
        <v>245</v>
      </c>
      <c r="E250" s="400" t="s">
        <v>571</v>
      </c>
      <c r="F250" s="785" t="s">
        <v>244</v>
      </c>
    </row>
    <row r="251" spans="2:6" ht="114" x14ac:dyDescent="0.45">
      <c r="B251" s="1099"/>
      <c r="C251" s="456" t="s">
        <v>437</v>
      </c>
      <c r="D251" s="724" t="s">
        <v>246</v>
      </c>
      <c r="E251" s="400" t="s">
        <v>572</v>
      </c>
      <c r="F251" s="785" t="s">
        <v>244</v>
      </c>
    </row>
    <row r="252" spans="2:6" x14ac:dyDescent="0.45">
      <c r="B252" s="1099"/>
      <c r="C252" s="456" t="s">
        <v>442</v>
      </c>
      <c r="D252" s="724" t="s">
        <v>444</v>
      </c>
      <c r="E252" s="388" t="s">
        <v>672</v>
      </c>
      <c r="F252" s="779" t="s">
        <v>673</v>
      </c>
    </row>
    <row r="253" spans="2:6" ht="57" x14ac:dyDescent="0.45">
      <c r="B253" s="1099"/>
      <c r="C253" s="456" t="s">
        <v>443</v>
      </c>
      <c r="D253" s="724" t="s">
        <v>445</v>
      </c>
      <c r="E253" s="388" t="s">
        <v>674</v>
      </c>
      <c r="F253" s="779" t="s">
        <v>673</v>
      </c>
    </row>
    <row r="254" spans="2:6" ht="57" x14ac:dyDescent="0.45">
      <c r="B254" s="1090" t="s">
        <v>446</v>
      </c>
      <c r="C254" s="456" t="s">
        <v>302</v>
      </c>
      <c r="D254" s="724" t="s">
        <v>330</v>
      </c>
      <c r="E254" s="400" t="s">
        <v>98</v>
      </c>
      <c r="F254" s="785" t="s">
        <v>675</v>
      </c>
    </row>
    <row r="255" spans="2:6" x14ac:dyDescent="0.45">
      <c r="B255" s="1090"/>
      <c r="C255" s="456" t="s">
        <v>984</v>
      </c>
      <c r="D255" s="724" t="s">
        <v>331</v>
      </c>
      <c r="E255" s="388" t="s">
        <v>676</v>
      </c>
      <c r="F255" s="779" t="s">
        <v>677</v>
      </c>
    </row>
    <row r="256" spans="2:6" x14ac:dyDescent="0.45">
      <c r="B256" s="1090"/>
      <c r="C256" s="407" t="s">
        <v>588</v>
      </c>
      <c r="D256" s="724" t="s">
        <v>589</v>
      </c>
      <c r="E256" s="400" t="s">
        <v>678</v>
      </c>
      <c r="F256" s="785" t="s">
        <v>675</v>
      </c>
    </row>
    <row r="257" spans="2:139" x14ac:dyDescent="0.45">
      <c r="B257" s="1090"/>
      <c r="C257" s="407" t="s">
        <v>985</v>
      </c>
      <c r="D257" s="724" t="s">
        <v>590</v>
      </c>
      <c r="E257" s="388" t="s">
        <v>679</v>
      </c>
      <c r="F257" s="785" t="s">
        <v>677</v>
      </c>
    </row>
    <row r="258" spans="2:139" ht="57" x14ac:dyDescent="0.45">
      <c r="B258" s="1115" t="s">
        <v>449</v>
      </c>
      <c r="C258" s="456" t="s">
        <v>438</v>
      </c>
      <c r="D258" s="724" t="s">
        <v>247</v>
      </c>
      <c r="E258" s="400" t="s">
        <v>99</v>
      </c>
      <c r="F258" s="785" t="s">
        <v>248</v>
      </c>
    </row>
    <row r="259" spans="2:139" ht="85.5" x14ac:dyDescent="0.45">
      <c r="B259" s="1116"/>
      <c r="C259" s="407" t="s">
        <v>986</v>
      </c>
      <c r="D259" s="724" t="s">
        <v>249</v>
      </c>
      <c r="E259" s="400" t="s">
        <v>573</v>
      </c>
      <c r="F259" s="785" t="s">
        <v>248</v>
      </c>
    </row>
    <row r="260" spans="2:139" ht="57" x14ac:dyDescent="0.45">
      <c r="B260" s="1116"/>
      <c r="C260" s="407" t="s">
        <v>447</v>
      </c>
      <c r="D260" s="724" t="s">
        <v>450</v>
      </c>
      <c r="E260" s="388" t="s">
        <v>680</v>
      </c>
      <c r="F260" s="785" t="s">
        <v>681</v>
      </c>
    </row>
    <row r="261" spans="2:139" ht="57.75" thickBot="1" x14ac:dyDescent="0.5">
      <c r="B261" s="1116"/>
      <c r="C261" s="456" t="s">
        <v>448</v>
      </c>
      <c r="D261" s="724" t="s">
        <v>451</v>
      </c>
      <c r="E261" s="388" t="s">
        <v>682</v>
      </c>
      <c r="F261" s="779" t="s">
        <v>683</v>
      </c>
    </row>
    <row r="262" spans="2:139" x14ac:dyDescent="0.45">
      <c r="B262" s="1116"/>
      <c r="C262" s="1021" t="s">
        <v>1367</v>
      </c>
      <c r="D262" s="724" t="s">
        <v>452</v>
      </c>
      <c r="E262" s="388" t="s">
        <v>684</v>
      </c>
      <c r="F262" s="779" t="s">
        <v>685</v>
      </c>
    </row>
    <row r="263" spans="2:139" ht="57.75" thickBot="1" x14ac:dyDescent="0.5">
      <c r="B263" s="1116"/>
      <c r="C263" s="1042" t="s">
        <v>1132</v>
      </c>
      <c r="D263" s="724" t="s">
        <v>453</v>
      </c>
      <c r="E263" s="388" t="s">
        <v>1400</v>
      </c>
      <c r="F263" s="779" t="s">
        <v>685</v>
      </c>
    </row>
    <row r="264" spans="2:139" x14ac:dyDescent="0.45">
      <c r="B264" s="1116"/>
      <c r="C264" s="1043" t="s">
        <v>1133</v>
      </c>
      <c r="D264" s="1009" t="s">
        <v>1135</v>
      </c>
      <c r="E264" s="388" t="s">
        <v>1401</v>
      </c>
      <c r="F264" s="779" t="s">
        <v>685</v>
      </c>
    </row>
    <row r="265" spans="2:139" ht="57.75" thickBot="1" x14ac:dyDescent="0.5">
      <c r="B265" s="1117"/>
      <c r="C265" s="1044" t="s">
        <v>1134</v>
      </c>
      <c r="D265" s="1045" t="s">
        <v>1136</v>
      </c>
      <c r="E265" s="388" t="s">
        <v>1400</v>
      </c>
      <c r="F265" s="779" t="s">
        <v>685</v>
      </c>
    </row>
    <row r="266" spans="2:139" ht="57" x14ac:dyDescent="0.45">
      <c r="B266" s="1091" t="s">
        <v>101</v>
      </c>
      <c r="C266" s="456" t="s">
        <v>987</v>
      </c>
      <c r="D266" s="724" t="s">
        <v>250</v>
      </c>
      <c r="E266" s="400" t="s">
        <v>110</v>
      </c>
      <c r="F266" s="785" t="s">
        <v>252</v>
      </c>
    </row>
    <row r="267" spans="2:139" ht="57" x14ac:dyDescent="0.45">
      <c r="B267" s="1091"/>
      <c r="C267" s="456" t="s">
        <v>303</v>
      </c>
      <c r="D267" s="724" t="s">
        <v>251</v>
      </c>
      <c r="E267" s="400" t="s">
        <v>574</v>
      </c>
      <c r="F267" s="785" t="s">
        <v>252</v>
      </c>
    </row>
    <row r="268" spans="2:139" x14ac:dyDescent="0.45">
      <c r="B268" s="1100" t="s">
        <v>105</v>
      </c>
      <c r="C268" s="1101"/>
      <c r="D268" s="1101"/>
      <c r="E268" s="1101"/>
      <c r="F268" s="1102"/>
    </row>
    <row r="269" spans="2:139" ht="57" x14ac:dyDescent="0.45">
      <c r="B269" s="1090" t="s">
        <v>441</v>
      </c>
      <c r="C269" s="456" t="s">
        <v>455</v>
      </c>
      <c r="D269" s="724" t="s">
        <v>332</v>
      </c>
      <c r="E269" s="400" t="s">
        <v>56</v>
      </c>
      <c r="F269" s="785" t="s">
        <v>686</v>
      </c>
    </row>
    <row r="270" spans="2:139" s="418" customFormat="1" ht="57" x14ac:dyDescent="0.45">
      <c r="B270" s="1090"/>
      <c r="C270" s="456" t="s">
        <v>456</v>
      </c>
      <c r="D270" s="724" t="s">
        <v>333</v>
      </c>
      <c r="E270" s="400" t="s">
        <v>57</v>
      </c>
      <c r="F270" s="785" t="s">
        <v>686</v>
      </c>
      <c r="G270" s="777"/>
      <c r="H270" s="777"/>
      <c r="I270" s="777"/>
      <c r="J270" s="777"/>
      <c r="K270" s="777"/>
      <c r="L270" s="777"/>
      <c r="M270" s="777"/>
      <c r="N270" s="777"/>
      <c r="O270" s="777"/>
      <c r="P270" s="777"/>
      <c r="Q270" s="777"/>
      <c r="R270" s="777"/>
      <c r="S270" s="777"/>
      <c r="T270" s="777"/>
      <c r="U270" s="777"/>
      <c r="V270" s="777"/>
      <c r="W270" s="777"/>
      <c r="X270" s="777"/>
      <c r="Y270" s="777"/>
      <c r="Z270" s="777"/>
      <c r="AA270" s="777"/>
      <c r="AB270" s="777"/>
      <c r="AC270" s="777"/>
      <c r="AD270" s="777"/>
      <c r="AE270" s="777"/>
      <c r="AF270" s="777"/>
      <c r="AG270" s="777"/>
      <c r="AH270" s="777"/>
      <c r="AI270" s="777"/>
      <c r="AJ270" s="777"/>
      <c r="AK270" s="777"/>
      <c r="AL270" s="777"/>
      <c r="AM270" s="777"/>
      <c r="AN270" s="777"/>
      <c r="AO270" s="777"/>
      <c r="AP270" s="777"/>
      <c r="AQ270" s="777"/>
      <c r="AR270" s="777"/>
      <c r="AS270" s="777"/>
      <c r="AT270" s="777"/>
      <c r="AU270" s="777"/>
      <c r="AV270" s="777"/>
      <c r="AW270" s="777"/>
      <c r="AX270" s="777"/>
      <c r="AY270" s="777"/>
      <c r="AZ270" s="777"/>
      <c r="BA270" s="777"/>
      <c r="BB270" s="777"/>
      <c r="BC270" s="777"/>
      <c r="BD270" s="777"/>
      <c r="BE270" s="777"/>
      <c r="BF270" s="777"/>
      <c r="BG270" s="777"/>
      <c r="BH270" s="777"/>
      <c r="BI270" s="777"/>
      <c r="BJ270" s="777"/>
      <c r="BK270" s="777"/>
      <c r="BL270" s="777"/>
      <c r="BM270" s="777"/>
      <c r="BN270" s="777"/>
      <c r="BO270" s="777"/>
      <c r="BP270" s="777"/>
      <c r="BQ270" s="777"/>
      <c r="BR270" s="777"/>
      <c r="BS270" s="777"/>
      <c r="BT270" s="777"/>
      <c r="BU270" s="777"/>
      <c r="BV270" s="777"/>
      <c r="BW270" s="777"/>
      <c r="BX270" s="777"/>
      <c r="BY270" s="777"/>
      <c r="BZ270" s="777"/>
      <c r="CA270" s="777"/>
      <c r="CB270" s="777"/>
      <c r="CC270" s="777"/>
      <c r="CD270" s="777"/>
      <c r="CE270" s="777"/>
      <c r="CF270" s="777"/>
      <c r="CG270" s="777"/>
      <c r="CH270" s="777"/>
      <c r="CI270" s="777"/>
      <c r="CJ270" s="777"/>
      <c r="CK270" s="777"/>
      <c r="CL270" s="777"/>
      <c r="CM270" s="777"/>
      <c r="CN270" s="777"/>
      <c r="CO270" s="777"/>
      <c r="CP270" s="777"/>
      <c r="CQ270" s="777"/>
      <c r="CR270" s="777"/>
      <c r="CS270" s="777"/>
      <c r="CT270" s="777"/>
      <c r="CU270" s="777"/>
      <c r="CV270" s="777"/>
      <c r="CW270" s="777"/>
      <c r="CX270" s="777"/>
      <c r="CY270" s="777"/>
      <c r="CZ270" s="777"/>
      <c r="DA270" s="777"/>
      <c r="DB270" s="777"/>
      <c r="DC270" s="777"/>
      <c r="DD270" s="777"/>
      <c r="DE270" s="777"/>
      <c r="DF270" s="777"/>
      <c r="DG270" s="777"/>
      <c r="DH270" s="777"/>
      <c r="DI270" s="777"/>
      <c r="DJ270" s="777"/>
      <c r="DK270" s="777"/>
      <c r="DL270" s="777"/>
      <c r="DM270" s="777"/>
      <c r="DN270" s="777"/>
      <c r="DO270" s="777"/>
      <c r="DP270" s="777"/>
      <c r="DQ270" s="777"/>
      <c r="DR270" s="777"/>
      <c r="DS270" s="777"/>
      <c r="DT270" s="777"/>
      <c r="DU270" s="777"/>
      <c r="DV270" s="777"/>
      <c r="DW270" s="777"/>
      <c r="DX270" s="777"/>
      <c r="DY270" s="777"/>
      <c r="DZ270" s="777"/>
      <c r="EA270" s="777"/>
      <c r="EB270" s="777"/>
      <c r="EC270" s="777"/>
      <c r="ED270" s="777"/>
      <c r="EE270" s="777"/>
      <c r="EF270" s="777"/>
      <c r="EG270" s="777"/>
      <c r="EH270" s="777"/>
      <c r="EI270" s="777"/>
    </row>
    <row r="271" spans="2:139" x14ac:dyDescent="0.45">
      <c r="B271" s="1090"/>
      <c r="C271" s="408" t="s">
        <v>457</v>
      </c>
      <c r="D271" s="724" t="s">
        <v>463</v>
      </c>
      <c r="E271" s="388" t="s">
        <v>1402</v>
      </c>
      <c r="F271" s="785" t="s">
        <v>686</v>
      </c>
    </row>
    <row r="272" spans="2:139" ht="57" x14ac:dyDescent="0.45">
      <c r="B272" s="1099" t="s">
        <v>988</v>
      </c>
      <c r="C272" s="456" t="s">
        <v>458</v>
      </c>
      <c r="D272" s="724" t="s">
        <v>464</v>
      </c>
      <c r="E272" s="388" t="s">
        <v>687</v>
      </c>
      <c r="F272" s="785" t="s">
        <v>686</v>
      </c>
    </row>
    <row r="273" spans="2:6" x14ac:dyDescent="0.45">
      <c r="B273" s="1099"/>
      <c r="C273" s="456" t="s">
        <v>459</v>
      </c>
      <c r="D273" s="724" t="s">
        <v>465</v>
      </c>
      <c r="E273" s="388" t="s">
        <v>688</v>
      </c>
      <c r="F273" s="785" t="s">
        <v>686</v>
      </c>
    </row>
    <row r="274" spans="2:6" x14ac:dyDescent="0.45">
      <c r="B274" s="1103" t="s">
        <v>446</v>
      </c>
      <c r="C274" s="416" t="s">
        <v>460</v>
      </c>
      <c r="D274" s="732" t="s">
        <v>334</v>
      </c>
      <c r="E274" s="417" t="s">
        <v>115</v>
      </c>
      <c r="F274" s="797" t="s">
        <v>259</v>
      </c>
    </row>
    <row r="275" spans="2:6" x14ac:dyDescent="0.45">
      <c r="B275" s="1103"/>
      <c r="C275" s="416" t="s">
        <v>586</v>
      </c>
      <c r="D275" s="732" t="s">
        <v>587</v>
      </c>
      <c r="E275" s="417" t="s">
        <v>689</v>
      </c>
      <c r="F275" s="797" t="s">
        <v>259</v>
      </c>
    </row>
    <row r="276" spans="2:6" x14ac:dyDescent="0.45">
      <c r="B276" s="1118" t="s">
        <v>449</v>
      </c>
      <c r="C276" s="456" t="s">
        <v>461</v>
      </c>
      <c r="D276" s="724" t="s">
        <v>335</v>
      </c>
      <c r="E276" s="400" t="s">
        <v>690</v>
      </c>
      <c r="F276" s="785" t="s">
        <v>691</v>
      </c>
    </row>
    <row r="277" spans="2:6" ht="29.25" thickBot="1" x14ac:dyDescent="0.5">
      <c r="B277" s="1119"/>
      <c r="C277" s="456" t="s">
        <v>462</v>
      </c>
      <c r="D277" s="724" t="s">
        <v>466</v>
      </c>
      <c r="E277" s="388" t="s">
        <v>692</v>
      </c>
      <c r="F277" s="785" t="s">
        <v>691</v>
      </c>
    </row>
    <row r="278" spans="2:6" ht="57" x14ac:dyDescent="0.45">
      <c r="B278" s="1119"/>
      <c r="C278" s="1077" t="s">
        <v>1240</v>
      </c>
      <c r="D278" s="1046" t="s">
        <v>467</v>
      </c>
      <c r="E278" s="388" t="s">
        <v>693</v>
      </c>
      <c r="F278" s="785" t="s">
        <v>694</v>
      </c>
    </row>
    <row r="279" spans="2:6" ht="57.75" thickBot="1" x14ac:dyDescent="0.5">
      <c r="B279" s="1120"/>
      <c r="C279" s="1078" t="s">
        <v>1152</v>
      </c>
      <c r="D279" s="1048" t="s">
        <v>1151</v>
      </c>
      <c r="E279" s="388" t="s">
        <v>693</v>
      </c>
      <c r="F279" s="785"/>
    </row>
    <row r="280" spans="2:6" ht="57" x14ac:dyDescent="0.45">
      <c r="B280" s="1086" t="s">
        <v>253</v>
      </c>
      <c r="C280" s="456" t="s">
        <v>989</v>
      </c>
      <c r="D280" s="724" t="s">
        <v>336</v>
      </c>
      <c r="E280" s="400" t="s">
        <v>254</v>
      </c>
      <c r="F280" s="785" t="s">
        <v>255</v>
      </c>
    </row>
    <row r="281" spans="2:6" ht="57" x14ac:dyDescent="0.45">
      <c r="B281" s="1090" t="s">
        <v>990</v>
      </c>
      <c r="C281" s="456" t="s">
        <v>256</v>
      </c>
      <c r="D281" s="724" t="s">
        <v>337</v>
      </c>
      <c r="E281" s="400" t="s">
        <v>257</v>
      </c>
      <c r="F281" s="785" t="s">
        <v>258</v>
      </c>
    </row>
    <row r="282" spans="2:6" ht="85.5" x14ac:dyDescent="0.45">
      <c r="B282" s="1090"/>
      <c r="C282" s="456" t="s">
        <v>304</v>
      </c>
      <c r="D282" s="724" t="s">
        <v>338</v>
      </c>
      <c r="E282" s="400" t="s">
        <v>116</v>
      </c>
      <c r="F282" s="785" t="s">
        <v>259</v>
      </c>
    </row>
    <row r="283" spans="2:6" ht="85.5" x14ac:dyDescent="0.45">
      <c r="B283" s="1090"/>
      <c r="C283" s="456" t="s">
        <v>991</v>
      </c>
      <c r="D283" s="724" t="s">
        <v>339</v>
      </c>
      <c r="E283" s="400" t="s">
        <v>117</v>
      </c>
      <c r="F283" s="785" t="s">
        <v>260</v>
      </c>
    </row>
    <row r="284" spans="2:6" x14ac:dyDescent="0.45">
      <c r="B284" s="1100" t="s">
        <v>107</v>
      </c>
      <c r="C284" s="1101"/>
      <c r="D284" s="1101"/>
      <c r="E284" s="1101"/>
      <c r="F284" s="1102"/>
    </row>
    <row r="285" spans="2:6" x14ac:dyDescent="0.45">
      <c r="B285" s="1086" t="s">
        <v>261</v>
      </c>
      <c r="C285" s="419" t="s">
        <v>992</v>
      </c>
      <c r="D285" s="724" t="s">
        <v>262</v>
      </c>
      <c r="E285" s="400" t="s">
        <v>695</v>
      </c>
      <c r="F285" s="785" t="s">
        <v>696</v>
      </c>
    </row>
    <row r="286" spans="2:6" ht="57" x14ac:dyDescent="0.45">
      <c r="B286" s="1099" t="s">
        <v>524</v>
      </c>
      <c r="C286" s="407" t="s">
        <v>355</v>
      </c>
      <c r="D286" s="724" t="s">
        <v>518</v>
      </c>
      <c r="E286" s="388" t="s">
        <v>697</v>
      </c>
      <c r="F286" s="785" t="s">
        <v>696</v>
      </c>
    </row>
    <row r="287" spans="2:6" ht="57" x14ac:dyDescent="0.45">
      <c r="B287" s="1099"/>
      <c r="C287" s="407" t="s">
        <v>350</v>
      </c>
      <c r="D287" s="724" t="s">
        <v>519</v>
      </c>
      <c r="E287" s="388" t="s">
        <v>698</v>
      </c>
      <c r="F287" s="785" t="s">
        <v>696</v>
      </c>
    </row>
    <row r="288" spans="2:6" ht="57" x14ac:dyDescent="0.45">
      <c r="B288" s="1099"/>
      <c r="C288" s="456" t="s">
        <v>351</v>
      </c>
      <c r="D288" s="724" t="s">
        <v>520</v>
      </c>
      <c r="E288" s="388" t="s">
        <v>699</v>
      </c>
      <c r="F288" s="785" t="s">
        <v>696</v>
      </c>
    </row>
    <row r="289" spans="2:6" ht="57" x14ac:dyDescent="0.45">
      <c r="B289" s="1099"/>
      <c r="C289" s="456" t="s">
        <v>352</v>
      </c>
      <c r="D289" s="724" t="s">
        <v>521</v>
      </c>
      <c r="E289" s="388" t="s">
        <v>700</v>
      </c>
      <c r="F289" s="785" t="s">
        <v>696</v>
      </c>
    </row>
    <row r="290" spans="2:6" ht="57" x14ac:dyDescent="0.45">
      <c r="B290" s="1099"/>
      <c r="C290" s="456" t="s">
        <v>353</v>
      </c>
      <c r="D290" s="724" t="s">
        <v>522</v>
      </c>
      <c r="E290" s="388" t="s">
        <v>701</v>
      </c>
      <c r="F290" s="785" t="s">
        <v>696</v>
      </c>
    </row>
    <row r="291" spans="2:6" ht="57" x14ac:dyDescent="0.45">
      <c r="B291" s="1099"/>
      <c r="C291" s="456" t="s">
        <v>354</v>
      </c>
      <c r="D291" s="724" t="s">
        <v>523</v>
      </c>
      <c r="E291" s="388" t="s">
        <v>702</v>
      </c>
      <c r="F291" s="785" t="s">
        <v>696</v>
      </c>
    </row>
    <row r="292" spans="2:6" ht="51.75" customHeight="1" thickBot="1" x14ac:dyDescent="0.5">
      <c r="B292" s="1086" t="s">
        <v>525</v>
      </c>
      <c r="C292" s="420" t="s">
        <v>847</v>
      </c>
      <c r="D292" s="724" t="s">
        <v>263</v>
      </c>
      <c r="E292" s="400" t="s">
        <v>58</v>
      </c>
      <c r="F292" s="785" t="s">
        <v>696</v>
      </c>
    </row>
    <row r="293" spans="2:6" ht="57" x14ac:dyDescent="0.45">
      <c r="B293" s="1131" t="s">
        <v>1268</v>
      </c>
      <c r="C293" s="1047" t="s">
        <v>1266</v>
      </c>
      <c r="D293" s="733" t="s">
        <v>877</v>
      </c>
      <c r="E293" s="400" t="s">
        <v>1267</v>
      </c>
      <c r="F293" s="785" t="s">
        <v>884</v>
      </c>
    </row>
    <row r="294" spans="2:6" x14ac:dyDescent="0.45">
      <c r="B294" s="1132"/>
      <c r="C294" s="1051" t="s">
        <v>1218</v>
      </c>
      <c r="D294" s="873" t="s">
        <v>1220</v>
      </c>
      <c r="E294" s="400" t="s">
        <v>1257</v>
      </c>
      <c r="F294" s="785" t="s">
        <v>1403</v>
      </c>
    </row>
    <row r="295" spans="2:6" x14ac:dyDescent="0.45">
      <c r="B295" s="1132"/>
      <c r="C295" s="1051" t="s">
        <v>1223</v>
      </c>
      <c r="D295" s="873" t="s">
        <v>1221</v>
      </c>
      <c r="E295" s="400" t="s">
        <v>1258</v>
      </c>
      <c r="F295" s="785" t="s">
        <v>1403</v>
      </c>
    </row>
    <row r="296" spans="2:6" ht="29.25" thickBot="1" x14ac:dyDescent="0.5">
      <c r="B296" s="1133"/>
      <c r="C296" s="1051" t="s">
        <v>1219</v>
      </c>
      <c r="D296" s="873" t="s">
        <v>1222</v>
      </c>
      <c r="E296" s="881" t="s">
        <v>1269</v>
      </c>
      <c r="F296" s="785"/>
    </row>
    <row r="297" spans="2:6" ht="51.4" customHeight="1" thickBot="1" x14ac:dyDescent="0.5">
      <c r="B297" s="1121" t="s">
        <v>1292</v>
      </c>
      <c r="C297" s="1051" t="s">
        <v>1291</v>
      </c>
      <c r="D297" s="1048" t="s">
        <v>1289</v>
      </c>
      <c r="E297" s="881" t="s">
        <v>1404</v>
      </c>
      <c r="F297" s="785" t="s">
        <v>1405</v>
      </c>
    </row>
    <row r="298" spans="2:6" ht="57.75" thickBot="1" x14ac:dyDescent="0.5">
      <c r="B298" s="1122"/>
      <c r="C298" s="1051" t="s">
        <v>1298</v>
      </c>
      <c r="D298" s="1048" t="s">
        <v>1290</v>
      </c>
      <c r="E298" s="881" t="s">
        <v>1406</v>
      </c>
      <c r="F298" s="785" t="s">
        <v>1405</v>
      </c>
    </row>
    <row r="299" spans="2:6" x14ac:dyDescent="0.45">
      <c r="B299" s="1099" t="s">
        <v>526</v>
      </c>
      <c r="C299" s="456" t="s">
        <v>878</v>
      </c>
      <c r="D299" s="724" t="s">
        <v>514</v>
      </c>
      <c r="E299" s="388" t="s">
        <v>879</v>
      </c>
      <c r="F299" s="779" t="s">
        <v>703</v>
      </c>
    </row>
    <row r="300" spans="2:6" x14ac:dyDescent="0.45">
      <c r="B300" s="1099"/>
      <c r="C300" s="419" t="s">
        <v>993</v>
      </c>
      <c r="D300" s="724" t="s">
        <v>265</v>
      </c>
      <c r="E300" s="400" t="s">
        <v>264</v>
      </c>
      <c r="F300" s="785" t="s">
        <v>266</v>
      </c>
    </row>
    <row r="301" spans="2:6" x14ac:dyDescent="0.45">
      <c r="B301" s="1099" t="s">
        <v>400</v>
      </c>
      <c r="C301" s="456" t="s">
        <v>355</v>
      </c>
      <c r="D301" s="724" t="s">
        <v>369</v>
      </c>
      <c r="E301" s="400" t="s">
        <v>386</v>
      </c>
      <c r="F301" s="785" t="s">
        <v>266</v>
      </c>
    </row>
    <row r="302" spans="2:6" x14ac:dyDescent="0.45">
      <c r="B302" s="1099"/>
      <c r="C302" s="456" t="s">
        <v>350</v>
      </c>
      <c r="D302" s="724" t="s">
        <v>370</v>
      </c>
      <c r="E302" s="400" t="s">
        <v>387</v>
      </c>
      <c r="F302" s="785" t="s">
        <v>266</v>
      </c>
    </row>
    <row r="303" spans="2:6" x14ac:dyDescent="0.45">
      <c r="B303" s="1099"/>
      <c r="C303" s="456" t="s">
        <v>351</v>
      </c>
      <c r="D303" s="724" t="s">
        <v>371</v>
      </c>
      <c r="E303" s="400" t="s">
        <v>388</v>
      </c>
      <c r="F303" s="785" t="s">
        <v>266</v>
      </c>
    </row>
    <row r="304" spans="2:6" x14ac:dyDescent="0.45">
      <c r="B304" s="1099"/>
      <c r="C304" s="456" t="s">
        <v>352</v>
      </c>
      <c r="D304" s="724" t="s">
        <v>372</v>
      </c>
      <c r="E304" s="400" t="s">
        <v>389</v>
      </c>
      <c r="F304" s="785" t="s">
        <v>266</v>
      </c>
    </row>
    <row r="305" spans="2:6" x14ac:dyDescent="0.45">
      <c r="B305" s="1099"/>
      <c r="C305" s="456" t="s">
        <v>353</v>
      </c>
      <c r="D305" s="724" t="s">
        <v>373</v>
      </c>
      <c r="E305" s="400" t="s">
        <v>390</v>
      </c>
      <c r="F305" s="785" t="s">
        <v>266</v>
      </c>
    </row>
    <row r="306" spans="2:6" x14ac:dyDescent="0.45">
      <c r="B306" s="1099"/>
      <c r="C306" s="456" t="s">
        <v>354</v>
      </c>
      <c r="D306" s="724" t="s">
        <v>374</v>
      </c>
      <c r="E306" s="400" t="s">
        <v>391</v>
      </c>
      <c r="F306" s="785" t="s">
        <v>266</v>
      </c>
    </row>
    <row r="307" spans="2:6" x14ac:dyDescent="0.45">
      <c r="B307" s="1099" t="s">
        <v>401</v>
      </c>
      <c r="C307" s="456" t="s">
        <v>404</v>
      </c>
      <c r="D307" s="724" t="s">
        <v>380</v>
      </c>
      <c r="E307" s="400" t="s">
        <v>392</v>
      </c>
      <c r="F307" s="785" t="s">
        <v>398</v>
      </c>
    </row>
    <row r="308" spans="2:6" x14ac:dyDescent="0.45">
      <c r="B308" s="1099"/>
      <c r="C308" s="407" t="s">
        <v>375</v>
      </c>
      <c r="D308" s="724" t="s">
        <v>381</v>
      </c>
      <c r="E308" s="400" t="s">
        <v>393</v>
      </c>
      <c r="F308" s="785" t="s">
        <v>398</v>
      </c>
    </row>
    <row r="309" spans="2:6" x14ac:dyDescent="0.45">
      <c r="B309" s="1099"/>
      <c r="C309" s="407" t="s">
        <v>376</v>
      </c>
      <c r="D309" s="724" t="s">
        <v>382</v>
      </c>
      <c r="E309" s="400" t="s">
        <v>394</v>
      </c>
      <c r="F309" s="785" t="s">
        <v>398</v>
      </c>
    </row>
    <row r="310" spans="2:6" x14ac:dyDescent="0.45">
      <c r="B310" s="1099"/>
      <c r="C310" s="456" t="s">
        <v>377</v>
      </c>
      <c r="D310" s="724" t="s">
        <v>383</v>
      </c>
      <c r="E310" s="400" t="s">
        <v>395</v>
      </c>
      <c r="F310" s="785" t="s">
        <v>398</v>
      </c>
    </row>
    <row r="311" spans="2:6" x14ac:dyDescent="0.45">
      <c r="B311" s="1099"/>
      <c r="C311" s="456" t="s">
        <v>378</v>
      </c>
      <c r="D311" s="724" t="s">
        <v>384</v>
      </c>
      <c r="E311" s="400" t="s">
        <v>396</v>
      </c>
      <c r="F311" s="785" t="s">
        <v>398</v>
      </c>
    </row>
    <row r="312" spans="2:6" x14ac:dyDescent="0.45">
      <c r="B312" s="1099"/>
      <c r="C312" s="456" t="s">
        <v>379</v>
      </c>
      <c r="D312" s="724" t="s">
        <v>385</v>
      </c>
      <c r="E312" s="400" t="s">
        <v>397</v>
      </c>
      <c r="F312" s="785" t="s">
        <v>398</v>
      </c>
    </row>
    <row r="313" spans="2:6" x14ac:dyDescent="0.45">
      <c r="B313" s="1099"/>
      <c r="C313" s="406" t="s">
        <v>399</v>
      </c>
      <c r="D313" s="724" t="s">
        <v>403</v>
      </c>
      <c r="E313" s="388"/>
      <c r="F313" s="779"/>
    </row>
    <row r="314" spans="2:6" ht="29.25" thickBot="1" x14ac:dyDescent="0.5">
      <c r="B314" s="1099"/>
      <c r="C314" s="456" t="s">
        <v>420</v>
      </c>
      <c r="D314" s="724" t="s">
        <v>405</v>
      </c>
      <c r="E314" s="400" t="s">
        <v>1407</v>
      </c>
      <c r="F314" s="785" t="s">
        <v>398</v>
      </c>
    </row>
    <row r="315" spans="2:6" ht="57" x14ac:dyDescent="0.45">
      <c r="B315" s="1123" t="s">
        <v>1293</v>
      </c>
      <c r="C315" s="1079" t="s">
        <v>1294</v>
      </c>
      <c r="D315" s="1049" t="s">
        <v>1296</v>
      </c>
      <c r="E315" s="400" t="s">
        <v>1408</v>
      </c>
      <c r="F315" s="785" t="s">
        <v>1409</v>
      </c>
    </row>
    <row r="316" spans="2:6" ht="57.75" thickBot="1" x14ac:dyDescent="0.5">
      <c r="B316" s="1122"/>
      <c r="C316" s="1080" t="s">
        <v>1295</v>
      </c>
      <c r="D316" s="1050" t="s">
        <v>1297</v>
      </c>
      <c r="E316" s="400" t="s">
        <v>1410</v>
      </c>
      <c r="F316" s="785" t="s">
        <v>1409</v>
      </c>
    </row>
    <row r="317" spans="2:6" ht="57" x14ac:dyDescent="0.45">
      <c r="B317" s="1134" t="s">
        <v>556</v>
      </c>
      <c r="C317" s="456" t="s">
        <v>549</v>
      </c>
      <c r="D317" s="724" t="s">
        <v>511</v>
      </c>
      <c r="E317" s="388" t="s">
        <v>704</v>
      </c>
      <c r="F317" s="779" t="s">
        <v>705</v>
      </c>
    </row>
    <row r="318" spans="2:6" ht="57" x14ac:dyDescent="0.45">
      <c r="B318" s="1139"/>
      <c r="C318" s="456" t="s">
        <v>550</v>
      </c>
      <c r="D318" s="724" t="s">
        <v>512</v>
      </c>
      <c r="E318" s="388" t="s">
        <v>706</v>
      </c>
      <c r="F318" s="779" t="s">
        <v>705</v>
      </c>
    </row>
    <row r="319" spans="2:6" ht="57" x14ac:dyDescent="0.45">
      <c r="B319" s="1139"/>
      <c r="C319" s="406" t="s">
        <v>742</v>
      </c>
      <c r="D319" s="724" t="s">
        <v>510</v>
      </c>
      <c r="E319" s="388" t="s">
        <v>1411</v>
      </c>
      <c r="F319" s="798"/>
    </row>
    <row r="320" spans="2:6" ht="57" x14ac:dyDescent="0.45">
      <c r="B320" s="1139"/>
      <c r="C320" s="456" t="s">
        <v>551</v>
      </c>
      <c r="D320" s="724" t="s">
        <v>513</v>
      </c>
      <c r="E320" s="388" t="s">
        <v>707</v>
      </c>
      <c r="F320" s="779" t="s">
        <v>705</v>
      </c>
    </row>
    <row r="321" spans="2:6" ht="57" x14ac:dyDescent="0.45">
      <c r="B321" s="1139"/>
      <c r="C321" s="456" t="s">
        <v>552</v>
      </c>
      <c r="D321" s="724" t="s">
        <v>545</v>
      </c>
      <c r="E321" s="388" t="s">
        <v>708</v>
      </c>
      <c r="F321" s="779" t="s">
        <v>705</v>
      </c>
    </row>
    <row r="322" spans="2:6" ht="57.75" thickBot="1" x14ac:dyDescent="0.5">
      <c r="B322" s="1139"/>
      <c r="C322" s="406" t="s">
        <v>743</v>
      </c>
      <c r="D322" s="724" t="s">
        <v>267</v>
      </c>
      <c r="E322" s="400" t="s">
        <v>1412</v>
      </c>
      <c r="F322" s="785" t="s">
        <v>266</v>
      </c>
    </row>
    <row r="323" spans="2:6" ht="57" x14ac:dyDescent="0.45">
      <c r="B323" s="1139"/>
      <c r="C323" s="1021" t="s">
        <v>1368</v>
      </c>
      <c r="D323" s="724" t="s">
        <v>546</v>
      </c>
      <c r="E323" s="388" t="s">
        <v>1413</v>
      </c>
      <c r="F323" s="900" t="s">
        <v>709</v>
      </c>
    </row>
    <row r="324" spans="2:6" ht="114" x14ac:dyDescent="0.45">
      <c r="B324" s="1139"/>
      <c r="C324" s="1051" t="s">
        <v>1369</v>
      </c>
      <c r="D324" s="724" t="s">
        <v>547</v>
      </c>
      <c r="E324" s="388" t="s">
        <v>1273</v>
      </c>
      <c r="F324" s="900" t="s">
        <v>710</v>
      </c>
    </row>
    <row r="325" spans="2:6" ht="57" x14ac:dyDescent="0.45">
      <c r="B325" s="1139"/>
      <c r="C325" s="1051" t="s">
        <v>1370</v>
      </c>
      <c r="D325" s="724" t="s">
        <v>548</v>
      </c>
      <c r="E325" s="388" t="s">
        <v>1274</v>
      </c>
      <c r="F325" s="900" t="s">
        <v>711</v>
      </c>
    </row>
    <row r="326" spans="2:6" ht="57" x14ac:dyDescent="0.45">
      <c r="B326" s="1139"/>
      <c r="C326" s="406" t="s">
        <v>744</v>
      </c>
      <c r="D326" s="724" t="s">
        <v>554</v>
      </c>
      <c r="E326" s="421" t="s">
        <v>748</v>
      </c>
      <c r="F326" s="799">
        <f>SUM(F323:F325)</f>
        <v>0</v>
      </c>
    </row>
    <row r="327" spans="2:6" ht="85.5" x14ac:dyDescent="0.45">
      <c r="B327" s="1139"/>
      <c r="C327" s="456" t="s">
        <v>553</v>
      </c>
      <c r="D327" s="724" t="s">
        <v>555</v>
      </c>
      <c r="E327" s="388" t="s">
        <v>712</v>
      </c>
      <c r="F327" s="779" t="s">
        <v>713</v>
      </c>
    </row>
    <row r="328" spans="2:6" ht="57.75" thickBot="1" x14ac:dyDescent="0.5">
      <c r="B328" s="1135"/>
      <c r="C328" s="406" t="s">
        <v>745</v>
      </c>
      <c r="D328" s="724" t="s">
        <v>558</v>
      </c>
      <c r="E328" s="388" t="s">
        <v>714</v>
      </c>
      <c r="F328" s="779" t="s">
        <v>715</v>
      </c>
    </row>
    <row r="329" spans="2:6" x14ac:dyDescent="0.45">
      <c r="B329" s="1136" t="s">
        <v>1225</v>
      </c>
      <c r="C329" s="1081" t="s">
        <v>1226</v>
      </c>
      <c r="D329" s="732" t="s">
        <v>1229</v>
      </c>
      <c r="E329" s="388" t="s">
        <v>1250</v>
      </c>
      <c r="F329" s="779" t="s">
        <v>1251</v>
      </c>
    </row>
    <row r="330" spans="2:6" x14ac:dyDescent="0.45">
      <c r="B330" s="1137"/>
      <c r="C330" s="1081" t="s">
        <v>1227</v>
      </c>
      <c r="D330" s="732" t="s">
        <v>1230</v>
      </c>
      <c r="E330" s="388" t="s">
        <v>1252</v>
      </c>
      <c r="F330" s="779" t="s">
        <v>1253</v>
      </c>
    </row>
    <row r="331" spans="2:6" ht="57.75" thickBot="1" x14ac:dyDescent="0.5">
      <c r="B331" s="1138"/>
      <c r="C331" s="1081" t="s">
        <v>1228</v>
      </c>
      <c r="D331" s="732" t="s">
        <v>1231</v>
      </c>
      <c r="E331" s="388" t="s">
        <v>1254</v>
      </c>
      <c r="F331" s="779" t="s">
        <v>1255</v>
      </c>
    </row>
    <row r="332" spans="2:6" ht="57" x14ac:dyDescent="0.45">
      <c r="B332" s="1134" t="s">
        <v>746</v>
      </c>
      <c r="C332" s="456" t="s">
        <v>716</v>
      </c>
      <c r="D332" s="724" t="s">
        <v>559</v>
      </c>
      <c r="E332" s="388" t="s">
        <v>717</v>
      </c>
      <c r="F332" s="779" t="s">
        <v>718</v>
      </c>
    </row>
    <row r="333" spans="2:6" ht="57" x14ac:dyDescent="0.45">
      <c r="B333" s="1135"/>
      <c r="C333" s="456" t="s">
        <v>719</v>
      </c>
      <c r="D333" s="724" t="s">
        <v>560</v>
      </c>
      <c r="E333" s="388" t="s">
        <v>720</v>
      </c>
      <c r="F333" s="779" t="s">
        <v>718</v>
      </c>
    </row>
    <row r="334" spans="2:6" x14ac:dyDescent="0.45">
      <c r="B334" s="1090" t="s">
        <v>557</v>
      </c>
      <c r="C334" s="406" t="s">
        <v>475</v>
      </c>
      <c r="D334" s="724" t="s">
        <v>561</v>
      </c>
      <c r="E334" s="388" t="s">
        <v>1414</v>
      </c>
      <c r="F334" s="779" t="s">
        <v>721</v>
      </c>
    </row>
    <row r="335" spans="2:6" x14ac:dyDescent="0.45">
      <c r="B335" s="1090"/>
      <c r="C335" s="422" t="s">
        <v>862</v>
      </c>
      <c r="D335" s="724" t="s">
        <v>561</v>
      </c>
      <c r="E335" s="388" t="s">
        <v>1415</v>
      </c>
      <c r="F335" s="779"/>
    </row>
    <row r="336" spans="2:6" ht="57" x14ac:dyDescent="0.45">
      <c r="B336" s="1090"/>
      <c r="C336" s="456" t="s">
        <v>544</v>
      </c>
      <c r="D336" s="724" t="s">
        <v>562</v>
      </c>
      <c r="E336" s="456" t="s">
        <v>722</v>
      </c>
      <c r="F336" s="779" t="s">
        <v>723</v>
      </c>
    </row>
    <row r="337" spans="2:6" ht="57" x14ac:dyDescent="0.45">
      <c r="B337" s="1090"/>
      <c r="C337" s="456" t="s">
        <v>994</v>
      </c>
      <c r="D337" s="724" t="s">
        <v>563</v>
      </c>
      <c r="E337" s="388" t="s">
        <v>724</v>
      </c>
      <c r="F337" s="779" t="s">
        <v>709</v>
      </c>
    </row>
    <row r="338" spans="2:6" ht="57" x14ac:dyDescent="0.45">
      <c r="B338" s="1090"/>
      <c r="C338" s="456" t="s">
        <v>995</v>
      </c>
      <c r="D338" s="724" t="s">
        <v>564</v>
      </c>
      <c r="E338" s="388" t="s">
        <v>725</v>
      </c>
      <c r="F338" s="779" t="s">
        <v>710</v>
      </c>
    </row>
    <row r="339" spans="2:6" ht="57" x14ac:dyDescent="0.45">
      <c r="B339" s="1090"/>
      <c r="C339" s="456" t="s">
        <v>996</v>
      </c>
      <c r="D339" s="724" t="s">
        <v>565</v>
      </c>
      <c r="E339" s="388" t="s">
        <v>726</v>
      </c>
      <c r="F339" s="779" t="s">
        <v>711</v>
      </c>
    </row>
    <row r="340" spans="2:6" ht="85.5" x14ac:dyDescent="0.45">
      <c r="B340" s="1090"/>
      <c r="C340" s="456" t="s">
        <v>553</v>
      </c>
      <c r="D340" s="724" t="s">
        <v>566</v>
      </c>
      <c r="E340" s="388" t="s">
        <v>727</v>
      </c>
      <c r="F340" s="779" t="s">
        <v>713</v>
      </c>
    </row>
    <row r="341" spans="2:6" ht="57" x14ac:dyDescent="0.45">
      <c r="B341" s="1090"/>
      <c r="C341" s="406" t="s">
        <v>868</v>
      </c>
      <c r="D341" s="724" t="s">
        <v>567</v>
      </c>
      <c r="E341" s="388" t="s">
        <v>728</v>
      </c>
      <c r="F341" s="779" t="s">
        <v>715</v>
      </c>
    </row>
    <row r="342" spans="2:6" hidden="1" x14ac:dyDescent="0.45">
      <c r="B342" s="1100" t="s">
        <v>108</v>
      </c>
      <c r="C342" s="1101"/>
      <c r="D342" s="1101"/>
      <c r="E342" s="1101"/>
      <c r="F342" s="1102"/>
    </row>
    <row r="343" spans="2:6" ht="57" hidden="1" x14ac:dyDescent="0.45">
      <c r="B343" s="1095" t="s">
        <v>349</v>
      </c>
      <c r="C343" s="456" t="s">
        <v>355</v>
      </c>
      <c r="D343" s="728" t="s">
        <v>356</v>
      </c>
      <c r="E343" s="400" t="s">
        <v>362</v>
      </c>
      <c r="F343" s="785" t="s">
        <v>368</v>
      </c>
    </row>
    <row r="344" spans="2:6" ht="57" hidden="1" x14ac:dyDescent="0.45">
      <c r="B344" s="1095"/>
      <c r="C344" s="456" t="s">
        <v>350</v>
      </c>
      <c r="D344" s="728" t="s">
        <v>357</v>
      </c>
      <c r="E344" s="400" t="s">
        <v>363</v>
      </c>
      <c r="F344" s="785" t="s">
        <v>368</v>
      </c>
    </row>
    <row r="345" spans="2:6" ht="57" hidden="1" x14ac:dyDescent="0.45">
      <c r="B345" s="1095"/>
      <c r="C345" s="456" t="s">
        <v>351</v>
      </c>
      <c r="D345" s="728" t="s">
        <v>358</v>
      </c>
      <c r="E345" s="400" t="s">
        <v>364</v>
      </c>
      <c r="F345" s="785" t="s">
        <v>368</v>
      </c>
    </row>
    <row r="346" spans="2:6" ht="57" hidden="1" x14ac:dyDescent="0.45">
      <c r="B346" s="1095"/>
      <c r="C346" s="456" t="s">
        <v>352</v>
      </c>
      <c r="D346" s="728" t="s">
        <v>359</v>
      </c>
      <c r="E346" s="400" t="s">
        <v>365</v>
      </c>
      <c r="F346" s="785" t="s">
        <v>368</v>
      </c>
    </row>
    <row r="347" spans="2:6" ht="57" hidden="1" x14ac:dyDescent="0.45">
      <c r="B347" s="1095"/>
      <c r="C347" s="456" t="s">
        <v>353</v>
      </c>
      <c r="D347" s="728" t="s">
        <v>360</v>
      </c>
      <c r="E347" s="400" t="s">
        <v>366</v>
      </c>
      <c r="F347" s="785" t="s">
        <v>368</v>
      </c>
    </row>
    <row r="348" spans="2:6" ht="57" hidden="1" x14ac:dyDescent="0.45">
      <c r="B348" s="1095"/>
      <c r="C348" s="456" t="s">
        <v>354</v>
      </c>
      <c r="D348" s="728" t="s">
        <v>361</v>
      </c>
      <c r="E348" s="400" t="s">
        <v>367</v>
      </c>
      <c r="F348" s="785" t="s">
        <v>368</v>
      </c>
    </row>
    <row r="349" spans="2:6" ht="57" hidden="1" x14ac:dyDescent="0.45">
      <c r="B349" s="1099" t="s">
        <v>26</v>
      </c>
      <c r="C349" s="456" t="s">
        <v>305</v>
      </c>
      <c r="D349" s="724" t="s">
        <v>268</v>
      </c>
      <c r="E349" s="400" t="s">
        <v>59</v>
      </c>
      <c r="F349" s="785" t="s">
        <v>269</v>
      </c>
    </row>
    <row r="350" spans="2:6" ht="57" hidden="1" x14ac:dyDescent="0.45">
      <c r="B350" s="1099"/>
      <c r="C350" s="456" t="s">
        <v>543</v>
      </c>
      <c r="D350" s="724" t="s">
        <v>409</v>
      </c>
      <c r="E350" s="400" t="s">
        <v>415</v>
      </c>
      <c r="F350" s="785" t="s">
        <v>417</v>
      </c>
    </row>
    <row r="351" spans="2:6" ht="57" hidden="1" x14ac:dyDescent="0.45">
      <c r="B351" s="1099"/>
      <c r="C351" s="456" t="s">
        <v>413</v>
      </c>
      <c r="D351" s="724" t="s">
        <v>410</v>
      </c>
      <c r="E351" s="400" t="s">
        <v>416</v>
      </c>
      <c r="F351" s="785" t="s">
        <v>417</v>
      </c>
    </row>
    <row r="352" spans="2:6" ht="199.5" hidden="1" x14ac:dyDescent="0.45">
      <c r="B352" s="1099"/>
      <c r="C352" s="456" t="s">
        <v>406</v>
      </c>
      <c r="D352" s="724" t="s">
        <v>411</v>
      </c>
      <c r="E352" s="400" t="s">
        <v>407</v>
      </c>
      <c r="F352" s="785" t="s">
        <v>278</v>
      </c>
    </row>
    <row r="353" spans="2:39" ht="57" hidden="1" x14ac:dyDescent="0.45">
      <c r="B353" s="1099"/>
      <c r="C353" s="456" t="s">
        <v>408</v>
      </c>
      <c r="D353" s="724" t="s">
        <v>412</v>
      </c>
      <c r="E353" s="400" t="s">
        <v>414</v>
      </c>
      <c r="F353" s="785" t="s">
        <v>418</v>
      </c>
    </row>
    <row r="354" spans="2:39" hidden="1" x14ac:dyDescent="0.45">
      <c r="B354" s="1099"/>
      <c r="C354" s="423" t="s">
        <v>419</v>
      </c>
      <c r="D354" s="734" t="s">
        <v>270</v>
      </c>
      <c r="E354" s="388"/>
      <c r="F354" s="779"/>
    </row>
    <row r="355" spans="2:39" ht="57" hidden="1" x14ac:dyDescent="0.45">
      <c r="B355" s="1099" t="s">
        <v>997</v>
      </c>
      <c r="C355" s="456" t="s">
        <v>280</v>
      </c>
      <c r="D355" s="724" t="s">
        <v>271</v>
      </c>
      <c r="E355" s="400" t="s">
        <v>66</v>
      </c>
      <c r="F355" s="785" t="s">
        <v>279</v>
      </c>
    </row>
    <row r="356" spans="2:39" ht="57" hidden="1" x14ac:dyDescent="0.45">
      <c r="B356" s="1099"/>
      <c r="C356" s="456" t="s">
        <v>506</v>
      </c>
      <c r="D356" s="724" t="s">
        <v>272</v>
      </c>
      <c r="E356" s="400" t="s">
        <v>65</v>
      </c>
      <c r="F356" s="785" t="s">
        <v>279</v>
      </c>
    </row>
    <row r="357" spans="2:39" hidden="1" x14ac:dyDescent="0.45">
      <c r="B357" s="1099"/>
      <c r="C357" s="456" t="s">
        <v>306</v>
      </c>
      <c r="D357" s="724" t="s">
        <v>273</v>
      </c>
      <c r="E357" s="400" t="s">
        <v>64</v>
      </c>
      <c r="F357" s="785" t="s">
        <v>279</v>
      </c>
    </row>
    <row r="358" spans="2:39" ht="57" hidden="1" x14ac:dyDescent="0.45">
      <c r="B358" s="1099"/>
      <c r="C358" s="456" t="s">
        <v>281</v>
      </c>
      <c r="D358" s="724" t="s">
        <v>274</v>
      </c>
      <c r="E358" s="400" t="s">
        <v>60</v>
      </c>
      <c r="F358" s="785"/>
    </row>
    <row r="359" spans="2:39" ht="57" hidden="1" x14ac:dyDescent="0.45">
      <c r="B359" s="1099"/>
      <c r="C359" s="456" t="s">
        <v>507</v>
      </c>
      <c r="D359" s="724" t="s">
        <v>275</v>
      </c>
      <c r="E359" s="400" t="s">
        <v>61</v>
      </c>
      <c r="F359" s="785" t="s">
        <v>279</v>
      </c>
    </row>
    <row r="360" spans="2:39" hidden="1" x14ac:dyDescent="0.45">
      <c r="B360" s="1099"/>
      <c r="C360" s="456" t="s">
        <v>282</v>
      </c>
      <c r="D360" s="724" t="s">
        <v>276</v>
      </c>
      <c r="E360" s="400" t="s">
        <v>62</v>
      </c>
      <c r="F360" s="785" t="s">
        <v>279</v>
      </c>
    </row>
    <row r="361" spans="2:39" hidden="1" x14ac:dyDescent="0.45">
      <c r="B361" s="1099"/>
      <c r="C361" s="456" t="s">
        <v>283</v>
      </c>
      <c r="D361" s="724" t="s">
        <v>277</v>
      </c>
      <c r="E361" s="400" t="s">
        <v>63</v>
      </c>
      <c r="F361" s="785" t="s">
        <v>279</v>
      </c>
    </row>
    <row r="362" spans="2:39" hidden="1" x14ac:dyDescent="0.45">
      <c r="B362" s="1100" t="s">
        <v>527</v>
      </c>
      <c r="C362" s="1101"/>
      <c r="D362" s="1101"/>
      <c r="E362" s="1101"/>
      <c r="F362" s="1102"/>
      <c r="G362" s="426"/>
      <c r="H362" s="426"/>
      <c r="I362" s="426"/>
      <c r="J362" s="426"/>
      <c r="K362" s="426"/>
      <c r="L362" s="426"/>
      <c r="M362" s="426"/>
      <c r="N362" s="426"/>
      <c r="O362" s="426"/>
      <c r="P362" s="426"/>
      <c r="Q362" s="426"/>
      <c r="R362" s="426"/>
      <c r="S362" s="426"/>
      <c r="T362" s="426"/>
      <c r="U362" s="426"/>
      <c r="V362" s="426"/>
      <c r="W362" s="426"/>
      <c r="X362" s="426"/>
      <c r="Y362" s="426"/>
      <c r="Z362" s="426"/>
      <c r="AA362" s="426"/>
      <c r="AB362" s="426"/>
      <c r="AC362" s="426"/>
      <c r="AD362" s="426"/>
      <c r="AE362" s="426"/>
      <c r="AF362" s="426"/>
      <c r="AG362" s="426"/>
      <c r="AH362" s="772"/>
      <c r="AI362" s="772"/>
      <c r="AJ362" s="772"/>
      <c r="AK362" s="772"/>
      <c r="AL362" s="772"/>
      <c r="AM362" s="772"/>
    </row>
    <row r="363" spans="2:39" ht="57" hidden="1" x14ac:dyDescent="0.45">
      <c r="B363" s="1114" t="s">
        <v>478</v>
      </c>
      <c r="C363" s="456" t="s">
        <v>479</v>
      </c>
      <c r="D363" s="724" t="s">
        <v>482</v>
      </c>
      <c r="E363" s="388" t="s">
        <v>729</v>
      </c>
      <c r="F363" s="779" t="s">
        <v>730</v>
      </c>
      <c r="G363" s="428"/>
      <c r="H363" s="428"/>
      <c r="I363" s="428"/>
      <c r="J363" s="428"/>
      <c r="K363" s="429"/>
      <c r="L363" s="429"/>
      <c r="M363" s="429"/>
      <c r="N363" s="429"/>
      <c r="O363" s="429"/>
      <c r="P363" s="429"/>
      <c r="Q363" s="429"/>
      <c r="R363" s="429"/>
      <c r="S363" s="429"/>
      <c r="T363" s="429"/>
      <c r="U363" s="429"/>
      <c r="V363" s="429"/>
      <c r="W363" s="429"/>
      <c r="X363" s="429"/>
      <c r="Y363" s="429"/>
      <c r="Z363" s="429"/>
      <c r="AA363" s="429"/>
      <c r="AB363" s="429"/>
      <c r="AC363" s="429"/>
      <c r="AD363" s="429"/>
      <c r="AE363" s="429"/>
      <c r="AF363" s="430"/>
      <c r="AG363" s="431"/>
      <c r="AH363" s="772"/>
      <c r="AI363" s="772"/>
      <c r="AJ363" s="772"/>
      <c r="AK363" s="772"/>
      <c r="AL363" s="772"/>
      <c r="AM363" s="772"/>
    </row>
    <row r="364" spans="2:39" ht="57" x14ac:dyDescent="0.45">
      <c r="B364" s="1114"/>
      <c r="C364" s="457" t="s">
        <v>505</v>
      </c>
      <c r="D364" s="724" t="s">
        <v>492</v>
      </c>
      <c r="E364" s="388" t="s">
        <v>731</v>
      </c>
      <c r="F364" s="779" t="s">
        <v>732</v>
      </c>
    </row>
    <row r="365" spans="2:39" ht="85.5" x14ac:dyDescent="0.45">
      <c r="B365" s="1114"/>
      <c r="C365" s="1082" t="s">
        <v>1238</v>
      </c>
      <c r="D365" s="724" t="s">
        <v>895</v>
      </c>
      <c r="E365" s="388" t="s">
        <v>1256</v>
      </c>
      <c r="F365" s="779"/>
    </row>
    <row r="366" spans="2:39" x14ac:dyDescent="0.45">
      <c r="B366" s="1114"/>
      <c r="C366" s="415" t="s">
        <v>480</v>
      </c>
      <c r="D366" s="724" t="s">
        <v>493</v>
      </c>
      <c r="E366" s="388" t="s">
        <v>733</v>
      </c>
      <c r="F366" s="779"/>
    </row>
    <row r="367" spans="2:39" x14ac:dyDescent="0.45">
      <c r="B367" s="1114"/>
      <c r="C367" s="457" t="s">
        <v>502</v>
      </c>
      <c r="D367" s="724" t="s">
        <v>494</v>
      </c>
      <c r="E367" s="457" t="s">
        <v>734</v>
      </c>
      <c r="F367" s="779" t="s">
        <v>732</v>
      </c>
    </row>
    <row r="368" spans="2:39" ht="57" x14ac:dyDescent="0.45">
      <c r="B368" s="1114"/>
      <c r="C368" s="415" t="s">
        <v>481</v>
      </c>
      <c r="D368" s="724" t="s">
        <v>495</v>
      </c>
      <c r="E368" s="388" t="s">
        <v>735</v>
      </c>
      <c r="F368" s="779"/>
    </row>
    <row r="369" spans="2:6" ht="57" x14ac:dyDescent="0.45">
      <c r="B369" s="1114"/>
      <c r="C369" s="457" t="s">
        <v>504</v>
      </c>
      <c r="D369" s="724" t="s">
        <v>496</v>
      </c>
      <c r="E369" s="388" t="s">
        <v>736</v>
      </c>
      <c r="F369" s="779" t="s">
        <v>732</v>
      </c>
    </row>
    <row r="370" spans="2:6" ht="57" x14ac:dyDescent="0.45">
      <c r="B370" s="1114"/>
      <c r="C370" s="415" t="s">
        <v>497</v>
      </c>
      <c r="D370" s="724" t="s">
        <v>498</v>
      </c>
      <c r="E370" s="388" t="s">
        <v>737</v>
      </c>
      <c r="F370" s="779"/>
    </row>
    <row r="371" spans="2:6" ht="57" x14ac:dyDescent="0.45">
      <c r="B371" s="1114"/>
      <c r="C371" s="457" t="s">
        <v>501</v>
      </c>
      <c r="D371" s="724" t="s">
        <v>499</v>
      </c>
      <c r="E371" s="388" t="s">
        <v>738</v>
      </c>
      <c r="F371" s="779" t="s">
        <v>739</v>
      </c>
    </row>
    <row r="372" spans="2:6" ht="57" x14ac:dyDescent="0.45">
      <c r="B372" s="1114"/>
      <c r="C372" s="457" t="s">
        <v>503</v>
      </c>
      <c r="D372" s="724" t="s">
        <v>500</v>
      </c>
      <c r="E372" s="388" t="s">
        <v>740</v>
      </c>
      <c r="F372" s="779" t="s">
        <v>739</v>
      </c>
    </row>
    <row r="373" spans="2:6" ht="57" x14ac:dyDescent="0.45">
      <c r="B373" s="1114"/>
      <c r="C373" s="415" t="s">
        <v>509</v>
      </c>
      <c r="D373" s="724" t="s">
        <v>508</v>
      </c>
      <c r="E373" s="388" t="s">
        <v>741</v>
      </c>
      <c r="F373" s="779"/>
    </row>
    <row r="374" spans="2:6" ht="29.25" thickBot="1" x14ac:dyDescent="0.5">
      <c r="B374" s="800" t="s">
        <v>874</v>
      </c>
      <c r="C374" s="425"/>
      <c r="D374" s="425"/>
      <c r="E374" s="424"/>
      <c r="F374" s="801"/>
    </row>
    <row r="375" spans="2:6" ht="57.75" hidden="1" thickBot="1" x14ac:dyDescent="0.5">
      <c r="B375" s="802" t="s">
        <v>876</v>
      </c>
      <c r="C375" s="457" t="s">
        <v>875</v>
      </c>
      <c r="D375" s="724" t="s">
        <v>873</v>
      </c>
      <c r="E375" s="472" t="s">
        <v>882</v>
      </c>
      <c r="F375" s="790" t="s">
        <v>883</v>
      </c>
    </row>
    <row r="376" spans="2:6" x14ac:dyDescent="0.45">
      <c r="B376" s="1096" t="s">
        <v>100</v>
      </c>
      <c r="C376" s="1052" t="s">
        <v>128</v>
      </c>
      <c r="D376" s="1053" t="s">
        <v>1000</v>
      </c>
      <c r="E376" s="473" t="s">
        <v>1416</v>
      </c>
      <c r="F376" s="803"/>
    </row>
    <row r="377" spans="2:6" x14ac:dyDescent="0.45">
      <c r="B377" s="1097"/>
      <c r="C377" s="1054" t="s">
        <v>1022</v>
      </c>
      <c r="D377" s="1055" t="s">
        <v>1001</v>
      </c>
      <c r="E377" s="473" t="s">
        <v>1417</v>
      </c>
      <c r="F377" s="803"/>
    </row>
    <row r="378" spans="2:6" ht="57" x14ac:dyDescent="0.45">
      <c r="B378" s="1097"/>
      <c r="C378" s="1054" t="s">
        <v>1003</v>
      </c>
      <c r="D378" s="1055" t="s">
        <v>1002</v>
      </c>
      <c r="E378" s="473" t="s">
        <v>1418</v>
      </c>
      <c r="F378" s="803"/>
    </row>
    <row r="379" spans="2:6" ht="57" x14ac:dyDescent="0.45">
      <c r="B379" s="1097"/>
      <c r="C379" s="1054" t="s">
        <v>1005</v>
      </c>
      <c r="D379" s="1055" t="s">
        <v>1004</v>
      </c>
      <c r="E379" s="473" t="s">
        <v>1419</v>
      </c>
      <c r="F379" s="803"/>
    </row>
    <row r="380" spans="2:6" ht="29.25" thickBot="1" x14ac:dyDescent="0.5">
      <c r="B380" s="1098"/>
      <c r="C380" s="1056" t="s">
        <v>1007</v>
      </c>
      <c r="D380" s="1057" t="s">
        <v>1006</v>
      </c>
      <c r="E380" s="473" t="s">
        <v>1420</v>
      </c>
      <c r="F380" s="803"/>
    </row>
    <row r="381" spans="2:6" x14ac:dyDescent="0.45">
      <c r="B381" s="1096" t="s">
        <v>13</v>
      </c>
      <c r="C381" s="1052" t="s">
        <v>128</v>
      </c>
      <c r="D381" s="1053" t="s">
        <v>1008</v>
      </c>
      <c r="E381" s="473" t="s">
        <v>1416</v>
      </c>
      <c r="F381" s="803"/>
    </row>
    <row r="382" spans="2:6" x14ac:dyDescent="0.45">
      <c r="B382" s="1097"/>
      <c r="C382" s="1054" t="s">
        <v>1022</v>
      </c>
      <c r="D382" s="1055" t="s">
        <v>1009</v>
      </c>
      <c r="E382" s="473" t="s">
        <v>1417</v>
      </c>
      <c r="F382" s="803"/>
    </row>
    <row r="383" spans="2:6" ht="57" x14ac:dyDescent="0.45">
      <c r="B383" s="1097"/>
      <c r="C383" s="1054" t="s">
        <v>1003</v>
      </c>
      <c r="D383" s="1055" t="s">
        <v>1010</v>
      </c>
      <c r="E383" s="473" t="s">
        <v>1418</v>
      </c>
      <c r="F383" s="803"/>
    </row>
    <row r="384" spans="2:6" ht="57" x14ac:dyDescent="0.45">
      <c r="B384" s="1097"/>
      <c r="C384" s="1054" t="s">
        <v>1005</v>
      </c>
      <c r="D384" s="1055" t="s">
        <v>1011</v>
      </c>
      <c r="E384" s="473" t="s">
        <v>1419</v>
      </c>
      <c r="F384" s="803"/>
    </row>
    <row r="385" spans="2:6" ht="29.25" thickBot="1" x14ac:dyDescent="0.5">
      <c r="B385" s="1098"/>
      <c r="C385" s="1056" t="s">
        <v>1007</v>
      </c>
      <c r="D385" s="1057" t="s">
        <v>1012</v>
      </c>
      <c r="E385" s="473" t="s">
        <v>1421</v>
      </c>
      <c r="F385" s="803"/>
    </row>
    <row r="386" spans="2:6" x14ac:dyDescent="0.45">
      <c r="B386" s="1096" t="s">
        <v>14</v>
      </c>
      <c r="C386" s="1052" t="s">
        <v>128</v>
      </c>
      <c r="D386" s="1053" t="s">
        <v>1013</v>
      </c>
      <c r="E386" s="473" t="s">
        <v>1416</v>
      </c>
      <c r="F386" s="803"/>
    </row>
    <row r="387" spans="2:6" x14ac:dyDescent="0.45">
      <c r="B387" s="1097"/>
      <c r="C387" s="1054" t="s">
        <v>1022</v>
      </c>
      <c r="D387" s="1055" t="s">
        <v>1014</v>
      </c>
      <c r="E387" s="473" t="s">
        <v>1417</v>
      </c>
      <c r="F387" s="803"/>
    </row>
    <row r="388" spans="2:6" ht="57" x14ac:dyDescent="0.45">
      <c r="B388" s="1097"/>
      <c r="C388" s="1054" t="s">
        <v>1003</v>
      </c>
      <c r="D388" s="1055" t="s">
        <v>1015</v>
      </c>
      <c r="E388" s="473" t="s">
        <v>1418</v>
      </c>
      <c r="F388" s="803"/>
    </row>
    <row r="389" spans="2:6" ht="57" x14ac:dyDescent="0.45">
      <c r="B389" s="1097"/>
      <c r="C389" s="1054" t="s">
        <v>1005</v>
      </c>
      <c r="D389" s="1055" t="s">
        <v>1016</v>
      </c>
      <c r="E389" s="473" t="s">
        <v>1419</v>
      </c>
      <c r="F389" s="803"/>
    </row>
    <row r="390" spans="2:6" ht="29.25" thickBot="1" x14ac:dyDescent="0.5">
      <c r="B390" s="1098"/>
      <c r="C390" s="1056" t="s">
        <v>1007</v>
      </c>
      <c r="D390" s="1057" t="s">
        <v>1017</v>
      </c>
      <c r="E390" s="473" t="s">
        <v>1422</v>
      </c>
      <c r="F390" s="803"/>
    </row>
    <row r="391" spans="2:6" x14ac:dyDescent="0.45">
      <c r="B391" s="1096" t="s">
        <v>15</v>
      </c>
      <c r="C391" s="1052" t="s">
        <v>128</v>
      </c>
      <c r="D391" s="1053" t="s">
        <v>1018</v>
      </c>
      <c r="E391" s="473" t="s">
        <v>1416</v>
      </c>
      <c r="F391" s="803"/>
    </row>
    <row r="392" spans="2:6" x14ac:dyDescent="0.45">
      <c r="B392" s="1097"/>
      <c r="C392" s="1054" t="s">
        <v>1022</v>
      </c>
      <c r="D392" s="1055" t="s">
        <v>1019</v>
      </c>
      <c r="E392" s="473" t="s">
        <v>1417</v>
      </c>
      <c r="F392" s="803"/>
    </row>
    <row r="393" spans="2:6" ht="57" x14ac:dyDescent="0.45">
      <c r="B393" s="1097"/>
      <c r="C393" s="1054" t="s">
        <v>1003</v>
      </c>
      <c r="D393" s="1055" t="s">
        <v>1020</v>
      </c>
      <c r="E393" s="473" t="s">
        <v>1418</v>
      </c>
      <c r="F393" s="803"/>
    </row>
    <row r="394" spans="2:6" ht="57" x14ac:dyDescent="0.45">
      <c r="B394" s="1097"/>
      <c r="C394" s="1054" t="s">
        <v>1005</v>
      </c>
      <c r="D394" s="1055" t="s">
        <v>1021</v>
      </c>
      <c r="E394" s="473" t="s">
        <v>1419</v>
      </c>
      <c r="F394" s="803"/>
    </row>
    <row r="395" spans="2:6" ht="29.25" thickBot="1" x14ac:dyDescent="0.5">
      <c r="B395" s="1098"/>
      <c r="C395" s="1056" t="s">
        <v>1007</v>
      </c>
      <c r="D395" s="1057" t="s">
        <v>1027</v>
      </c>
      <c r="E395" s="473" t="s">
        <v>1423</v>
      </c>
      <c r="F395" s="803"/>
    </row>
    <row r="396" spans="2:6" x14ac:dyDescent="0.45">
      <c r="B396" s="1096" t="s">
        <v>1023</v>
      </c>
      <c r="C396" s="1052" t="s">
        <v>128</v>
      </c>
      <c r="D396" s="1053" t="s">
        <v>1028</v>
      </c>
      <c r="E396" s="473" t="s">
        <v>1416</v>
      </c>
      <c r="F396" s="803"/>
    </row>
    <row r="397" spans="2:6" x14ac:dyDescent="0.45">
      <c r="B397" s="1097"/>
      <c r="C397" s="1054" t="s">
        <v>1022</v>
      </c>
      <c r="D397" s="1055" t="s">
        <v>1029</v>
      </c>
      <c r="E397" s="473" t="s">
        <v>1417</v>
      </c>
      <c r="F397" s="803"/>
    </row>
    <row r="398" spans="2:6" ht="57" x14ac:dyDescent="0.45">
      <c r="B398" s="1097"/>
      <c r="C398" s="1054" t="s">
        <v>1003</v>
      </c>
      <c r="D398" s="1055" t="s">
        <v>1030</v>
      </c>
      <c r="E398" s="473" t="s">
        <v>1418</v>
      </c>
      <c r="F398" s="803"/>
    </row>
    <row r="399" spans="2:6" ht="57" x14ac:dyDescent="0.45">
      <c r="B399" s="1097"/>
      <c r="C399" s="1054" t="s">
        <v>1005</v>
      </c>
      <c r="D399" s="1055" t="s">
        <v>1031</v>
      </c>
      <c r="E399" s="473" t="s">
        <v>1419</v>
      </c>
      <c r="F399" s="803"/>
    </row>
    <row r="400" spans="2:6" ht="29.25" thickBot="1" x14ac:dyDescent="0.5">
      <c r="B400" s="1098"/>
      <c r="C400" s="1056" t="s">
        <v>1007</v>
      </c>
      <c r="D400" s="1057" t="s">
        <v>1032</v>
      </c>
      <c r="E400" s="473" t="s">
        <v>1424</v>
      </c>
      <c r="F400" s="803"/>
    </row>
    <row r="401" spans="2:6" x14ac:dyDescent="0.45">
      <c r="B401" s="1096" t="s">
        <v>16</v>
      </c>
      <c r="C401" s="1052" t="s">
        <v>128</v>
      </c>
      <c r="D401" s="1053" t="s">
        <v>1033</v>
      </c>
      <c r="E401" s="473" t="s">
        <v>1416</v>
      </c>
      <c r="F401" s="803"/>
    </row>
    <row r="402" spans="2:6" x14ac:dyDescent="0.45">
      <c r="B402" s="1097"/>
      <c r="C402" s="1054" t="s">
        <v>1022</v>
      </c>
      <c r="D402" s="1055" t="s">
        <v>1034</v>
      </c>
      <c r="E402" s="473" t="s">
        <v>1417</v>
      </c>
      <c r="F402" s="803"/>
    </row>
    <row r="403" spans="2:6" ht="57" x14ac:dyDescent="0.45">
      <c r="B403" s="1097"/>
      <c r="C403" s="1054" t="s">
        <v>1003</v>
      </c>
      <c r="D403" s="1055" t="s">
        <v>1035</v>
      </c>
      <c r="E403" s="473" t="s">
        <v>1418</v>
      </c>
      <c r="F403" s="803"/>
    </row>
    <row r="404" spans="2:6" ht="57" x14ac:dyDescent="0.45">
      <c r="B404" s="1097"/>
      <c r="C404" s="1054" t="s">
        <v>1005</v>
      </c>
      <c r="D404" s="1055" t="s">
        <v>1036</v>
      </c>
      <c r="E404" s="473" t="s">
        <v>1419</v>
      </c>
      <c r="F404" s="803"/>
    </row>
    <row r="405" spans="2:6" ht="29.25" thickBot="1" x14ac:dyDescent="0.5">
      <c r="B405" s="1098"/>
      <c r="C405" s="1056" t="s">
        <v>1007</v>
      </c>
      <c r="D405" s="1057" t="s">
        <v>1037</v>
      </c>
      <c r="E405" s="473" t="s">
        <v>1425</v>
      </c>
      <c r="F405" s="803"/>
    </row>
    <row r="406" spans="2:6" x14ac:dyDescent="0.45">
      <c r="B406" s="1096" t="s">
        <v>1024</v>
      </c>
      <c r="C406" s="1052" t="s">
        <v>128</v>
      </c>
      <c r="D406" s="1053" t="s">
        <v>1038</v>
      </c>
      <c r="E406" s="473" t="s">
        <v>1416</v>
      </c>
      <c r="F406" s="803"/>
    </row>
    <row r="407" spans="2:6" x14ac:dyDescent="0.45">
      <c r="B407" s="1097"/>
      <c r="C407" s="1054" t="s">
        <v>1022</v>
      </c>
      <c r="D407" s="1055" t="s">
        <v>1039</v>
      </c>
      <c r="E407" s="473" t="s">
        <v>1417</v>
      </c>
      <c r="F407" s="803"/>
    </row>
    <row r="408" spans="2:6" ht="57" x14ac:dyDescent="0.45">
      <c r="B408" s="1097"/>
      <c r="C408" s="1054" t="s">
        <v>1003</v>
      </c>
      <c r="D408" s="1055" t="s">
        <v>1040</v>
      </c>
      <c r="E408" s="473" t="s">
        <v>1418</v>
      </c>
      <c r="F408" s="803"/>
    </row>
    <row r="409" spans="2:6" ht="57" x14ac:dyDescent="0.45">
      <c r="B409" s="1097"/>
      <c r="C409" s="1054" t="s">
        <v>1005</v>
      </c>
      <c r="D409" s="1055" t="s">
        <v>1041</v>
      </c>
      <c r="E409" s="473" t="s">
        <v>1419</v>
      </c>
      <c r="F409" s="803"/>
    </row>
    <row r="410" spans="2:6" ht="29.25" thickBot="1" x14ac:dyDescent="0.5">
      <c r="B410" s="1098"/>
      <c r="C410" s="1056" t="s">
        <v>1007</v>
      </c>
      <c r="D410" s="1057" t="s">
        <v>1042</v>
      </c>
      <c r="E410" s="473" t="s">
        <v>1426</v>
      </c>
      <c r="F410" s="803"/>
    </row>
    <row r="411" spans="2:6" x14ac:dyDescent="0.45">
      <c r="B411" s="1096" t="s">
        <v>22</v>
      </c>
      <c r="C411" s="1052" t="s">
        <v>128</v>
      </c>
      <c r="D411" s="1053" t="s">
        <v>1043</v>
      </c>
      <c r="E411" s="473" t="s">
        <v>1416</v>
      </c>
      <c r="F411" s="803"/>
    </row>
    <row r="412" spans="2:6" x14ac:dyDescent="0.45">
      <c r="B412" s="1097"/>
      <c r="C412" s="1054" t="s">
        <v>1022</v>
      </c>
      <c r="D412" s="1055" t="s">
        <v>1044</v>
      </c>
      <c r="E412" s="473" t="s">
        <v>1417</v>
      </c>
      <c r="F412" s="803"/>
    </row>
    <row r="413" spans="2:6" ht="57" x14ac:dyDescent="0.45">
      <c r="B413" s="1097"/>
      <c r="C413" s="1054" t="s">
        <v>1003</v>
      </c>
      <c r="D413" s="1055" t="s">
        <v>1045</v>
      </c>
      <c r="E413" s="473" t="s">
        <v>1418</v>
      </c>
      <c r="F413" s="803"/>
    </row>
    <row r="414" spans="2:6" ht="57" x14ac:dyDescent="0.45">
      <c r="B414" s="1097"/>
      <c r="C414" s="1054" t="s">
        <v>1005</v>
      </c>
      <c r="D414" s="1055" t="s">
        <v>1046</v>
      </c>
      <c r="E414" s="473" t="s">
        <v>1419</v>
      </c>
      <c r="F414" s="803"/>
    </row>
    <row r="415" spans="2:6" ht="29.25" thickBot="1" x14ac:dyDescent="0.5">
      <c r="B415" s="1098"/>
      <c r="C415" s="1056" t="s">
        <v>1007</v>
      </c>
      <c r="D415" s="1057" t="s">
        <v>1047</v>
      </c>
      <c r="E415" s="473" t="s">
        <v>1427</v>
      </c>
      <c r="F415" s="803"/>
    </row>
    <row r="416" spans="2:6" x14ac:dyDescent="0.45">
      <c r="B416" s="1096" t="s">
        <v>18</v>
      </c>
      <c r="C416" s="1052" t="s">
        <v>128</v>
      </c>
      <c r="D416" s="1053" t="s">
        <v>1048</v>
      </c>
      <c r="E416" s="473" t="s">
        <v>1416</v>
      </c>
      <c r="F416" s="803"/>
    </row>
    <row r="417" spans="2:6" x14ac:dyDescent="0.45">
      <c r="B417" s="1097"/>
      <c r="C417" s="1054" t="s">
        <v>1022</v>
      </c>
      <c r="D417" s="1055" t="s">
        <v>1049</v>
      </c>
      <c r="E417" s="473" t="s">
        <v>1417</v>
      </c>
      <c r="F417" s="803"/>
    </row>
    <row r="418" spans="2:6" ht="57" x14ac:dyDescent="0.45">
      <c r="B418" s="1097"/>
      <c r="C418" s="1054" t="s">
        <v>1003</v>
      </c>
      <c r="D418" s="1055" t="s">
        <v>1050</v>
      </c>
      <c r="E418" s="473" t="s">
        <v>1418</v>
      </c>
      <c r="F418" s="803"/>
    </row>
    <row r="419" spans="2:6" ht="57" x14ac:dyDescent="0.45">
      <c r="B419" s="1097"/>
      <c r="C419" s="1054" t="s">
        <v>1005</v>
      </c>
      <c r="D419" s="1055" t="s">
        <v>1051</v>
      </c>
      <c r="E419" s="473" t="s">
        <v>1419</v>
      </c>
      <c r="F419" s="803"/>
    </row>
    <row r="420" spans="2:6" ht="29.25" thickBot="1" x14ac:dyDescent="0.5">
      <c r="B420" s="1098"/>
      <c r="C420" s="1056" t="s">
        <v>1007</v>
      </c>
      <c r="D420" s="1057" t="s">
        <v>1052</v>
      </c>
      <c r="E420" s="473" t="s">
        <v>1428</v>
      </c>
      <c r="F420" s="803"/>
    </row>
    <row r="421" spans="2:6" x14ac:dyDescent="0.45">
      <c r="B421" s="1096" t="s">
        <v>947</v>
      </c>
      <c r="C421" s="1052" t="s">
        <v>128</v>
      </c>
      <c r="D421" s="1053" t="s">
        <v>1053</v>
      </c>
      <c r="E421" s="473" t="s">
        <v>1416</v>
      </c>
      <c r="F421" s="803"/>
    </row>
    <row r="422" spans="2:6" x14ac:dyDescent="0.45">
      <c r="B422" s="1097"/>
      <c r="C422" s="1054" t="s">
        <v>1022</v>
      </c>
      <c r="D422" s="1055" t="s">
        <v>1054</v>
      </c>
      <c r="E422" s="473" t="s">
        <v>1417</v>
      </c>
      <c r="F422" s="803"/>
    </row>
    <row r="423" spans="2:6" ht="57" x14ac:dyDescent="0.45">
      <c r="B423" s="1097"/>
      <c r="C423" s="1054" t="s">
        <v>1003</v>
      </c>
      <c r="D423" s="1055" t="s">
        <v>1055</v>
      </c>
      <c r="E423" s="473" t="s">
        <v>1418</v>
      </c>
      <c r="F423" s="803"/>
    </row>
    <row r="424" spans="2:6" ht="57" x14ac:dyDescent="0.45">
      <c r="B424" s="1097"/>
      <c r="C424" s="1054" t="s">
        <v>1005</v>
      </c>
      <c r="D424" s="1055" t="s">
        <v>1056</v>
      </c>
      <c r="E424" s="473" t="s">
        <v>1419</v>
      </c>
      <c r="F424" s="803"/>
    </row>
    <row r="425" spans="2:6" ht="29.25" thickBot="1" x14ac:dyDescent="0.5">
      <c r="B425" s="1098"/>
      <c r="C425" s="1056" t="s">
        <v>1007</v>
      </c>
      <c r="D425" s="1057" t="s">
        <v>1057</v>
      </c>
      <c r="E425" s="473" t="s">
        <v>1429</v>
      </c>
      <c r="F425" s="803"/>
    </row>
    <row r="426" spans="2:6" x14ac:dyDescent="0.45">
      <c r="B426" s="1096" t="s">
        <v>1025</v>
      </c>
      <c r="C426" s="1052" t="s">
        <v>128</v>
      </c>
      <c r="D426" s="1053" t="s">
        <v>1058</v>
      </c>
      <c r="E426" s="473" t="s">
        <v>1416</v>
      </c>
      <c r="F426" s="803"/>
    </row>
    <row r="427" spans="2:6" x14ac:dyDescent="0.45">
      <c r="B427" s="1097"/>
      <c r="C427" s="1054" t="s">
        <v>1022</v>
      </c>
      <c r="D427" s="1055" t="s">
        <v>1059</v>
      </c>
      <c r="E427" s="473" t="s">
        <v>1417</v>
      </c>
      <c r="F427" s="803"/>
    </row>
    <row r="428" spans="2:6" ht="57" x14ac:dyDescent="0.45">
      <c r="B428" s="1097"/>
      <c r="C428" s="1054" t="s">
        <v>1003</v>
      </c>
      <c r="D428" s="1055" t="s">
        <v>1060</v>
      </c>
      <c r="E428" s="473" t="s">
        <v>1418</v>
      </c>
      <c r="F428" s="803"/>
    </row>
    <row r="429" spans="2:6" ht="57" x14ac:dyDescent="0.45">
      <c r="B429" s="1097"/>
      <c r="C429" s="1054" t="s">
        <v>1005</v>
      </c>
      <c r="D429" s="1055" t="s">
        <v>1061</v>
      </c>
      <c r="E429" s="473" t="s">
        <v>1419</v>
      </c>
      <c r="F429" s="803"/>
    </row>
    <row r="430" spans="2:6" ht="29.25" thickBot="1" x14ac:dyDescent="0.5">
      <c r="B430" s="1098"/>
      <c r="C430" s="1056" t="s">
        <v>1007</v>
      </c>
      <c r="D430" s="1057" t="s">
        <v>1062</v>
      </c>
      <c r="E430" s="473" t="s">
        <v>1430</v>
      </c>
      <c r="F430" s="803"/>
    </row>
    <row r="431" spans="2:6" x14ac:dyDescent="0.45">
      <c r="B431" s="1096" t="s">
        <v>1026</v>
      </c>
      <c r="C431" s="1052" t="s">
        <v>128</v>
      </c>
      <c r="D431" s="1053" t="s">
        <v>1063</v>
      </c>
      <c r="E431" s="473" t="s">
        <v>1416</v>
      </c>
      <c r="F431" s="803"/>
    </row>
    <row r="432" spans="2:6" x14ac:dyDescent="0.45">
      <c r="B432" s="1097"/>
      <c r="C432" s="1054" t="s">
        <v>1022</v>
      </c>
      <c r="D432" s="1055" t="s">
        <v>1064</v>
      </c>
      <c r="E432" s="473" t="s">
        <v>1417</v>
      </c>
      <c r="F432" s="803"/>
    </row>
    <row r="433" spans="2:6" ht="57" x14ac:dyDescent="0.45">
      <c r="B433" s="1097"/>
      <c r="C433" s="1054" t="s">
        <v>1003</v>
      </c>
      <c r="D433" s="1055" t="s">
        <v>1065</v>
      </c>
      <c r="E433" s="473" t="s">
        <v>1418</v>
      </c>
      <c r="F433" s="803"/>
    </row>
    <row r="434" spans="2:6" ht="57" x14ac:dyDescent="0.45">
      <c r="B434" s="1097"/>
      <c r="C434" s="1054" t="s">
        <v>1005</v>
      </c>
      <c r="D434" s="1055" t="s">
        <v>1066</v>
      </c>
      <c r="E434" s="473" t="s">
        <v>1419</v>
      </c>
      <c r="F434" s="803"/>
    </row>
    <row r="435" spans="2:6" ht="29.25" thickBot="1" x14ac:dyDescent="0.5">
      <c r="B435" s="1098"/>
      <c r="C435" s="1056" t="s">
        <v>1007</v>
      </c>
      <c r="D435" s="1057" t="s">
        <v>1067</v>
      </c>
      <c r="E435" s="473" t="s">
        <v>1431</v>
      </c>
      <c r="F435" s="803"/>
    </row>
    <row r="436" spans="2:6" x14ac:dyDescent="0.45">
      <c r="B436" s="1096" t="s">
        <v>1073</v>
      </c>
      <c r="C436" s="1052" t="s">
        <v>128</v>
      </c>
      <c r="D436" s="1053" t="s">
        <v>1068</v>
      </c>
      <c r="E436" s="473" t="s">
        <v>1416</v>
      </c>
      <c r="F436" s="803"/>
    </row>
    <row r="437" spans="2:6" x14ac:dyDescent="0.45">
      <c r="B437" s="1097"/>
      <c r="C437" s="1054" t="s">
        <v>1022</v>
      </c>
      <c r="D437" s="1055" t="s">
        <v>1069</v>
      </c>
      <c r="E437" s="473" t="s">
        <v>1417</v>
      </c>
      <c r="F437" s="803"/>
    </row>
    <row r="438" spans="2:6" ht="57" x14ac:dyDescent="0.45">
      <c r="B438" s="1097"/>
      <c r="C438" s="1054" t="s">
        <v>1003</v>
      </c>
      <c r="D438" s="1055" t="s">
        <v>1070</v>
      </c>
      <c r="E438" s="473" t="s">
        <v>1418</v>
      </c>
      <c r="F438" s="803"/>
    </row>
    <row r="439" spans="2:6" ht="57" x14ac:dyDescent="0.45">
      <c r="B439" s="1097"/>
      <c r="C439" s="1054" t="s">
        <v>1005</v>
      </c>
      <c r="D439" s="1055" t="s">
        <v>1071</v>
      </c>
      <c r="E439" s="473" t="s">
        <v>1419</v>
      </c>
      <c r="F439" s="803"/>
    </row>
    <row r="440" spans="2:6" ht="29.25" thickBot="1" x14ac:dyDescent="0.5">
      <c r="B440" s="1098"/>
      <c r="C440" s="1056" t="s">
        <v>1007</v>
      </c>
      <c r="D440" s="1057" t="s">
        <v>1072</v>
      </c>
      <c r="E440" s="473" t="s">
        <v>1432</v>
      </c>
      <c r="F440" s="804"/>
    </row>
  </sheetData>
  <autoFilter ref="B2:F373"/>
  <mergeCells count="119">
    <mergeCell ref="G149:N149"/>
    <mergeCell ref="B38:B39"/>
    <mergeCell ref="B85:B88"/>
    <mergeCell ref="B89:B92"/>
    <mergeCell ref="B93:B96"/>
    <mergeCell ref="B114:B119"/>
    <mergeCell ref="B104:B105"/>
    <mergeCell ref="B97:F97"/>
    <mergeCell ref="B98:B103"/>
    <mergeCell ref="B108:F108"/>
    <mergeCell ref="B109:B112"/>
    <mergeCell ref="B47:B48"/>
    <mergeCell ref="B49:B50"/>
    <mergeCell ref="B77:B80"/>
    <mergeCell ref="B65:B68"/>
    <mergeCell ref="B69:B72"/>
    <mergeCell ref="B73:B76"/>
    <mergeCell ref="B51:F51"/>
    <mergeCell ref="B52:B53"/>
    <mergeCell ref="B54:B55"/>
    <mergeCell ref="B106:B107"/>
    <mergeCell ref="B44:B46"/>
    <mergeCell ref="B135:B136"/>
    <mergeCell ref="B137:B138"/>
    <mergeCell ref="B120:B121"/>
    <mergeCell ref="B122:B123"/>
    <mergeCell ref="B124:B126"/>
    <mergeCell ref="B1:E1"/>
    <mergeCell ref="B208:B216"/>
    <mergeCell ref="B217:B225"/>
    <mergeCell ref="B199:B207"/>
    <mergeCell ref="B198:F198"/>
    <mergeCell ref="B143:F143"/>
    <mergeCell ref="B148:B149"/>
    <mergeCell ref="B150:B151"/>
    <mergeCell ref="B152:B153"/>
    <mergeCell ref="B154:B155"/>
    <mergeCell ref="B156:B157"/>
    <mergeCell ref="B158:B159"/>
    <mergeCell ref="B176:F176"/>
    <mergeCell ref="B177:B183"/>
    <mergeCell ref="B184:B190"/>
    <mergeCell ref="B191:B197"/>
    <mergeCell ref="B133:B134"/>
    <mergeCell ref="B40:B41"/>
    <mergeCell ref="B42:B43"/>
    <mergeCell ref="B4:F4"/>
    <mergeCell ref="B5:B7"/>
    <mergeCell ref="B14:F14"/>
    <mergeCell ref="B15:B25"/>
    <mergeCell ref="B81:B84"/>
    <mergeCell ref="B57:B60"/>
    <mergeCell ref="B61:B64"/>
    <mergeCell ref="B26:B27"/>
    <mergeCell ref="B28:B29"/>
    <mergeCell ref="B30:B31"/>
    <mergeCell ref="B32:B33"/>
    <mergeCell ref="B34:B35"/>
    <mergeCell ref="B36:B37"/>
    <mergeCell ref="B8:B10"/>
    <mergeCell ref="B11:B13"/>
    <mergeCell ref="B56:F56"/>
    <mergeCell ref="B363:B373"/>
    <mergeCell ref="B243:F243"/>
    <mergeCell ref="B244:B249"/>
    <mergeCell ref="B250:B253"/>
    <mergeCell ref="B334:B341"/>
    <mergeCell ref="B342:F342"/>
    <mergeCell ref="B343:B348"/>
    <mergeCell ref="B349:B354"/>
    <mergeCell ref="B355:B361"/>
    <mergeCell ref="B258:B265"/>
    <mergeCell ref="B276:B279"/>
    <mergeCell ref="B297:B298"/>
    <mergeCell ref="B315:B316"/>
    <mergeCell ref="B129:B130"/>
    <mergeCell ref="B131:B132"/>
    <mergeCell ref="B139:B141"/>
    <mergeCell ref="B293:B296"/>
    <mergeCell ref="B332:B333"/>
    <mergeCell ref="B329:B331"/>
    <mergeCell ref="B317:B328"/>
    <mergeCell ref="B164:B165"/>
    <mergeCell ref="B426:B430"/>
    <mergeCell ref="B431:B435"/>
    <mergeCell ref="B436:B440"/>
    <mergeCell ref="B307:B314"/>
    <mergeCell ref="B268:F268"/>
    <mergeCell ref="B269:B271"/>
    <mergeCell ref="B272:B273"/>
    <mergeCell ref="B274:B275"/>
    <mergeCell ref="B281:B283"/>
    <mergeCell ref="B284:F284"/>
    <mergeCell ref="B286:B291"/>
    <mergeCell ref="B299:B300"/>
    <mergeCell ref="B301:B306"/>
    <mergeCell ref="B401:B405"/>
    <mergeCell ref="B406:B410"/>
    <mergeCell ref="B411:B415"/>
    <mergeCell ref="B416:B420"/>
    <mergeCell ref="B421:B425"/>
    <mergeCell ref="B376:B380"/>
    <mergeCell ref="B381:B385"/>
    <mergeCell ref="B386:B390"/>
    <mergeCell ref="B391:B395"/>
    <mergeCell ref="B396:B400"/>
    <mergeCell ref="B362:F362"/>
    <mergeCell ref="B166:B167"/>
    <mergeCell ref="B168:B169"/>
    <mergeCell ref="B170:B171"/>
    <mergeCell ref="B172:B173"/>
    <mergeCell ref="B174:B175"/>
    <mergeCell ref="B254:B257"/>
    <mergeCell ref="B266:B267"/>
    <mergeCell ref="B144:F144"/>
    <mergeCell ref="B160:F160"/>
    <mergeCell ref="B239:B242"/>
    <mergeCell ref="B163:F163"/>
    <mergeCell ref="B147:F147"/>
  </mergeCells>
  <phoneticPr fontId="3" type="noConversion"/>
  <conditionalFormatting sqref="F199">
    <cfRule type="cellIs" dxfId="115" priority="108" operator="equal">
      <formula>0</formula>
    </cfRule>
  </conditionalFormatting>
  <conditionalFormatting sqref="K363:AA363">
    <cfRule type="expression" dxfId="114" priority="106">
      <formula>K363&gt;K361</formula>
    </cfRule>
  </conditionalFormatting>
  <conditionalFormatting sqref="AF363">
    <cfRule type="notContainsBlanks" dxfId="113" priority="107">
      <formula>LEN(TRIM(AF363))&gt;0</formula>
    </cfRule>
  </conditionalFormatting>
  <conditionalFormatting sqref="K363:AA363">
    <cfRule type="expression" dxfId="112" priority="105">
      <formula>K361&gt;K363</formula>
    </cfRule>
  </conditionalFormatting>
  <conditionalFormatting sqref="AB363:AE363">
    <cfRule type="expression" dxfId="111" priority="104">
      <formula>AB363&gt;AB361</formula>
    </cfRule>
  </conditionalFormatting>
  <conditionalFormatting sqref="AB363:AE363">
    <cfRule type="expression" dxfId="110" priority="103">
      <formula>AB361&gt;AB363</formula>
    </cfRule>
  </conditionalFormatting>
  <conditionalFormatting sqref="D45:D46">
    <cfRule type="duplicateValues" dxfId="109" priority="102"/>
  </conditionalFormatting>
  <conditionalFormatting sqref="D45:D46">
    <cfRule type="duplicateValues" dxfId="108" priority="101"/>
  </conditionalFormatting>
  <conditionalFormatting sqref="D45:D46">
    <cfRule type="duplicateValues" dxfId="107" priority="100"/>
  </conditionalFormatting>
  <conditionalFormatting sqref="D45:D46">
    <cfRule type="duplicateValues" dxfId="106" priority="99"/>
  </conditionalFormatting>
  <conditionalFormatting sqref="D128">
    <cfRule type="duplicateValues" dxfId="105" priority="98"/>
  </conditionalFormatting>
  <conditionalFormatting sqref="D24">
    <cfRule type="duplicateValues" dxfId="104" priority="97"/>
  </conditionalFormatting>
  <conditionalFormatting sqref="D24">
    <cfRule type="duplicateValues" dxfId="103" priority="96"/>
  </conditionalFormatting>
  <conditionalFormatting sqref="D24">
    <cfRule type="duplicateValues" dxfId="102" priority="95"/>
  </conditionalFormatting>
  <conditionalFormatting sqref="D24">
    <cfRule type="duplicateValues" dxfId="101" priority="94"/>
  </conditionalFormatting>
  <conditionalFormatting sqref="D24">
    <cfRule type="duplicateValues" dxfId="100" priority="93"/>
  </conditionalFormatting>
  <conditionalFormatting sqref="D24">
    <cfRule type="duplicateValues" dxfId="99" priority="90"/>
    <cfRule type="duplicateValues" dxfId="98" priority="92"/>
  </conditionalFormatting>
  <conditionalFormatting sqref="D24">
    <cfRule type="duplicateValues" dxfId="97" priority="91"/>
  </conditionalFormatting>
  <conditionalFormatting sqref="D47:D48">
    <cfRule type="duplicateValues" dxfId="96" priority="89"/>
  </conditionalFormatting>
  <conditionalFormatting sqref="D47:D48">
    <cfRule type="duplicateValues" dxfId="95" priority="88"/>
  </conditionalFormatting>
  <conditionalFormatting sqref="D49:D50">
    <cfRule type="duplicateValues" dxfId="94" priority="87"/>
  </conditionalFormatting>
  <conditionalFormatting sqref="D47:D50">
    <cfRule type="duplicateValues" dxfId="93" priority="86"/>
  </conditionalFormatting>
  <conditionalFormatting sqref="D47:D50">
    <cfRule type="duplicateValues" dxfId="92" priority="85"/>
  </conditionalFormatting>
  <conditionalFormatting sqref="D47:D50">
    <cfRule type="duplicateValues" dxfId="91" priority="84"/>
  </conditionalFormatting>
  <conditionalFormatting sqref="D52:D53">
    <cfRule type="duplicateValues" dxfId="90" priority="83"/>
  </conditionalFormatting>
  <conditionalFormatting sqref="D52:D53">
    <cfRule type="duplicateValues" dxfId="89" priority="82"/>
  </conditionalFormatting>
  <conditionalFormatting sqref="D52:D53">
    <cfRule type="duplicateValues" dxfId="88" priority="81"/>
  </conditionalFormatting>
  <conditionalFormatting sqref="D52:D53">
    <cfRule type="duplicateValues" dxfId="87" priority="80"/>
  </conditionalFormatting>
  <conditionalFormatting sqref="D52:D53">
    <cfRule type="duplicateValues" dxfId="86" priority="79"/>
  </conditionalFormatting>
  <conditionalFormatting sqref="D52:D53">
    <cfRule type="duplicateValues" dxfId="85" priority="76"/>
    <cfRule type="duplicateValues" dxfId="84" priority="78"/>
  </conditionalFormatting>
  <conditionalFormatting sqref="D52:D53">
    <cfRule type="duplicateValues" dxfId="83" priority="77"/>
  </conditionalFormatting>
  <conditionalFormatting sqref="D54:D55">
    <cfRule type="duplicateValues" dxfId="82" priority="75"/>
  </conditionalFormatting>
  <conditionalFormatting sqref="D54:D55">
    <cfRule type="duplicateValues" dxfId="81" priority="74"/>
  </conditionalFormatting>
  <conditionalFormatting sqref="D54:D55">
    <cfRule type="duplicateValues" dxfId="80" priority="73"/>
  </conditionalFormatting>
  <conditionalFormatting sqref="D54:D55">
    <cfRule type="duplicateValues" dxfId="79" priority="72"/>
  </conditionalFormatting>
  <conditionalFormatting sqref="D54:D55">
    <cfRule type="duplicateValues" dxfId="78" priority="71"/>
  </conditionalFormatting>
  <conditionalFormatting sqref="D54:D55">
    <cfRule type="duplicateValues" dxfId="77" priority="68"/>
    <cfRule type="duplicateValues" dxfId="76" priority="70"/>
  </conditionalFormatting>
  <conditionalFormatting sqref="D54:D55">
    <cfRule type="duplicateValues" dxfId="75" priority="69"/>
  </conditionalFormatting>
  <conditionalFormatting sqref="D106:D107">
    <cfRule type="duplicateValues" dxfId="74" priority="67"/>
  </conditionalFormatting>
  <conditionalFormatting sqref="D106:D107">
    <cfRule type="duplicateValues" dxfId="73" priority="66"/>
  </conditionalFormatting>
  <conditionalFormatting sqref="D106:D107">
    <cfRule type="duplicateValues" dxfId="72" priority="65"/>
  </conditionalFormatting>
  <conditionalFormatting sqref="D106:D107">
    <cfRule type="duplicateValues" dxfId="71" priority="64"/>
  </conditionalFormatting>
  <conditionalFormatting sqref="D106:D107">
    <cfRule type="duplicateValues" dxfId="70" priority="63"/>
  </conditionalFormatting>
  <conditionalFormatting sqref="D106:D107">
    <cfRule type="duplicateValues" dxfId="69" priority="60"/>
    <cfRule type="duplicateValues" dxfId="68" priority="62"/>
  </conditionalFormatting>
  <conditionalFormatting sqref="D106:D107">
    <cfRule type="duplicateValues" dxfId="67" priority="61"/>
  </conditionalFormatting>
  <conditionalFormatting sqref="D44">
    <cfRule type="duplicateValues" dxfId="66" priority="59"/>
  </conditionalFormatting>
  <conditionalFormatting sqref="D44">
    <cfRule type="duplicateValues" dxfId="65" priority="58"/>
  </conditionalFormatting>
  <conditionalFormatting sqref="D44">
    <cfRule type="duplicateValues" dxfId="64" priority="57"/>
  </conditionalFormatting>
  <conditionalFormatting sqref="D44">
    <cfRule type="duplicateValues" dxfId="63" priority="56"/>
  </conditionalFormatting>
  <conditionalFormatting sqref="D44">
    <cfRule type="duplicateValues" dxfId="62" priority="55"/>
  </conditionalFormatting>
  <conditionalFormatting sqref="D44">
    <cfRule type="duplicateValues" dxfId="61" priority="52"/>
    <cfRule type="duplicateValues" dxfId="60" priority="54"/>
  </conditionalFormatting>
  <conditionalFormatting sqref="D44">
    <cfRule type="duplicateValues" dxfId="59" priority="53"/>
  </conditionalFormatting>
  <conditionalFormatting sqref="D49:D50">
    <cfRule type="duplicateValues" dxfId="58" priority="109"/>
  </conditionalFormatting>
  <conditionalFormatting sqref="D47:D50">
    <cfRule type="duplicateValues" dxfId="57" priority="110"/>
  </conditionalFormatting>
  <conditionalFormatting sqref="D47:D50">
    <cfRule type="duplicateValues" dxfId="56" priority="111"/>
    <cfRule type="duplicateValues" dxfId="55" priority="112"/>
  </conditionalFormatting>
  <conditionalFormatting sqref="D135:D136">
    <cfRule type="duplicateValues" dxfId="54" priority="51"/>
  </conditionalFormatting>
  <conditionalFormatting sqref="D135:D136">
    <cfRule type="duplicateValues" dxfId="53" priority="50"/>
  </conditionalFormatting>
  <conditionalFormatting sqref="D135:D136">
    <cfRule type="duplicateValues" dxfId="52" priority="49"/>
  </conditionalFormatting>
  <conditionalFormatting sqref="D135:D136">
    <cfRule type="duplicateValues" dxfId="51" priority="48"/>
  </conditionalFormatting>
  <conditionalFormatting sqref="D135:D136">
    <cfRule type="duplicateValues" dxfId="50" priority="47"/>
  </conditionalFormatting>
  <conditionalFormatting sqref="D135:D136">
    <cfRule type="duplicateValues" dxfId="49" priority="44"/>
    <cfRule type="duplicateValues" dxfId="48" priority="46"/>
  </conditionalFormatting>
  <conditionalFormatting sqref="D135:D136">
    <cfRule type="duplicateValues" dxfId="47" priority="45"/>
  </conditionalFormatting>
  <conditionalFormatting sqref="D264:D265">
    <cfRule type="duplicateValues" dxfId="46" priority="43"/>
  </conditionalFormatting>
  <conditionalFormatting sqref="D264:D265">
    <cfRule type="duplicateValues" dxfId="45" priority="42"/>
  </conditionalFormatting>
  <conditionalFormatting sqref="D264:D265">
    <cfRule type="duplicateValues" dxfId="44" priority="41"/>
  </conditionalFormatting>
  <conditionalFormatting sqref="D264:D265">
    <cfRule type="duplicateValues" dxfId="43" priority="40"/>
  </conditionalFormatting>
  <conditionalFormatting sqref="D264:D265">
    <cfRule type="duplicateValues" dxfId="42" priority="39"/>
  </conditionalFormatting>
  <conditionalFormatting sqref="D264:D265">
    <cfRule type="duplicateValues" dxfId="41" priority="36"/>
    <cfRule type="duplicateValues" dxfId="40" priority="38"/>
  </conditionalFormatting>
  <conditionalFormatting sqref="D264:D265">
    <cfRule type="duplicateValues" dxfId="39" priority="37"/>
  </conditionalFormatting>
  <conditionalFormatting sqref="D278:D279">
    <cfRule type="duplicateValues" dxfId="38" priority="35"/>
  </conditionalFormatting>
  <conditionalFormatting sqref="D278:D279">
    <cfRule type="duplicateValues" dxfId="37" priority="34"/>
  </conditionalFormatting>
  <conditionalFormatting sqref="D278:D279">
    <cfRule type="duplicateValues" dxfId="36" priority="33"/>
  </conditionalFormatting>
  <conditionalFormatting sqref="D278:D279">
    <cfRule type="duplicateValues" dxfId="35" priority="32"/>
  </conditionalFormatting>
  <conditionalFormatting sqref="D278:D279">
    <cfRule type="duplicateValues" dxfId="34" priority="31"/>
  </conditionalFormatting>
  <conditionalFormatting sqref="D278:D279">
    <cfRule type="duplicateValues" dxfId="33" priority="22"/>
    <cfRule type="duplicateValues" dxfId="32" priority="30"/>
  </conditionalFormatting>
  <conditionalFormatting sqref="D279">
    <cfRule type="duplicateValues" dxfId="31" priority="29"/>
  </conditionalFormatting>
  <conditionalFormatting sqref="D279">
    <cfRule type="duplicateValues" dxfId="30" priority="28"/>
  </conditionalFormatting>
  <conditionalFormatting sqref="D279">
    <cfRule type="duplicateValues" dxfId="29" priority="27"/>
  </conditionalFormatting>
  <conditionalFormatting sqref="D279">
    <cfRule type="duplicateValues" dxfId="28" priority="26"/>
  </conditionalFormatting>
  <conditionalFormatting sqref="D279">
    <cfRule type="duplicateValues" dxfId="27" priority="25"/>
  </conditionalFormatting>
  <conditionalFormatting sqref="D279">
    <cfRule type="duplicateValues" dxfId="26" priority="24"/>
  </conditionalFormatting>
  <conditionalFormatting sqref="D278:D279">
    <cfRule type="duplicateValues" dxfId="25" priority="23"/>
  </conditionalFormatting>
  <conditionalFormatting sqref="D161:D162">
    <cfRule type="duplicateValues" dxfId="24" priority="113"/>
  </conditionalFormatting>
  <conditionalFormatting sqref="D161:D162">
    <cfRule type="duplicateValues" dxfId="23" priority="114"/>
    <cfRule type="duplicateValues" dxfId="22" priority="115"/>
  </conditionalFormatting>
  <conditionalFormatting sqref="D102">
    <cfRule type="duplicateValues" dxfId="21" priority="21"/>
  </conditionalFormatting>
  <conditionalFormatting sqref="D102">
    <cfRule type="duplicateValues" dxfId="20" priority="20"/>
  </conditionalFormatting>
  <conditionalFormatting sqref="D102">
    <cfRule type="duplicateValues" dxfId="19" priority="19"/>
  </conditionalFormatting>
  <conditionalFormatting sqref="D120:D121">
    <cfRule type="duplicateValues" dxfId="18" priority="18"/>
  </conditionalFormatting>
  <conditionalFormatting sqref="D122:D123">
    <cfRule type="duplicateValues" dxfId="17" priority="17"/>
  </conditionalFormatting>
  <conditionalFormatting sqref="D124:D126">
    <cfRule type="duplicateValues" dxfId="16" priority="16"/>
  </conditionalFormatting>
  <conditionalFormatting sqref="D120:D126">
    <cfRule type="duplicateValues" dxfId="15" priority="15"/>
  </conditionalFormatting>
  <conditionalFormatting sqref="D127">
    <cfRule type="duplicateValues" dxfId="14" priority="14"/>
  </conditionalFormatting>
  <conditionalFormatting sqref="D127">
    <cfRule type="duplicateValues" dxfId="13" priority="13"/>
  </conditionalFormatting>
  <conditionalFormatting sqref="D120:D127">
    <cfRule type="duplicateValues" dxfId="12" priority="12"/>
  </conditionalFormatting>
  <conditionalFormatting sqref="D137:D138">
    <cfRule type="duplicateValues" dxfId="11" priority="11"/>
  </conditionalFormatting>
  <conditionalFormatting sqref="D139:D141">
    <cfRule type="duplicateValues" dxfId="10" priority="10"/>
  </conditionalFormatting>
  <conditionalFormatting sqref="D137:D141">
    <cfRule type="duplicateValues" dxfId="9" priority="9"/>
  </conditionalFormatting>
  <conditionalFormatting sqref="D142">
    <cfRule type="duplicateValues" dxfId="8" priority="8"/>
  </conditionalFormatting>
  <conditionalFormatting sqref="D142">
    <cfRule type="duplicateValues" dxfId="7" priority="7"/>
  </conditionalFormatting>
  <conditionalFormatting sqref="D137:D142">
    <cfRule type="duplicateValues" dxfId="6" priority="6"/>
  </conditionalFormatting>
  <conditionalFormatting sqref="D145:D146">
    <cfRule type="duplicateValues" dxfId="5" priority="3"/>
  </conditionalFormatting>
  <conditionalFormatting sqref="D145:D146">
    <cfRule type="duplicateValues" dxfId="4" priority="4"/>
    <cfRule type="duplicateValues" dxfId="3" priority="5"/>
  </conditionalFormatting>
  <conditionalFormatting sqref="D199:D225">
    <cfRule type="duplicateValues" dxfId="2" priority="116"/>
  </conditionalFormatting>
  <conditionalFormatting sqref="D297:D298">
    <cfRule type="duplicateValues" dxfId="1" priority="2"/>
  </conditionalFormatting>
  <conditionalFormatting sqref="D315:D316">
    <cfRule type="duplicateValues" dxfId="0" priority="1"/>
  </conditionalFormatting>
  <dataValidations count="2">
    <dataValidation type="whole" allowBlank="1" showInputMessage="1" showErrorMessage="1" errorTitle="Non-Numeric or abnormal value" error="Enter Numbers only between 0 and 99999" sqref="E199:F200 E326:F326 E9:F13 G363:AB363">
      <formula1>0</formula1>
      <formula2>99999</formula2>
    </dataValidation>
    <dataValidation allowBlank="1" showInputMessage="1" showErrorMessage="1" errorTitle="Non-Numeric or abnormal value" error="Enter Numbers only between 0 and 99999" sqref="E8:F8 E201:F225"/>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72"/>
  <sheetViews>
    <sheetView showGridLines="0" tabSelected="1" showRuler="0" zoomScale="50" zoomScaleNormal="50" zoomScaleSheetLayoutView="68" zoomScalePageLayoutView="21" workbookViewId="0">
      <pane xSplit="3" ySplit="21" topLeftCell="D22" activePane="bottomRight" state="frozen"/>
      <selection pane="topRight" activeCell="D1" sqref="D1"/>
      <selection pane="bottomLeft" activeCell="A22" sqref="A22"/>
      <selection pane="bottomRight" activeCell="F22" sqref="F22"/>
    </sheetView>
  </sheetViews>
  <sheetFormatPr defaultColWidth="9.140625" defaultRowHeight="28.5" x14ac:dyDescent="0.35"/>
  <cols>
    <col min="1" max="1" width="41.140625" style="870" customWidth="1" collapsed="1"/>
    <col min="2" max="2" width="107.85546875" style="268" customWidth="1" collapsed="1"/>
    <col min="3" max="3" width="18.42578125" style="61" bestFit="1" customWidth="1" collapsed="1"/>
    <col min="4" max="4" width="7.5703125" style="18" customWidth="1" collapsed="1"/>
    <col min="5" max="5" width="9.85546875" style="18" bestFit="1" customWidth="1" collapsed="1"/>
    <col min="6" max="23" width="7.5703125" style="18" customWidth="1" collapsed="1"/>
    <col min="24" max="24" width="9.140625" style="18" customWidth="1" collapsed="1"/>
    <col min="25" max="26" width="8.85546875" style="18" customWidth="1" collapsed="1"/>
    <col min="27" max="27" width="9.140625" style="18" customWidth="1" collapsed="1"/>
    <col min="28" max="35" width="9.140625" style="18" customWidth="1"/>
    <col min="36" max="36" width="16.7109375" style="18" bestFit="1" customWidth="1" collapsed="1"/>
    <col min="37" max="37" width="11.42578125" style="61" hidden="1" customWidth="1" collapsed="1"/>
    <col min="38" max="38" width="27.5703125" style="221" bestFit="1" customWidth="1" collapsed="1"/>
    <col min="39" max="39" width="50.42578125" style="18" hidden="1" customWidth="1" collapsed="1"/>
    <col min="40" max="40" width="50.42578125" style="18" bestFit="1" customWidth="1" collapsed="1"/>
    <col min="41" max="41" width="9.140625" style="257" collapsed="1"/>
    <col min="42" max="42" width="37.28515625" style="258" bestFit="1" customWidth="1" collapsed="1"/>
    <col min="43" max="43" width="35.85546875" style="259" bestFit="1" customWidth="1" collapsed="1"/>
    <col min="44" max="44" width="9.140625" style="18"/>
    <col min="45" max="16384" width="9.140625" style="18" collapsed="1"/>
  </cols>
  <sheetData>
    <row r="1" spans="1:43" s="6" customFormat="1" ht="39" hidden="1" customHeight="1" thickBot="1" x14ac:dyDescent="0.3">
      <c r="A1" s="860" t="s">
        <v>342</v>
      </c>
      <c r="B1" s="1448" t="s">
        <v>422</v>
      </c>
      <c r="C1" s="1449"/>
      <c r="D1" s="1314" t="s">
        <v>118</v>
      </c>
      <c r="E1" s="1315"/>
      <c r="F1" s="1373" t="s">
        <v>423</v>
      </c>
      <c r="G1" s="1375"/>
      <c r="H1" s="1314" t="s">
        <v>341</v>
      </c>
      <c r="I1" s="1366"/>
      <c r="J1" s="1315"/>
      <c r="K1" s="1373" t="s">
        <v>424</v>
      </c>
      <c r="L1" s="1374"/>
      <c r="M1" s="1374"/>
      <c r="N1" s="1374"/>
      <c r="O1" s="1374"/>
      <c r="P1" s="1374"/>
      <c r="Q1" s="1375"/>
      <c r="R1" s="1314" t="s">
        <v>348</v>
      </c>
      <c r="S1" s="1315"/>
      <c r="T1" s="1373" t="s">
        <v>425</v>
      </c>
      <c r="U1" s="1374"/>
      <c r="V1" s="1375"/>
      <c r="W1" s="1314" t="s">
        <v>343</v>
      </c>
      <c r="X1" s="1315"/>
      <c r="Y1" s="4" t="s">
        <v>426</v>
      </c>
      <c r="Z1" s="5" t="s">
        <v>344</v>
      </c>
      <c r="AA1" s="1373">
        <v>2020</v>
      </c>
      <c r="AB1" s="1374"/>
      <c r="AC1" s="1374"/>
      <c r="AD1" s="1374"/>
      <c r="AE1" s="1374"/>
      <c r="AF1" s="1374"/>
      <c r="AG1" s="1374"/>
      <c r="AH1" s="1374"/>
      <c r="AI1" s="1374"/>
      <c r="AJ1" s="1375"/>
      <c r="AK1" s="1408" t="s">
        <v>345</v>
      </c>
      <c r="AL1" s="1409"/>
      <c r="AM1" s="1409"/>
      <c r="AN1" s="1409"/>
      <c r="AO1" s="1404"/>
    </row>
    <row r="2" spans="1:43" s="8" customFormat="1" ht="75.75" customHeight="1" thickBot="1" x14ac:dyDescent="0.45">
      <c r="A2" s="901"/>
      <c r="B2" s="904" t="str">
        <f>IF(LEN(A521)&gt;1,"This form has data Errors. Please correct before submitting","")</f>
        <v/>
      </c>
      <c r="C2" s="902"/>
      <c r="D2" s="902"/>
      <c r="E2" s="902"/>
      <c r="F2" s="902"/>
      <c r="G2" s="902"/>
      <c r="H2" s="902"/>
      <c r="I2" s="902"/>
      <c r="J2" s="902"/>
      <c r="K2" s="902"/>
      <c r="L2" s="902"/>
      <c r="M2" s="902"/>
      <c r="N2" s="902"/>
      <c r="O2" s="902"/>
      <c r="P2" s="902"/>
      <c r="Q2" s="902"/>
      <c r="R2" s="902"/>
      <c r="S2" s="902"/>
      <c r="T2" s="902"/>
      <c r="U2" s="902"/>
      <c r="V2" s="902"/>
      <c r="W2" s="902"/>
      <c r="X2" s="902"/>
      <c r="Y2" s="902"/>
      <c r="Z2" s="902"/>
      <c r="AA2" s="902"/>
      <c r="AB2" s="902"/>
      <c r="AC2" s="902"/>
      <c r="AD2" s="902"/>
      <c r="AE2" s="902"/>
      <c r="AF2" s="902"/>
      <c r="AG2" s="902"/>
      <c r="AH2" s="902"/>
      <c r="AI2" s="902"/>
      <c r="AJ2" s="902"/>
      <c r="AK2" s="902"/>
      <c r="AL2" s="902"/>
      <c r="AM2" s="902"/>
      <c r="AN2" s="903"/>
      <c r="AO2" s="1404"/>
      <c r="AP2" s="1402" t="s">
        <v>908</v>
      </c>
      <c r="AQ2" s="1403"/>
    </row>
    <row r="3" spans="1:43" s="275" customFormat="1" ht="57.4" customHeight="1" thickBot="1" x14ac:dyDescent="0.3">
      <c r="A3" s="1412" t="str">
        <f>CONCATENATE(R1,":  ",T1,"                            ",H1,":   ",K1,"                            ",A1,":   ",B1,"                            ",D1,":   ",F1,"                            Reporting Year:   ",AA1,"              Reporting Month:   ",Y1)</f>
        <v>County:  Laikipia                            Sub County:   Laikipia East                            Health Facility:   Likii Dispensary                            MFL Code:   15035                            Reporting Year:   2020              Reporting Month:   02</v>
      </c>
      <c r="B3" s="1413"/>
      <c r="C3" s="1413"/>
      <c r="D3" s="1413"/>
      <c r="E3" s="1413"/>
      <c r="F3" s="1413"/>
      <c r="G3" s="1413"/>
      <c r="H3" s="1413"/>
      <c r="I3" s="1413"/>
      <c r="J3" s="1413"/>
      <c r="K3" s="1413"/>
      <c r="L3" s="1413"/>
      <c r="M3" s="1413"/>
      <c r="N3" s="1413"/>
      <c r="O3" s="1413"/>
      <c r="P3" s="1413"/>
      <c r="Q3" s="1413"/>
      <c r="R3" s="1413"/>
      <c r="S3" s="1413"/>
      <c r="T3" s="1413"/>
      <c r="U3" s="1413"/>
      <c r="V3" s="1413"/>
      <c r="W3" s="1413"/>
      <c r="X3" s="1413"/>
      <c r="Y3" s="1413"/>
      <c r="Z3" s="1413"/>
      <c r="AA3" s="1413"/>
      <c r="AB3" s="1413"/>
      <c r="AC3" s="1413"/>
      <c r="AD3" s="1413"/>
      <c r="AE3" s="1413"/>
      <c r="AF3" s="1413"/>
      <c r="AG3" s="1413"/>
      <c r="AH3" s="1413"/>
      <c r="AI3" s="1413"/>
      <c r="AJ3" s="1413"/>
      <c r="AK3" s="1413"/>
      <c r="AL3" s="1413"/>
      <c r="AM3" s="1413"/>
      <c r="AN3" s="1414"/>
      <c r="AO3" s="1404"/>
      <c r="AP3" s="276" t="str">
        <f>HYPERLINK("#HIV_TEST","1.1 Hiv Testing")</f>
        <v>1.1 Hiv Testing</v>
      </c>
      <c r="AQ3" s="276" t="str">
        <f>HYPERLINK("#GEND_GBV","5.0 GEND_GBV")</f>
        <v>5.0 GEND_GBV</v>
      </c>
    </row>
    <row r="4" spans="1:43" s="10" customFormat="1" ht="39.75" customHeight="1" thickBot="1" x14ac:dyDescent="0.3">
      <c r="A4" s="1084" t="s">
        <v>1311</v>
      </c>
      <c r="B4" s="1083" t="s">
        <v>1371</v>
      </c>
      <c r="C4" s="1083"/>
      <c r="D4" s="1372" t="s">
        <v>896</v>
      </c>
      <c r="E4" s="1372"/>
      <c r="F4" s="1372"/>
      <c r="G4" s="1372"/>
      <c r="H4" s="1372"/>
      <c r="I4" s="1372"/>
      <c r="J4" s="1372"/>
      <c r="K4" s="1372"/>
      <c r="L4" s="1372"/>
      <c r="M4" s="1372"/>
      <c r="N4" s="1372"/>
      <c r="O4" s="1372"/>
      <c r="P4" s="1372"/>
      <c r="Q4" s="1372"/>
      <c r="R4" s="1372"/>
      <c r="S4" s="1372"/>
      <c r="T4" s="1372"/>
      <c r="U4" s="1372"/>
      <c r="V4" s="1372"/>
      <c r="W4" s="1380" t="s">
        <v>898</v>
      </c>
      <c r="X4" s="1381"/>
      <c r="Y4" s="1381"/>
      <c r="Z4" s="1381"/>
      <c r="AA4" s="1381"/>
      <c r="AB4" s="1381"/>
      <c r="AC4" s="1381"/>
      <c r="AD4" s="1381"/>
      <c r="AE4" s="1381"/>
      <c r="AF4" s="1381"/>
      <c r="AG4" s="1381"/>
      <c r="AH4" s="1381"/>
      <c r="AI4" s="1381"/>
      <c r="AJ4" s="1381"/>
      <c r="AK4" s="1381"/>
      <c r="AL4" s="1381"/>
      <c r="AM4" s="1381"/>
      <c r="AN4" s="1382"/>
      <c r="AO4" s="1404"/>
      <c r="AP4" s="276" t="str">
        <f>HYPERLINK("#HTS_SELF","1.2 HTS SELF")</f>
        <v>1.2 HTS SELF</v>
      </c>
      <c r="AQ4" s="276" t="str">
        <f>HYPERLINK("#PMTCT_TST","6.1 PMTCT TEST")</f>
        <v>6.1 PMTCT TEST</v>
      </c>
    </row>
    <row r="5" spans="1:43" s="14" customFormat="1" ht="26.25" hidden="1" customHeight="1" thickBot="1" x14ac:dyDescent="0.45">
      <c r="A5" s="1369" t="s">
        <v>35</v>
      </c>
      <c r="B5" s="1370" t="s">
        <v>307</v>
      </c>
      <c r="C5" s="1371" t="s">
        <v>291</v>
      </c>
      <c r="D5" s="1194" t="s">
        <v>0</v>
      </c>
      <c r="E5" s="1194"/>
      <c r="F5" s="1194" t="s">
        <v>1</v>
      </c>
      <c r="G5" s="1194"/>
      <c r="H5" s="1194" t="s">
        <v>2</v>
      </c>
      <c r="I5" s="1194"/>
      <c r="J5" s="1194" t="s">
        <v>3</v>
      </c>
      <c r="K5" s="1194"/>
      <c r="L5" s="1194" t="s">
        <v>4</v>
      </c>
      <c r="M5" s="1194"/>
      <c r="N5" s="1194" t="s">
        <v>5</v>
      </c>
      <c r="O5" s="1194"/>
      <c r="P5" s="1194" t="s">
        <v>6</v>
      </c>
      <c r="Q5" s="1194"/>
      <c r="R5" s="1194" t="s">
        <v>7</v>
      </c>
      <c r="S5" s="1194"/>
      <c r="T5" s="1194" t="s">
        <v>8</v>
      </c>
      <c r="U5" s="1194"/>
      <c r="V5" s="1194" t="s">
        <v>23</v>
      </c>
      <c r="W5" s="1194"/>
      <c r="X5" s="1194" t="s">
        <v>24</v>
      </c>
      <c r="Y5" s="1194"/>
      <c r="Z5" s="1194" t="s">
        <v>9</v>
      </c>
      <c r="AA5" s="1194"/>
      <c r="AB5" s="282"/>
      <c r="AC5" s="282"/>
      <c r="AD5" s="282"/>
      <c r="AE5" s="282"/>
      <c r="AF5" s="282"/>
      <c r="AG5" s="282"/>
      <c r="AH5" s="458"/>
      <c r="AI5" s="458"/>
      <c r="AJ5" s="1376" t="s">
        <v>19</v>
      </c>
      <c r="AK5" s="1267" t="s">
        <v>340</v>
      </c>
      <c r="AL5" s="11" t="s">
        <v>340</v>
      </c>
      <c r="AM5" s="1450" t="s">
        <v>347</v>
      </c>
      <c r="AN5" s="12" t="s">
        <v>854</v>
      </c>
      <c r="AO5" s="1404"/>
      <c r="AP5" s="277"/>
      <c r="AQ5"/>
    </row>
    <row r="6" spans="1:43" s="14" customFormat="1" ht="27" hidden="1" customHeight="1" thickBot="1" x14ac:dyDescent="0.45">
      <c r="A6" s="1215"/>
      <c r="B6" s="1210"/>
      <c r="C6" s="1193"/>
      <c r="D6" s="15" t="s">
        <v>10</v>
      </c>
      <c r="E6" s="15" t="s">
        <v>11</v>
      </c>
      <c r="F6" s="15" t="s">
        <v>10</v>
      </c>
      <c r="G6" s="15" t="s">
        <v>11</v>
      </c>
      <c r="H6" s="15" t="s">
        <v>10</v>
      </c>
      <c r="I6" s="15" t="s">
        <v>11</v>
      </c>
      <c r="J6" s="15" t="s">
        <v>10</v>
      </c>
      <c r="K6" s="15" t="s">
        <v>11</v>
      </c>
      <c r="L6" s="15" t="s">
        <v>10</v>
      </c>
      <c r="M6" s="15" t="s">
        <v>11</v>
      </c>
      <c r="N6" s="15" t="s">
        <v>10</v>
      </c>
      <c r="O6" s="15" t="s">
        <v>11</v>
      </c>
      <c r="P6" s="15" t="s">
        <v>10</v>
      </c>
      <c r="Q6" s="15" t="s">
        <v>11</v>
      </c>
      <c r="R6" s="15" t="s">
        <v>10</v>
      </c>
      <c r="S6" s="15" t="s">
        <v>11</v>
      </c>
      <c r="T6" s="15" t="s">
        <v>10</v>
      </c>
      <c r="U6" s="15" t="s">
        <v>11</v>
      </c>
      <c r="V6" s="15" t="s">
        <v>10</v>
      </c>
      <c r="W6" s="15" t="s">
        <v>11</v>
      </c>
      <c r="X6" s="15" t="s">
        <v>10</v>
      </c>
      <c r="Y6" s="15" t="s">
        <v>11</v>
      </c>
      <c r="Z6" s="15" t="s">
        <v>10</v>
      </c>
      <c r="AA6" s="15" t="s">
        <v>11</v>
      </c>
      <c r="AB6" s="15"/>
      <c r="AC6" s="15"/>
      <c r="AD6" s="15"/>
      <c r="AE6" s="15"/>
      <c r="AF6" s="15"/>
      <c r="AG6" s="15"/>
      <c r="AH6" s="15"/>
      <c r="AI6" s="15"/>
      <c r="AJ6" s="1377"/>
      <c r="AK6" s="1268"/>
      <c r="AL6" s="16" t="str">
        <f>IF(LEN(A521)-LEN(SUBSTITUTE(A521,"*",""))&gt;0," Total Errors are "&amp;(LEN(A521)-LEN(SUBSTITUTE(A521,"*",""))),"")</f>
        <v/>
      </c>
      <c r="AM6" s="1451"/>
      <c r="AN6" s="17" t="str">
        <f>IF(LEN(A543)-LEN(SUBSTITUTE(A543,"*",""))&gt;0," Total Warnings are "&amp;(LEN(A543)-LEN(SUBSTITUTE(A543,"*",""))),"")</f>
        <v/>
      </c>
      <c r="AO6" s="1404"/>
      <c r="AP6" s="277"/>
      <c r="AQ6"/>
    </row>
    <row r="7" spans="1:43" ht="25.9" hidden="1" customHeight="1" thickBot="1" x14ac:dyDescent="0.45">
      <c r="A7" s="1367" t="s">
        <v>429</v>
      </c>
      <c r="B7" s="1368"/>
      <c r="C7" s="1368"/>
      <c r="D7" s="1368"/>
      <c r="E7" s="1368"/>
      <c r="F7" s="1368"/>
      <c r="G7" s="1368"/>
      <c r="H7" s="1368"/>
      <c r="I7" s="1368"/>
      <c r="J7" s="1368"/>
      <c r="K7" s="1368"/>
      <c r="L7" s="1368"/>
      <c r="M7" s="1368"/>
      <c r="N7" s="1368"/>
      <c r="O7" s="1368"/>
      <c r="P7" s="1368"/>
      <c r="Q7" s="1368"/>
      <c r="R7" s="1368"/>
      <c r="S7" s="1368"/>
      <c r="T7" s="1368"/>
      <c r="U7" s="1368"/>
      <c r="V7" s="1368"/>
      <c r="W7" s="1368"/>
      <c r="X7" s="1368"/>
      <c r="Y7" s="1368"/>
      <c r="Z7" s="1368"/>
      <c r="AA7" s="1368"/>
      <c r="AB7" s="1368"/>
      <c r="AC7" s="1368"/>
      <c r="AD7" s="1368"/>
      <c r="AE7" s="1368"/>
      <c r="AF7" s="1368"/>
      <c r="AG7" s="1368"/>
      <c r="AH7" s="1368"/>
      <c r="AI7" s="1368"/>
      <c r="AJ7" s="1368"/>
      <c r="AK7" s="1368"/>
      <c r="AL7" s="1250"/>
      <c r="AM7" s="1368"/>
      <c r="AN7" s="1252"/>
      <c r="AO7" s="1404"/>
      <c r="AP7" s="277"/>
      <c r="AQ7"/>
    </row>
    <row r="8" spans="1:43" ht="31.15" hidden="1" customHeight="1" thickBot="1" x14ac:dyDescent="0.45">
      <c r="A8" s="1389" t="s">
        <v>751</v>
      </c>
      <c r="B8" s="1" t="s">
        <v>591</v>
      </c>
      <c r="C8" s="521" t="s">
        <v>886</v>
      </c>
      <c r="D8" s="19"/>
      <c r="E8" s="19"/>
      <c r="F8" s="19"/>
      <c r="G8" s="20"/>
      <c r="H8" s="21"/>
      <c r="I8" s="22"/>
      <c r="J8" s="22"/>
      <c r="K8" s="22"/>
      <c r="L8" s="22"/>
      <c r="M8" s="22"/>
      <c r="N8" s="22"/>
      <c r="O8" s="22"/>
      <c r="P8" s="22"/>
      <c r="Q8" s="22"/>
      <c r="R8" s="22"/>
      <c r="S8" s="23"/>
      <c r="T8" s="24"/>
      <c r="U8" s="25"/>
      <c r="V8" s="25"/>
      <c r="W8" s="25"/>
      <c r="X8" s="25"/>
      <c r="Y8" s="26"/>
      <c r="Z8" s="27"/>
      <c r="AA8" s="28"/>
      <c r="AB8" s="284"/>
      <c r="AC8" s="284"/>
      <c r="AD8" s="284"/>
      <c r="AE8" s="284"/>
      <c r="AF8" s="284"/>
      <c r="AG8" s="284"/>
      <c r="AH8" s="284"/>
      <c r="AI8" s="284"/>
      <c r="AJ8" s="29">
        <f>SUM(D8:AA8)</f>
        <v>0</v>
      </c>
      <c r="AK8" s="30" t="str">
        <f>CONCATENATE(IF(AJ9&gt;AJ8," * No Screened in OPD "&amp;$AJ$20&amp;" is more than Number Seen at OPD "&amp;CHAR(10),""))</f>
        <v/>
      </c>
      <c r="AL8" s="1410" t="str">
        <f>CONCATENATE(AK8,AK9,AK10,AK11,AK12,AK13,AK15,AK16,AK17,AK18,AK14)</f>
        <v/>
      </c>
      <c r="AM8" s="31"/>
      <c r="AN8" s="1415" t="str">
        <f>CONCATENATE(AM8,AM9,AM10,AM11,AM12,AM13,AM14,AM15,AM16,AM17,AM18)</f>
        <v/>
      </c>
      <c r="AO8" s="1404"/>
      <c r="AP8" s="277"/>
      <c r="AQ8"/>
    </row>
    <row r="9" spans="1:43" ht="25.9" hidden="1" customHeight="1" thickBot="1" x14ac:dyDescent="0.45">
      <c r="A9" s="1387"/>
      <c r="B9" s="32" t="s">
        <v>592</v>
      </c>
      <c r="C9" s="521" t="s">
        <v>887</v>
      </c>
      <c r="D9" s="19"/>
      <c r="E9" s="19"/>
      <c r="F9" s="19"/>
      <c r="G9" s="20"/>
      <c r="H9" s="33"/>
      <c r="I9" s="28"/>
      <c r="J9" s="28"/>
      <c r="K9" s="28"/>
      <c r="L9" s="28"/>
      <c r="M9" s="28"/>
      <c r="N9" s="28"/>
      <c r="O9" s="28"/>
      <c r="P9" s="28"/>
      <c r="Q9" s="28"/>
      <c r="R9" s="28"/>
      <c r="S9" s="34"/>
      <c r="T9" s="35"/>
      <c r="U9" s="19"/>
      <c r="V9" s="19"/>
      <c r="W9" s="19"/>
      <c r="X9" s="19"/>
      <c r="Y9" s="36"/>
      <c r="Z9" s="27"/>
      <c r="AA9" s="28"/>
      <c r="AB9" s="284"/>
      <c r="AC9" s="284"/>
      <c r="AD9" s="284"/>
      <c r="AE9" s="284"/>
      <c r="AF9" s="284"/>
      <c r="AG9" s="284"/>
      <c r="AH9" s="284"/>
      <c r="AI9" s="284"/>
      <c r="AJ9" s="29">
        <f>SUM(D9:AA9)</f>
        <v>0</v>
      </c>
      <c r="AK9" s="30" t="str">
        <f>CONCATENATE(IF(AJ10&gt;AJ9," * No Eligible for HTS Testing "&amp;$AJ$20&amp;" is more than No Screened for HTS Eligibility "&amp;CHAR(10),""))</f>
        <v/>
      </c>
      <c r="AL9" s="1411"/>
      <c r="AM9" s="31"/>
      <c r="AN9" s="1416"/>
      <c r="AO9" s="1404"/>
      <c r="AP9" s="277"/>
      <c r="AQ9"/>
    </row>
    <row r="10" spans="1:43" ht="25.9" hidden="1" customHeight="1" thickBot="1" x14ac:dyDescent="0.45">
      <c r="A10" s="1388"/>
      <c r="B10" s="3" t="s">
        <v>430</v>
      </c>
      <c r="C10" s="521" t="s">
        <v>888</v>
      </c>
      <c r="D10" s="19"/>
      <c r="E10" s="19"/>
      <c r="F10" s="19"/>
      <c r="G10" s="20"/>
      <c r="H10" s="37"/>
      <c r="I10" s="38"/>
      <c r="J10" s="38"/>
      <c r="K10" s="38"/>
      <c r="L10" s="38"/>
      <c r="M10" s="38"/>
      <c r="N10" s="38"/>
      <c r="O10" s="38"/>
      <c r="P10" s="38"/>
      <c r="Q10" s="38"/>
      <c r="R10" s="38"/>
      <c r="S10" s="39"/>
      <c r="T10" s="40"/>
      <c r="U10" s="41"/>
      <c r="V10" s="41"/>
      <c r="W10" s="41"/>
      <c r="X10" s="41"/>
      <c r="Y10" s="42"/>
      <c r="Z10" s="43"/>
      <c r="AA10" s="44"/>
      <c r="AB10" s="284"/>
      <c r="AC10" s="284"/>
      <c r="AD10" s="284"/>
      <c r="AE10" s="284"/>
      <c r="AF10" s="284"/>
      <c r="AG10" s="284"/>
      <c r="AH10" s="284"/>
      <c r="AI10" s="284"/>
      <c r="AJ10" s="29">
        <f>SUM(D10:AA10)</f>
        <v>0</v>
      </c>
      <c r="AK10" s="45"/>
      <c r="AL10" s="1411"/>
      <c r="AM10" s="31"/>
      <c r="AN10" s="1416"/>
      <c r="AO10" s="1404"/>
      <c r="AP10" s="277"/>
      <c r="AQ10"/>
    </row>
    <row r="11" spans="1:43" ht="25.9" hidden="1" customHeight="1" thickBot="1" x14ac:dyDescent="0.45">
      <c r="A11" s="1386" t="s">
        <v>752</v>
      </c>
      <c r="B11" s="1" t="s">
        <v>761</v>
      </c>
      <c r="C11" s="521" t="s">
        <v>889</v>
      </c>
      <c r="D11" s="46"/>
      <c r="E11" s="19"/>
      <c r="F11" s="19"/>
      <c r="G11" s="19"/>
      <c r="H11" s="19"/>
      <c r="I11" s="19"/>
      <c r="J11" s="19"/>
      <c r="K11" s="19"/>
      <c r="L11" s="19"/>
      <c r="M11" s="19"/>
      <c r="N11" s="19"/>
      <c r="O11" s="19"/>
      <c r="P11" s="19"/>
      <c r="Q11" s="19"/>
      <c r="R11" s="19"/>
      <c r="S11" s="19"/>
      <c r="T11" s="19"/>
      <c r="U11" s="19"/>
      <c r="V11" s="19"/>
      <c r="W11" s="19"/>
      <c r="X11" s="19"/>
      <c r="Y11" s="19"/>
      <c r="Z11" s="19"/>
      <c r="AA11" s="47"/>
      <c r="AB11" s="285"/>
      <c r="AC11" s="285"/>
      <c r="AD11" s="285"/>
      <c r="AE11" s="285"/>
      <c r="AF11" s="285"/>
      <c r="AG11" s="285"/>
      <c r="AH11" s="285"/>
      <c r="AI11" s="285"/>
      <c r="AJ11" s="48"/>
      <c r="AK11" s="30" t="str">
        <f>CONCATENATE(IF(D12&gt;D11," * F00-05 "&amp;$D$20&amp;" "&amp;$D$21&amp;" is more than F00-04"&amp;CHAR(10),""),IF(E12&gt;E11," * F00-05 "&amp;$D$20&amp;" "&amp;$E$21&amp;" is more than F00-04"&amp;CHAR(10),""),IF(F12&gt;F11," * F00-05 "&amp;$F$20&amp;" "&amp;$F$21&amp;" is more than F00-04"&amp;CHAR(10),""),IF(G12&gt;G11," * F00-05 "&amp;$F$20&amp;" "&amp;$G$21&amp;" is more than F00-04"&amp;CHAR(10),""),IF(H12&gt;H11," * F00-05 "&amp;$H$20&amp;" "&amp;$H$21&amp;" is more than F00-04"&amp;CHAR(10),""),IF(I12&gt;I11," * F00-05 "&amp;$H$20&amp;" "&amp;$I$21&amp;" is more than F00-04"&amp;CHAR(10),""),IF(J12&gt;J11," * F00-05 "&amp;$J$20&amp;" "&amp;$J$21&amp;" is more than F00-04"&amp;CHAR(10),""),IF(K12&gt;K11," * F00-05 "&amp;$J$20&amp;" "&amp;$K$21&amp;" is more than F00-04"&amp;CHAR(10),""),IF(L12&gt;L11," * F00-05 "&amp;$L$20&amp;" "&amp;$L$21&amp;" is more than F00-04"&amp;CHAR(10),""),IF(M12&gt;M11," * F00-05 "&amp;$L$20&amp;" "&amp;$M$21&amp;" is more than F00-04"&amp;CHAR(10),""),IF(N12&gt;N11," * F00-05 "&amp;$N$20&amp;" "&amp;$N$21&amp;" is more than F00-04"&amp;CHAR(10),""),IF(O12&gt;O11," * F00-05 "&amp;$N$20&amp;" "&amp;$O$21&amp;" is more than F00-04"&amp;CHAR(10),""),IF(P12&gt;P11," * F00-05 "&amp;$P$20&amp;" "&amp;$P$21&amp;" is more than F00-04"&amp;CHAR(10),""),IF(Q12&gt;Q11," * F00-05 "&amp;$P$20&amp;" "&amp;$Q$21&amp;" is more than F00-04"&amp;CHAR(10),""),IF(R12&gt;R11," * F00-05 "&amp;$R$20&amp;" "&amp;$R$21&amp;" is more than F00-04"&amp;CHAR(10),""),IF(S12&gt;S11," * F00-05 "&amp;$R$20&amp;" "&amp;$S$21&amp;" is more than F00-04"&amp;CHAR(10),""),IF(T12&gt;T11," * F00-05 "&amp;$T$20&amp;" "&amp;$T$21&amp;" is more than F00-04"&amp;CHAR(10),""),IF(U12&gt;U11," * F00-05 "&amp;$T$20&amp;" "&amp;$U$21&amp;" is more than F00-04"&amp;CHAR(10),""),IF(V12&gt;V11," * F00-05 "&amp;$V$20&amp;" "&amp;$V$21&amp;" is more than F00-04"&amp;CHAR(10),""),IF(W12&gt;W11," * F00-05 "&amp;$V$20&amp;" "&amp;$W$21&amp;" is more than F00-04"&amp;CHAR(10),""),IF(X12&gt;X11," * F00-05 "&amp;$X$20&amp;" "&amp;$X$21&amp;" is more than F00-04"&amp;CHAR(10),""),IF(Y12&gt;Y11," * F00-05 "&amp;$X$20&amp;" "&amp;$Y$21&amp;" is more than F00-04"&amp;CHAR(10),""),IF(Z12&gt;Z11," * F00-05 "&amp;$Z$20&amp;" "&amp;$Z$21&amp;" is more than F00-04"&amp;CHAR(10),""),IF(AA12&gt;AA11," * F00-05 "&amp;$Z$20&amp;" "&amp;$AA$21&amp;" is more than F00-04"&amp;CHAR(10),""))</f>
        <v/>
      </c>
      <c r="AL11" s="1411"/>
      <c r="AM11" s="31"/>
      <c r="AN11" s="1416"/>
      <c r="AO11" s="1404"/>
      <c r="AP11" s="277"/>
      <c r="AQ11"/>
    </row>
    <row r="12" spans="1:43" ht="25.9" hidden="1" customHeight="1" thickBot="1" x14ac:dyDescent="0.45">
      <c r="A12" s="1387"/>
      <c r="B12" s="32" t="s">
        <v>592</v>
      </c>
      <c r="C12" s="522" t="s">
        <v>755</v>
      </c>
      <c r="D12" s="49"/>
      <c r="E12" s="50"/>
      <c r="F12" s="50"/>
      <c r="G12" s="50"/>
      <c r="H12" s="50"/>
      <c r="I12" s="50"/>
      <c r="J12" s="50"/>
      <c r="K12" s="50"/>
      <c r="L12" s="50"/>
      <c r="M12" s="50"/>
      <c r="N12" s="50"/>
      <c r="O12" s="50"/>
      <c r="P12" s="50"/>
      <c r="Q12" s="50"/>
      <c r="R12" s="50"/>
      <c r="S12" s="50"/>
      <c r="T12" s="50"/>
      <c r="U12" s="50"/>
      <c r="V12" s="50"/>
      <c r="W12" s="50"/>
      <c r="X12" s="50"/>
      <c r="Y12" s="50"/>
      <c r="Z12" s="50"/>
      <c r="AA12" s="51"/>
      <c r="AB12" s="285"/>
      <c r="AC12" s="285"/>
      <c r="AD12" s="285"/>
      <c r="AE12" s="285"/>
      <c r="AF12" s="285"/>
      <c r="AG12" s="285"/>
      <c r="AH12" s="285"/>
      <c r="AI12" s="285"/>
      <c r="AJ12" s="52">
        <f t="shared" ref="AJ12:AJ17" si="0">SUM(D12:AA12)</f>
        <v>0</v>
      </c>
      <c r="AK12" s="30" t="str">
        <f>CONCATENATE(IF(D13&gt;D12," * F00-06 "&amp;$D$20&amp;" "&amp;$D$21&amp;" is more than F00-05"&amp;CHAR(10),""),IF(E13&gt;E12," * F00-06 "&amp;$D$20&amp;" "&amp;$E$21&amp;" is more than F00-05"&amp;CHAR(10),""),IF(F13&gt;F12," * F00-06 "&amp;$F$20&amp;" "&amp;$F$21&amp;" is more than F00-05"&amp;CHAR(10),""),IF(G13&gt;G12," * F00-06 "&amp;$F$20&amp;" "&amp;$G$21&amp;" is more than F00-05"&amp;CHAR(10),""),IF(H13&gt;H12," * F00-06 "&amp;$H$20&amp;" "&amp;$H$21&amp;" is more than F00-05"&amp;CHAR(10),""),IF(I13&gt;I12," * F00-06 "&amp;$H$20&amp;" "&amp;$I$21&amp;" is more than F00-05"&amp;CHAR(10),""),IF(J13&gt;J12," * F00-06 "&amp;$J$20&amp;" "&amp;$J$21&amp;" is more than F00-05"&amp;CHAR(10),""),IF(K13&gt;K12," * F00-06 "&amp;$J$20&amp;" "&amp;$K$21&amp;" is more than F00-05"&amp;CHAR(10),""),IF(L13&gt;L12," * F00-06 "&amp;$L$20&amp;" "&amp;$L$21&amp;" is more than F00-05"&amp;CHAR(10),""),IF(M13&gt;M12," * F00-06 "&amp;$L$20&amp;" "&amp;$M$21&amp;" is more than F00-05"&amp;CHAR(10),""),IF(N13&gt;N12," * F00-06 "&amp;$N$20&amp;" "&amp;$N$21&amp;" is more than F00-05"&amp;CHAR(10),""),IF(O13&gt;O12," * F00-06 "&amp;$N$20&amp;" "&amp;$O$21&amp;" is more than F00-05"&amp;CHAR(10),""),IF(P13&gt;P12," * F00-06 "&amp;$P$20&amp;" "&amp;$P$21&amp;" is more than F00-05"&amp;CHAR(10),""),IF(Q13&gt;Q12," * F00-06 "&amp;$P$20&amp;" "&amp;$Q$21&amp;" is more than F00-05"&amp;CHAR(10),""),IF(R13&gt;R12," * F00-06 "&amp;$R$20&amp;" "&amp;$R$21&amp;" is more than F00-05"&amp;CHAR(10),""),IF(S13&gt;S12," * F00-06 "&amp;$R$20&amp;" "&amp;$S$21&amp;" is more than F00-05"&amp;CHAR(10),""),IF(T13&gt;T12," * F00-06 "&amp;$T$20&amp;" "&amp;$T$21&amp;" is more than F00-05"&amp;CHAR(10),""),IF(U13&gt;U12," * F00-06 "&amp;$T$20&amp;" "&amp;$U$21&amp;" is more than F00-05"&amp;CHAR(10),""),IF(V13&gt;V12," * F00-06 "&amp;$V$20&amp;" "&amp;$V$21&amp;" is more than F00-05"&amp;CHAR(10),""),IF(W13&gt;W12," * F00-06 "&amp;$V$20&amp;" "&amp;$W$21&amp;" is more than F00-05"&amp;CHAR(10),""),IF(X13&gt;X12," * F00-06 "&amp;$X$20&amp;" "&amp;$X$21&amp;" is more than F00-05"&amp;CHAR(10),""),IF(Y13&gt;Y12," * F00-06 "&amp;$X$20&amp;" "&amp;$Y$21&amp;" is more than F00-05"&amp;CHAR(10),""),IF(Z13&gt;Z12," * F00-06 "&amp;$Z$20&amp;" "&amp;$Z$21&amp;" is more than F00-05"&amp;CHAR(10),""),IF(AA13&gt;AA12," * F00-06 "&amp;$Z$20&amp;" "&amp;$AA$21&amp;" is more than F00-05"&amp;CHAR(10),""))</f>
        <v/>
      </c>
      <c r="AL12" s="1411"/>
      <c r="AM12" s="31"/>
      <c r="AN12" s="1416"/>
      <c r="AO12" s="1404"/>
      <c r="AP12" s="277"/>
      <c r="AQ12"/>
    </row>
    <row r="13" spans="1:43" ht="25.9" hidden="1" customHeight="1" thickBot="1" x14ac:dyDescent="0.45">
      <c r="A13" s="1388"/>
      <c r="B13" s="3" t="s">
        <v>430</v>
      </c>
      <c r="C13" s="523" t="s">
        <v>756</v>
      </c>
      <c r="D13" s="53"/>
      <c r="E13" s="54"/>
      <c r="F13" s="54"/>
      <c r="G13" s="54"/>
      <c r="H13" s="54"/>
      <c r="I13" s="54"/>
      <c r="J13" s="54"/>
      <c r="K13" s="54"/>
      <c r="L13" s="54"/>
      <c r="M13" s="54"/>
      <c r="N13" s="54"/>
      <c r="O13" s="54"/>
      <c r="P13" s="54"/>
      <c r="Q13" s="54"/>
      <c r="R13" s="54"/>
      <c r="S13" s="54"/>
      <c r="T13" s="54"/>
      <c r="U13" s="54"/>
      <c r="V13" s="54"/>
      <c r="W13" s="54"/>
      <c r="X13" s="54"/>
      <c r="Y13" s="54"/>
      <c r="Z13" s="54"/>
      <c r="AA13" s="55"/>
      <c r="AB13" s="286"/>
      <c r="AC13" s="286"/>
      <c r="AD13" s="286"/>
      <c r="AE13" s="286"/>
      <c r="AF13" s="286"/>
      <c r="AG13" s="286"/>
      <c r="AH13" s="286"/>
      <c r="AI13" s="286"/>
      <c r="AJ13" s="56">
        <f t="shared" si="0"/>
        <v>0</v>
      </c>
      <c r="AK13" s="45"/>
      <c r="AL13" s="1411"/>
      <c r="AM13" s="31"/>
      <c r="AN13" s="1416"/>
      <c r="AO13" s="1404"/>
      <c r="AP13" s="277"/>
      <c r="AQ13"/>
    </row>
    <row r="14" spans="1:43" s="61" customFormat="1" ht="51.4" hidden="1" customHeight="1" thickBot="1" x14ac:dyDescent="0.45">
      <c r="A14" s="861" t="s">
        <v>817</v>
      </c>
      <c r="B14" s="57" t="s">
        <v>763</v>
      </c>
      <c r="C14" s="524" t="s">
        <v>757</v>
      </c>
      <c r="D14" s="58">
        <f>D13+D10</f>
        <v>0</v>
      </c>
      <c r="E14" s="58">
        <f>E13+E10</f>
        <v>0</v>
      </c>
      <c r="F14" s="58">
        <f>F13+F10</f>
        <v>0</v>
      </c>
      <c r="G14" s="58">
        <f t="shared" ref="G14:AA14" si="1">G13+G10</f>
        <v>0</v>
      </c>
      <c r="H14" s="58">
        <f t="shared" si="1"/>
        <v>0</v>
      </c>
      <c r="I14" s="58">
        <f t="shared" si="1"/>
        <v>0</v>
      </c>
      <c r="J14" s="58">
        <f t="shared" si="1"/>
        <v>0</v>
      </c>
      <c r="K14" s="58">
        <f t="shared" si="1"/>
        <v>0</v>
      </c>
      <c r="L14" s="58">
        <f t="shared" si="1"/>
        <v>0</v>
      </c>
      <c r="M14" s="58">
        <f t="shared" si="1"/>
        <v>0</v>
      </c>
      <c r="N14" s="58">
        <f t="shared" si="1"/>
        <v>0</v>
      </c>
      <c r="O14" s="58">
        <f t="shared" si="1"/>
        <v>0</v>
      </c>
      <c r="P14" s="58">
        <f t="shared" si="1"/>
        <v>0</v>
      </c>
      <c r="Q14" s="58">
        <f t="shared" si="1"/>
        <v>0</v>
      </c>
      <c r="R14" s="58">
        <f t="shared" si="1"/>
        <v>0</v>
      </c>
      <c r="S14" s="58">
        <f t="shared" si="1"/>
        <v>0</v>
      </c>
      <c r="T14" s="58">
        <f t="shared" si="1"/>
        <v>0</v>
      </c>
      <c r="U14" s="58">
        <f t="shared" si="1"/>
        <v>0</v>
      </c>
      <c r="V14" s="58">
        <f t="shared" si="1"/>
        <v>0</v>
      </c>
      <c r="W14" s="58">
        <f t="shared" si="1"/>
        <v>0</v>
      </c>
      <c r="X14" s="58">
        <f t="shared" si="1"/>
        <v>0</v>
      </c>
      <c r="Y14" s="58">
        <f t="shared" si="1"/>
        <v>0</v>
      </c>
      <c r="Z14" s="58">
        <f t="shared" si="1"/>
        <v>0</v>
      </c>
      <c r="AA14" s="58">
        <f t="shared" si="1"/>
        <v>0</v>
      </c>
      <c r="AB14" s="287"/>
      <c r="AC14" s="287"/>
      <c r="AD14" s="287"/>
      <c r="AE14" s="287"/>
      <c r="AF14" s="287"/>
      <c r="AG14" s="287"/>
      <c r="AH14" s="287"/>
      <c r="AI14" s="287"/>
      <c r="AJ14" s="59">
        <f t="shared" si="0"/>
        <v>0</v>
      </c>
      <c r="AK14" s="30"/>
      <c r="AL14" s="1411"/>
      <c r="AM14" s="60"/>
      <c r="AN14" s="1416"/>
      <c r="AO14" s="1404"/>
      <c r="AP14" s="277"/>
      <c r="AQ14"/>
    </row>
    <row r="15" spans="1:43" ht="25.9" hidden="1" customHeight="1" thickBot="1" x14ac:dyDescent="0.45">
      <c r="A15" s="1389" t="s">
        <v>753</v>
      </c>
      <c r="B15" s="1" t="s">
        <v>762</v>
      </c>
      <c r="C15" s="524" t="s">
        <v>758</v>
      </c>
      <c r="D15" s="62"/>
      <c r="E15" s="63"/>
      <c r="F15" s="63"/>
      <c r="G15" s="63"/>
      <c r="H15" s="63"/>
      <c r="I15" s="63"/>
      <c r="J15" s="63"/>
      <c r="K15" s="63"/>
      <c r="L15" s="63"/>
      <c r="M15" s="63"/>
      <c r="N15" s="63"/>
      <c r="O15" s="63"/>
      <c r="P15" s="63"/>
      <c r="Q15" s="63"/>
      <c r="R15" s="63"/>
      <c r="S15" s="63"/>
      <c r="T15" s="63"/>
      <c r="U15" s="63"/>
      <c r="V15" s="63"/>
      <c r="W15" s="63"/>
      <c r="X15" s="63"/>
      <c r="Y15" s="63"/>
      <c r="Z15" s="63"/>
      <c r="AA15" s="64"/>
      <c r="AB15" s="288"/>
      <c r="AC15" s="288"/>
      <c r="AD15" s="288"/>
      <c r="AE15" s="288"/>
      <c r="AF15" s="288"/>
      <c r="AG15" s="288"/>
      <c r="AH15" s="288"/>
      <c r="AI15" s="288"/>
      <c r="AJ15" s="65">
        <f t="shared" si="0"/>
        <v>0</v>
      </c>
      <c r="AK15" s="30" t="str">
        <f>CONCATENATE(IF(D16&gt;D15," * F00-08 "&amp;$D$20&amp;" "&amp;$D$21&amp;" is more than F00-07"&amp;CHAR(10),""),IF(E16&gt;E15," * F00-08 "&amp;$D$20&amp;" "&amp;$E$21&amp;" is more than F00-07"&amp;CHAR(10),""),IF(F16&gt;F15," * F00-08 "&amp;$F$20&amp;" "&amp;$F$21&amp;" is more than F00-07"&amp;CHAR(10),""),IF(G16&gt;G15," * F00-08 "&amp;$F$20&amp;" "&amp;$G$21&amp;" is more than F00-07"&amp;CHAR(10),""),IF(H16&gt;H15," * F00-08 "&amp;$H$20&amp;" "&amp;$H$21&amp;" is more than F00-07"&amp;CHAR(10),""),IF(I16&gt;I15," * F00-08 "&amp;$H$20&amp;" "&amp;$I$21&amp;" is more than F00-07"&amp;CHAR(10),""),IF(J16&gt;J15," * F00-08 "&amp;$J$20&amp;" "&amp;$J$21&amp;" is more than F00-07"&amp;CHAR(10),""),IF(K16&gt;K15," * F00-08 "&amp;$J$20&amp;" "&amp;$K$21&amp;" is more than F00-07"&amp;CHAR(10),""),IF(L16&gt;L15," * F00-08 "&amp;$L$20&amp;" "&amp;$L$21&amp;" is more than F00-07"&amp;CHAR(10),""),IF(M16&gt;M15," * F00-08 "&amp;$L$20&amp;" "&amp;$M$21&amp;" is more than F00-07"&amp;CHAR(10),""),IF(N16&gt;N15," * F00-08 "&amp;$N$20&amp;" "&amp;$N$21&amp;" is more than F00-07"&amp;CHAR(10),""),IF(O16&gt;O15," * F00-08 "&amp;$N$20&amp;" "&amp;$O$21&amp;" is more than F00-07"&amp;CHAR(10),""),IF(P16&gt;P15," * F00-08 "&amp;$P$20&amp;" "&amp;$P$21&amp;" is more than F00-07"&amp;CHAR(10),""),IF(Q16&gt;Q15," * F00-08 "&amp;$P$20&amp;" "&amp;$Q$21&amp;" is more than F00-07"&amp;CHAR(10),""),IF(R16&gt;R15," * F00-08 "&amp;$R$20&amp;" "&amp;$R$21&amp;" is more than F00-07"&amp;CHAR(10),""),IF(S16&gt;S15," * F00-08 "&amp;$R$20&amp;" "&amp;$S$21&amp;" is more than F00-07"&amp;CHAR(10),""),IF(T16&gt;T15," * F00-08 "&amp;$T$20&amp;" "&amp;$T$21&amp;" is more than F00-07"&amp;CHAR(10),""),IF(U16&gt;U15," * F00-08 "&amp;$T$20&amp;" "&amp;$U$21&amp;" is more than F00-07"&amp;CHAR(10),""),IF(V16&gt;V15," * F00-08 "&amp;$V$20&amp;" "&amp;$V$21&amp;" is more than F00-07"&amp;CHAR(10),""),IF(W16&gt;W15," * F00-08 "&amp;$V$20&amp;" "&amp;$W$21&amp;" is more than F00-07"&amp;CHAR(10),""),IF(X16&gt;X15," * F00-08 "&amp;$X$20&amp;" "&amp;$X$21&amp;" is more than F00-07"&amp;CHAR(10),""),IF(Y16&gt;Y15," * F00-08 "&amp;$X$20&amp;" "&amp;$Y$21&amp;" is more than F00-07"&amp;CHAR(10),""),IF(Z16&gt;Z15," * F00-08 "&amp;$Z$20&amp;" "&amp;$Z$21&amp;" is more than F00-07"&amp;CHAR(10),""),IF(AA16&gt;AA15," * F00-08 "&amp;$Z$20&amp;" "&amp;$AA$21&amp;" is more than F00-07"&amp;CHAR(10),""))</f>
        <v/>
      </c>
      <c r="AL15" s="1411"/>
      <c r="AM15" s="31"/>
      <c r="AN15" s="1416"/>
      <c r="AO15" s="1404"/>
      <c r="AP15" s="277"/>
      <c r="AQ15"/>
    </row>
    <row r="16" spans="1:43" ht="25.9" hidden="1" customHeight="1" thickBot="1" x14ac:dyDescent="0.45">
      <c r="A16" s="1387"/>
      <c r="B16" s="2" t="s">
        <v>592</v>
      </c>
      <c r="C16" s="522" t="s">
        <v>759</v>
      </c>
      <c r="D16" s="49"/>
      <c r="E16" s="50"/>
      <c r="F16" s="50"/>
      <c r="G16" s="50"/>
      <c r="H16" s="50"/>
      <c r="I16" s="50"/>
      <c r="J16" s="50"/>
      <c r="K16" s="50"/>
      <c r="L16" s="50"/>
      <c r="M16" s="50"/>
      <c r="N16" s="50"/>
      <c r="O16" s="50"/>
      <c r="P16" s="50"/>
      <c r="Q16" s="50"/>
      <c r="R16" s="50"/>
      <c r="S16" s="50"/>
      <c r="T16" s="50"/>
      <c r="U16" s="50"/>
      <c r="V16" s="50"/>
      <c r="W16" s="50"/>
      <c r="X16" s="50"/>
      <c r="Y16" s="50"/>
      <c r="Z16" s="50"/>
      <c r="AA16" s="51"/>
      <c r="AB16" s="285"/>
      <c r="AC16" s="285"/>
      <c r="AD16" s="285"/>
      <c r="AE16" s="285"/>
      <c r="AF16" s="285"/>
      <c r="AG16" s="285"/>
      <c r="AH16" s="285"/>
      <c r="AI16" s="285"/>
      <c r="AJ16" s="66">
        <f t="shared" si="0"/>
        <v>0</v>
      </c>
      <c r="AK16" s="30" t="str">
        <f>CONCATENATE(IF(D17&gt;D16," * F00-09 "&amp;$D$20&amp;" "&amp;$D$21&amp;" is more than F00-08"&amp;CHAR(10),""),IF(E17&gt;E16," * F00-09 "&amp;$D$20&amp;" "&amp;$E$21&amp;" is more than F00-08"&amp;CHAR(10),""),IF(F17&gt;F16," * F00-09 "&amp;$F$20&amp;" "&amp;$F$21&amp;" is more than F00-08"&amp;CHAR(10),""),IF(G17&gt;G16," * F00-09 "&amp;$F$20&amp;" "&amp;$G$21&amp;" is more than F00-08"&amp;CHAR(10),""),IF(H17&gt;H16," * F00-09 "&amp;$H$20&amp;" "&amp;$H$21&amp;" is more than F00-08"&amp;CHAR(10),""),IF(I17&gt;I16," * F00-09 "&amp;$H$20&amp;" "&amp;$I$21&amp;" is more than F00-08"&amp;CHAR(10),""),IF(J17&gt;J16," * F00-09 "&amp;$J$20&amp;" "&amp;$J$21&amp;" is more than F00-08"&amp;CHAR(10),""),IF(K17&gt;K16," * F00-09 "&amp;$J$20&amp;" "&amp;$K$21&amp;" is more than F00-08"&amp;CHAR(10),""),IF(L17&gt;L16," * F00-09 "&amp;$L$20&amp;" "&amp;$L$21&amp;" is more than F00-08"&amp;CHAR(10),""),IF(M17&gt;M16," * F00-09 "&amp;$L$20&amp;" "&amp;$M$21&amp;" is more than F00-08"&amp;CHAR(10),""),IF(N17&gt;N16," * F00-09 "&amp;$N$20&amp;" "&amp;$N$21&amp;" is more than F00-08"&amp;CHAR(10),""),IF(O17&gt;O16," * F00-09 "&amp;$N$20&amp;" "&amp;$O$21&amp;" is more than F00-08"&amp;CHAR(10),""),IF(P17&gt;P16," * F00-09 "&amp;$P$20&amp;" "&amp;$P$21&amp;" is more than F00-08"&amp;CHAR(10),""),IF(Q17&gt;Q16," * F00-09 "&amp;$P$20&amp;" "&amp;$Q$21&amp;" is more than F00-08"&amp;CHAR(10),""),IF(R17&gt;R16," * F00-09 "&amp;$R$20&amp;" "&amp;$R$21&amp;" is more than F00-08"&amp;CHAR(10),""),IF(S17&gt;S16," * F00-09 "&amp;$R$20&amp;" "&amp;$S$21&amp;" is more than F00-08"&amp;CHAR(10),""),IF(T17&gt;T16," * F00-09 "&amp;$T$20&amp;" "&amp;$T$21&amp;" is more than F00-08"&amp;CHAR(10),""),IF(U17&gt;U16," * F00-09 "&amp;$T$20&amp;" "&amp;$U$21&amp;" is more than F00-08"&amp;CHAR(10),""),IF(V17&gt;V16," * F00-09 "&amp;$V$20&amp;" "&amp;$V$21&amp;" is more than F00-08"&amp;CHAR(10),""),IF(W17&gt;W16," * F00-09 "&amp;$V$20&amp;" "&amp;$W$21&amp;" is more than F00-08"&amp;CHAR(10),""),IF(X17&gt;X16," * F00-09 "&amp;$X$20&amp;" "&amp;$X$21&amp;" is more than F00-08"&amp;CHAR(10),""),IF(Y17&gt;Y16," * F00-09 "&amp;$X$20&amp;" "&amp;$Y$21&amp;" is more than F00-08"&amp;CHAR(10),""),IF(Z17&gt;Z16," * F00-09 "&amp;$Z$20&amp;" "&amp;$Z$21&amp;" is more than F00-08"&amp;CHAR(10),""),IF(AA17&gt;AA16," * F00-09 "&amp;$Z$20&amp;" "&amp;$AA$21&amp;" is more than F00-08"&amp;CHAR(10),""))</f>
        <v/>
      </c>
      <c r="AL16" s="1411"/>
      <c r="AM16" s="31"/>
      <c r="AN16" s="1416"/>
      <c r="AO16" s="1404"/>
      <c r="AP16" s="277"/>
      <c r="AQ16"/>
    </row>
    <row r="17" spans="1:43" ht="25.9" hidden="1" customHeight="1" thickBot="1" x14ac:dyDescent="0.45">
      <c r="A17" s="1388"/>
      <c r="B17" s="3" t="s">
        <v>430</v>
      </c>
      <c r="C17" s="523" t="s">
        <v>760</v>
      </c>
      <c r="D17" s="53"/>
      <c r="E17" s="54"/>
      <c r="F17" s="54"/>
      <c r="G17" s="54"/>
      <c r="H17" s="54"/>
      <c r="I17" s="54"/>
      <c r="J17" s="54"/>
      <c r="K17" s="54"/>
      <c r="L17" s="54"/>
      <c r="M17" s="54"/>
      <c r="N17" s="54"/>
      <c r="O17" s="54"/>
      <c r="P17" s="54"/>
      <c r="Q17" s="54"/>
      <c r="R17" s="54"/>
      <c r="S17" s="54"/>
      <c r="T17" s="54"/>
      <c r="U17" s="54"/>
      <c r="V17" s="54"/>
      <c r="W17" s="54"/>
      <c r="X17" s="54"/>
      <c r="Y17" s="54"/>
      <c r="Z17" s="54"/>
      <c r="AA17" s="55"/>
      <c r="AB17" s="286"/>
      <c r="AC17" s="286"/>
      <c r="AD17" s="286"/>
      <c r="AE17" s="286"/>
      <c r="AF17" s="286"/>
      <c r="AG17" s="286"/>
      <c r="AH17" s="286"/>
      <c r="AI17" s="286"/>
      <c r="AJ17" s="67">
        <f t="shared" si="0"/>
        <v>0</v>
      </c>
      <c r="AK17" s="45"/>
      <c r="AL17" s="1411"/>
      <c r="AM17" s="31"/>
      <c r="AN17" s="1416"/>
      <c r="AO17" s="1404"/>
      <c r="AP17" s="277"/>
      <c r="AQ17"/>
    </row>
    <row r="18" spans="1:43" ht="25.9" hidden="1" customHeight="1" thickBot="1" x14ac:dyDescent="0.45">
      <c r="A18" s="862"/>
      <c r="B18" s="278" t="s">
        <v>899</v>
      </c>
      <c r="C18" s="521" t="s">
        <v>890</v>
      </c>
      <c r="D18" s="58">
        <f>D17+D13+D10</f>
        <v>0</v>
      </c>
      <c r="E18" s="58">
        <f>E17+E13+E10</f>
        <v>0</v>
      </c>
      <c r="F18" s="58">
        <f>F17+F13+F10</f>
        <v>0</v>
      </c>
      <c r="G18" s="58">
        <f t="shared" ref="G18:AJ18" si="2">G17+G13+G10</f>
        <v>0</v>
      </c>
      <c r="H18" s="58">
        <f t="shared" si="2"/>
        <v>0</v>
      </c>
      <c r="I18" s="58">
        <f t="shared" si="2"/>
        <v>0</v>
      </c>
      <c r="J18" s="58">
        <f t="shared" si="2"/>
        <v>0</v>
      </c>
      <c r="K18" s="58">
        <f t="shared" si="2"/>
        <v>0</v>
      </c>
      <c r="L18" s="58">
        <f t="shared" si="2"/>
        <v>0</v>
      </c>
      <c r="M18" s="58">
        <f t="shared" si="2"/>
        <v>0</v>
      </c>
      <c r="N18" s="58">
        <f t="shared" si="2"/>
        <v>0</v>
      </c>
      <c r="O18" s="58">
        <f t="shared" si="2"/>
        <v>0</v>
      </c>
      <c r="P18" s="58">
        <f t="shared" si="2"/>
        <v>0</v>
      </c>
      <c r="Q18" s="58">
        <f t="shared" si="2"/>
        <v>0</v>
      </c>
      <c r="R18" s="58">
        <f t="shared" si="2"/>
        <v>0</v>
      </c>
      <c r="S18" s="58">
        <f t="shared" si="2"/>
        <v>0</v>
      </c>
      <c r="T18" s="58">
        <f t="shared" si="2"/>
        <v>0</v>
      </c>
      <c r="U18" s="58">
        <f t="shared" si="2"/>
        <v>0</v>
      </c>
      <c r="V18" s="58">
        <f t="shared" si="2"/>
        <v>0</v>
      </c>
      <c r="W18" s="58">
        <f t="shared" si="2"/>
        <v>0</v>
      </c>
      <c r="X18" s="58">
        <f t="shared" si="2"/>
        <v>0</v>
      </c>
      <c r="Y18" s="58">
        <f t="shared" si="2"/>
        <v>0</v>
      </c>
      <c r="Z18" s="58">
        <f t="shared" si="2"/>
        <v>0</v>
      </c>
      <c r="AA18" s="58">
        <f t="shared" si="2"/>
        <v>0</v>
      </c>
      <c r="AB18" s="58"/>
      <c r="AC18" s="58"/>
      <c r="AD18" s="58"/>
      <c r="AE18" s="58"/>
      <c r="AF18" s="58"/>
      <c r="AG18" s="58"/>
      <c r="AH18" s="58"/>
      <c r="AI18" s="58"/>
      <c r="AJ18" s="58">
        <f t="shared" si="2"/>
        <v>0</v>
      </c>
      <c r="AK18" s="279"/>
      <c r="AL18" s="1411"/>
      <c r="AM18" s="123"/>
      <c r="AN18" s="1416"/>
      <c r="AO18" s="1404"/>
      <c r="AP18" s="277"/>
      <c r="AQ18"/>
    </row>
    <row r="19" spans="1:43" ht="36.75" customHeight="1" thickBot="1" x14ac:dyDescent="0.4">
      <c r="A19" s="1249" t="s">
        <v>12</v>
      </c>
      <c r="B19" s="1250"/>
      <c r="C19" s="1250"/>
      <c r="D19" s="1250"/>
      <c r="E19" s="1250"/>
      <c r="F19" s="1250"/>
      <c r="G19" s="1250"/>
      <c r="H19" s="1250"/>
      <c r="I19" s="1250"/>
      <c r="J19" s="1250"/>
      <c r="K19" s="1250"/>
      <c r="L19" s="1250"/>
      <c r="M19" s="1250"/>
      <c r="N19" s="1250"/>
      <c r="O19" s="1250"/>
      <c r="P19" s="1250"/>
      <c r="Q19" s="1250"/>
      <c r="R19" s="1250"/>
      <c r="S19" s="1250"/>
      <c r="T19" s="1250"/>
      <c r="U19" s="1250"/>
      <c r="V19" s="1250"/>
      <c r="W19" s="1250"/>
      <c r="X19" s="1250"/>
      <c r="Y19" s="1250"/>
      <c r="Z19" s="1250"/>
      <c r="AA19" s="1250"/>
      <c r="AB19" s="1250"/>
      <c r="AC19" s="1250"/>
      <c r="AD19" s="1250"/>
      <c r="AE19" s="1250"/>
      <c r="AF19" s="1250"/>
      <c r="AG19" s="1250"/>
      <c r="AH19" s="1250"/>
      <c r="AI19" s="1250"/>
      <c r="AJ19" s="1250"/>
      <c r="AK19" s="1250"/>
      <c r="AL19" s="1250"/>
      <c r="AM19" s="1250"/>
      <c r="AN19" s="1362"/>
      <c r="AO19" s="1404"/>
      <c r="AP19" s="276" t="str">
        <f>HYPERLINK("#PREP","2.0 Prep New &amp; CURR")</f>
        <v>2.0 Prep New &amp; CURR</v>
      </c>
      <c r="AQ19" s="276" t="str">
        <f>HYPERLINK("#HAART","6.2 PMTCT HAART")</f>
        <v>6.2 PMTCT HAART</v>
      </c>
    </row>
    <row r="20" spans="1:43" s="14" customFormat="1" ht="33" customHeight="1" thickBot="1" x14ac:dyDescent="0.4">
      <c r="A20" s="1214" t="s">
        <v>35</v>
      </c>
      <c r="B20" s="1200" t="s">
        <v>307</v>
      </c>
      <c r="C20" s="1192" t="s">
        <v>291</v>
      </c>
      <c r="D20" s="1195" t="s">
        <v>0</v>
      </c>
      <c r="E20" s="1195"/>
      <c r="F20" s="1195" t="s">
        <v>1</v>
      </c>
      <c r="G20" s="1195"/>
      <c r="H20" s="1195" t="s">
        <v>2</v>
      </c>
      <c r="I20" s="1195"/>
      <c r="J20" s="1195" t="s">
        <v>3</v>
      </c>
      <c r="K20" s="1195"/>
      <c r="L20" s="1195" t="s">
        <v>4</v>
      </c>
      <c r="M20" s="1195"/>
      <c r="N20" s="1195" t="s">
        <v>5</v>
      </c>
      <c r="O20" s="1195"/>
      <c r="P20" s="1195" t="s">
        <v>6</v>
      </c>
      <c r="Q20" s="1195"/>
      <c r="R20" s="1195" t="s">
        <v>7</v>
      </c>
      <c r="S20" s="1195"/>
      <c r="T20" s="1195" t="s">
        <v>8</v>
      </c>
      <c r="U20" s="1195"/>
      <c r="V20" s="1195" t="s">
        <v>23</v>
      </c>
      <c r="W20" s="1195"/>
      <c r="X20" s="1195" t="s">
        <v>24</v>
      </c>
      <c r="Y20" s="1195"/>
      <c r="Z20" s="1195" t="s">
        <v>9</v>
      </c>
      <c r="AA20" s="1195"/>
      <c r="AB20" s="1207" t="s">
        <v>912</v>
      </c>
      <c r="AC20" s="1218"/>
      <c r="AD20" s="1207" t="s">
        <v>913</v>
      </c>
      <c r="AE20" s="1218"/>
      <c r="AF20" s="1207" t="s">
        <v>1074</v>
      </c>
      <c r="AG20" s="1218"/>
      <c r="AH20" s="1207" t="s">
        <v>1075</v>
      </c>
      <c r="AI20" s="1218"/>
      <c r="AJ20" s="1265" t="s">
        <v>19</v>
      </c>
      <c r="AK20" s="1267" t="s">
        <v>340</v>
      </c>
      <c r="AL20" s="1241" t="s">
        <v>346</v>
      </c>
      <c r="AM20" s="1236" t="s">
        <v>347</v>
      </c>
      <c r="AN20" s="1255" t="s">
        <v>347</v>
      </c>
      <c r="AO20" s="1404"/>
      <c r="AP20" s="276" t="str">
        <f>HYPERLINK("#IPT","3.0 IPT")</f>
        <v>3.0 IPT</v>
      </c>
      <c r="AQ20" s="276" t="str">
        <f>HYPERLINK("#ART","7.0 HIV &amp; TB SCREEN")</f>
        <v>7.0 HIV &amp; TB SCREEN</v>
      </c>
    </row>
    <row r="21" spans="1:43" s="14" customFormat="1" ht="33" customHeight="1" thickBot="1" x14ac:dyDescent="0.4">
      <c r="A21" s="1215"/>
      <c r="B21" s="1210"/>
      <c r="C21" s="1193"/>
      <c r="D21" s="68" t="s">
        <v>10</v>
      </c>
      <c r="E21" s="68" t="s">
        <v>11</v>
      </c>
      <c r="F21" s="68" t="s">
        <v>10</v>
      </c>
      <c r="G21" s="68" t="s">
        <v>11</v>
      </c>
      <c r="H21" s="68" t="s">
        <v>10</v>
      </c>
      <c r="I21" s="68" t="s">
        <v>11</v>
      </c>
      <c r="J21" s="68" t="s">
        <v>10</v>
      </c>
      <c r="K21" s="68" t="s">
        <v>11</v>
      </c>
      <c r="L21" s="68" t="s">
        <v>10</v>
      </c>
      <c r="M21" s="68" t="s">
        <v>11</v>
      </c>
      <c r="N21" s="68" t="s">
        <v>10</v>
      </c>
      <c r="O21" s="68" t="s">
        <v>11</v>
      </c>
      <c r="P21" s="68" t="s">
        <v>10</v>
      </c>
      <c r="Q21" s="68" t="s">
        <v>11</v>
      </c>
      <c r="R21" s="68" t="s">
        <v>10</v>
      </c>
      <c r="S21" s="68" t="s">
        <v>11</v>
      </c>
      <c r="T21" s="68" t="s">
        <v>10</v>
      </c>
      <c r="U21" s="68" t="s">
        <v>11</v>
      </c>
      <c r="V21" s="68" t="s">
        <v>10</v>
      </c>
      <c r="W21" s="68" t="s">
        <v>11</v>
      </c>
      <c r="X21" s="68" t="s">
        <v>10</v>
      </c>
      <c r="Y21" s="68" t="s">
        <v>11</v>
      </c>
      <c r="Z21" s="68" t="s">
        <v>10</v>
      </c>
      <c r="AA21" s="68" t="s">
        <v>11</v>
      </c>
      <c r="AB21" s="269" t="s">
        <v>10</v>
      </c>
      <c r="AC21" s="269" t="s">
        <v>11</v>
      </c>
      <c r="AD21" s="269" t="s">
        <v>10</v>
      </c>
      <c r="AE21" s="269" t="s">
        <v>11</v>
      </c>
      <c r="AF21" s="269" t="s">
        <v>10</v>
      </c>
      <c r="AG21" s="269" t="s">
        <v>11</v>
      </c>
      <c r="AH21" s="269" t="s">
        <v>10</v>
      </c>
      <c r="AI21" s="269" t="s">
        <v>11</v>
      </c>
      <c r="AJ21" s="1395"/>
      <c r="AK21" s="1268"/>
      <c r="AL21" s="1242"/>
      <c r="AM21" s="1316"/>
      <c r="AN21" s="1454"/>
      <c r="AO21" s="1404"/>
      <c r="AP21" s="276" t="str">
        <f>HYPERLINK("#CXCA","4.0 CXCA")</f>
        <v>4.0 CXCA</v>
      </c>
      <c r="AQ21" s="276" t="str">
        <f>HYPERLINK("#TB","9.0 HIV TB Clinic")</f>
        <v>9.0 HIV TB Clinic</v>
      </c>
    </row>
    <row r="22" spans="1:43" ht="26.25" x14ac:dyDescent="0.4">
      <c r="A22" s="1465" t="s">
        <v>100</v>
      </c>
      <c r="B22" s="69" t="s">
        <v>909</v>
      </c>
      <c r="C22" s="525" t="s">
        <v>119</v>
      </c>
      <c r="D22" s="132"/>
      <c r="E22" s="99"/>
      <c r="F22" s="94"/>
      <c r="G22" s="94"/>
      <c r="H22" s="94"/>
      <c r="I22" s="345"/>
      <c r="J22" s="94"/>
      <c r="K22" s="94"/>
      <c r="L22" s="94"/>
      <c r="M22" s="94"/>
      <c r="N22" s="94"/>
      <c r="O22" s="94"/>
      <c r="P22" s="94"/>
      <c r="Q22" s="94"/>
      <c r="R22" s="94"/>
      <c r="S22" s="94"/>
      <c r="T22" s="94"/>
      <c r="U22" s="94"/>
      <c r="V22" s="94"/>
      <c r="W22" s="94"/>
      <c r="X22" s="94"/>
      <c r="Y22" s="94"/>
      <c r="Z22" s="463">
        <f t="shared" ref="Z22:AA25" si="3">SUM(AB22,AD22,AF22,AH22)</f>
        <v>0</v>
      </c>
      <c r="AA22" s="888">
        <f t="shared" si="3"/>
        <v>0</v>
      </c>
      <c r="AB22" s="374"/>
      <c r="AC22" s="293"/>
      <c r="AD22" s="94"/>
      <c r="AE22" s="293"/>
      <c r="AF22" s="94"/>
      <c r="AG22" s="293"/>
      <c r="AH22" s="94"/>
      <c r="AI22" s="477"/>
      <c r="AJ22" s="183">
        <f t="shared" ref="AJ22:AJ27" si="4">SUM(D22:AA22)</f>
        <v>0</v>
      </c>
      <c r="AK22" s="1452" t="str">
        <f>CONCATENATE(IF(D23&gt;D22," * F01-02 "&amp;$D$20&amp;" "&amp;$D$21&amp;" is more than F01-01"&amp;CHAR(10),""),IF(E23&gt;E22," * F01-02 "&amp;$D$20&amp;" "&amp;$E$21&amp;" is more than F01-01"&amp;CHAR(10),""),IF(F23&gt;F22," * F01-02 "&amp;$F$20&amp;" "&amp;$F$21&amp;" is more than F01-01"&amp;CHAR(10),""),IF(G23&gt;G22," * F01-02 "&amp;$F$20&amp;" "&amp;$G$21&amp;" is more than F01-01"&amp;CHAR(10),""),IF(H23&gt;H22," * F01-02 "&amp;$H$20&amp;" "&amp;$H$21&amp;" is more than F01-01"&amp;CHAR(10),""),IF(I23&gt;I22," * F01-02 "&amp;$H$20&amp;" "&amp;$I$21&amp;" is more than F01-01"&amp;CHAR(10),""),IF(J23&gt;J22," * F01-02 "&amp;$J$20&amp;" "&amp;$J$21&amp;" is more than F01-01"&amp;CHAR(10),""),IF(K23&gt;K22," * F01-02 "&amp;$J$20&amp;" "&amp;$K$21&amp;" is more than F01-01"&amp;CHAR(10),""),IF(L23&gt;L22," * F01-02 "&amp;$L$20&amp;" "&amp;$L$21&amp;" is more than F01-01"&amp;CHAR(10),""),IF(M23&gt;M22," * F01-02 "&amp;$L$20&amp;" "&amp;$M$21&amp;" is more than F01-01"&amp;CHAR(10),""),IF(N23&gt;N22," * F01-02 "&amp;$N$20&amp;" "&amp;$N$21&amp;" is more than F01-01"&amp;CHAR(10),""),IF(O23&gt;O22," * F01-02 "&amp;$N$20&amp;" "&amp;$O$21&amp;" is more than F01-01"&amp;CHAR(10),""),IF(P23&gt;P22," * F01-02 "&amp;$P$20&amp;" "&amp;$P$21&amp;" is more than F01-01"&amp;CHAR(10),""),IF(Q23&gt;Q22," * F01-02 "&amp;$P$20&amp;" "&amp;$Q$21&amp;" is more than F01-01"&amp;CHAR(10),""),IF(R23&gt;R22," * F01-02 "&amp;$R$20&amp;" "&amp;$R$21&amp;" is more than F01-01"&amp;CHAR(10),""),IF(S23&gt;S22," * F01-02 "&amp;$R$20&amp;" "&amp;$S$21&amp;" is more than F01-01"&amp;CHAR(10),""),IF(T23&gt;T22," * F01-02 "&amp;$T$20&amp;" "&amp;$T$21&amp;" is more than F01-01"&amp;CHAR(10),""),IF(U23&gt;U22," * F01-02 "&amp;$T$20&amp;" "&amp;$U$21&amp;" is more than F01-01"&amp;CHAR(10),""),IF(V23&gt;V22," * F01-02 "&amp;$V$20&amp;" "&amp;$V$21&amp;" is more than F01-01"&amp;CHAR(10),""),IF(W23&gt;W22," * F01-02 "&amp;$V$20&amp;" "&amp;$W$21&amp;" is more than F01-01"&amp;CHAR(10),""),IF(X23&gt;X22," * F01-02 "&amp;$X$20&amp;" "&amp;$X$21&amp;" is more than F01-01"&amp;CHAR(10),""),IF(Y23&gt;Y22," * F01-02 "&amp;$X$20&amp;" "&amp;$Y$21&amp;" is more than F01-01"&amp;CHAR(10),""),IF(Z23&gt;Z22," * F01-02 "&amp;$Z$20&amp;" "&amp;$Z$21&amp;" is more than F01-01"&amp;CHAR(10),""),IF(AA23&gt;AA22," * F01-02 "&amp;$Z$20&amp;" "&amp;$AA$21&amp;" is more than F01-01"&amp;CHAR(10),""))</f>
        <v/>
      </c>
      <c r="AL22" s="1424" t="str">
        <f>CONCATENATE(AK22,AK24,AK25,AK27,AK31,AK32,AK33,AK35,AK37,AK39,AK41,AK43,AK45,AK47,AK49,AK51,AK58,AK34,AK54,AK53,AK55,AK63,AK65,AK26,AK59,AK60,AK61,AK30,AK57,AK56)</f>
        <v/>
      </c>
      <c r="AM22" s="73"/>
      <c r="AN22" s="1428" t="str">
        <f>CONCATENATE(AM22,AM23,AM24,AM25,AM27,AM28,AM31,AM32,AM33,AM35,AM36,AM37,AM38,AM39,AM40,AM41,AM42,AM43,AM44,AM45,AM46,AM47,AM48,AM49,AM50,AM51,AM52,AM58,AM59,AM61,AM60,AM57,AM56,AM55,AM54,AM53,AM34,AM30,AM26)</f>
        <v/>
      </c>
      <c r="AO22" s="444">
        <v>21</v>
      </c>
      <c r="AP22" s="74"/>
      <c r="AQ22" s="75"/>
    </row>
    <row r="23" spans="1:43" ht="26.25" x14ac:dyDescent="0.4">
      <c r="A23" s="1466"/>
      <c r="B23" s="76" t="s">
        <v>910</v>
      </c>
      <c r="C23" s="526" t="s">
        <v>121</v>
      </c>
      <c r="D23" s="133"/>
      <c r="E23" s="78"/>
      <c r="F23" s="79"/>
      <c r="G23" s="79"/>
      <c r="H23" s="79"/>
      <c r="I23" s="79"/>
      <c r="J23" s="79"/>
      <c r="K23" s="79"/>
      <c r="L23" s="79"/>
      <c r="M23" s="79"/>
      <c r="N23" s="79"/>
      <c r="O23" s="79"/>
      <c r="P23" s="79"/>
      <c r="Q23" s="79"/>
      <c r="R23" s="79"/>
      <c r="S23" s="79"/>
      <c r="T23" s="79"/>
      <c r="U23" s="79"/>
      <c r="V23" s="79"/>
      <c r="W23" s="79"/>
      <c r="X23" s="79"/>
      <c r="Y23" s="79"/>
      <c r="Z23" s="463">
        <f t="shared" si="3"/>
        <v>0</v>
      </c>
      <c r="AA23" s="888">
        <f t="shared" si="3"/>
        <v>0</v>
      </c>
      <c r="AB23" s="375"/>
      <c r="AC23" s="290"/>
      <c r="AD23" s="79"/>
      <c r="AE23" s="290"/>
      <c r="AF23" s="79"/>
      <c r="AG23" s="290"/>
      <c r="AH23" s="79"/>
      <c r="AI23" s="478"/>
      <c r="AJ23" s="171">
        <f t="shared" si="4"/>
        <v>0</v>
      </c>
      <c r="AK23" s="1206"/>
      <c r="AL23" s="1312"/>
      <c r="AM23" s="31"/>
      <c r="AN23" s="1429"/>
      <c r="AO23" s="444">
        <v>22</v>
      </c>
      <c r="AP23" s="74"/>
      <c r="AQ23" s="75"/>
    </row>
    <row r="24" spans="1:43" s="61" customFormat="1" ht="26.25" x14ac:dyDescent="0.4">
      <c r="A24" s="1466"/>
      <c r="B24" s="76" t="s">
        <v>122</v>
      </c>
      <c r="C24" s="526" t="s">
        <v>308</v>
      </c>
      <c r="D24" s="133"/>
      <c r="E24" s="78"/>
      <c r="F24" s="79"/>
      <c r="G24" s="79"/>
      <c r="H24" s="79"/>
      <c r="I24" s="79"/>
      <c r="J24" s="79"/>
      <c r="K24" s="79"/>
      <c r="L24" s="79"/>
      <c r="M24" s="79"/>
      <c r="N24" s="79"/>
      <c r="O24" s="79"/>
      <c r="P24" s="79"/>
      <c r="Q24" s="79"/>
      <c r="R24" s="79"/>
      <c r="S24" s="79"/>
      <c r="T24" s="79"/>
      <c r="U24" s="79"/>
      <c r="V24" s="79"/>
      <c r="W24" s="79"/>
      <c r="X24" s="79"/>
      <c r="Y24" s="79"/>
      <c r="Z24" s="463">
        <f t="shared" si="3"/>
        <v>0</v>
      </c>
      <c r="AA24" s="888">
        <f t="shared" si="3"/>
        <v>0</v>
      </c>
      <c r="AB24" s="375"/>
      <c r="AC24" s="290"/>
      <c r="AD24" s="79"/>
      <c r="AE24" s="290"/>
      <c r="AF24" s="79"/>
      <c r="AG24" s="290"/>
      <c r="AH24" s="79"/>
      <c r="AI24" s="478"/>
      <c r="AJ24" s="171">
        <f t="shared" si="4"/>
        <v>0</v>
      </c>
      <c r="AK24" s="45" t="str">
        <f>IF(AJ24&gt;0,IF(AJ23&lt;1,"Contacts were Elicited [ F01-03 ] yet no Patients Accepted Index Testing [F01-02]",""),"")</f>
        <v/>
      </c>
      <c r="AL24" s="1312"/>
      <c r="AM24" s="60" t="str">
        <f>CONCATENATE(IF(D24&lt;&gt;SUM(D25,D27,D32,D33)," * F01-03 for Age "&amp;D20&amp;" "&amp;D21&amp;" is not equal to the sum of (F01-04+F01-05+F01-08+F01-09)"&amp;CHAR(10),""),IF(E24&lt;&gt;SUM(E25,E27,E32,E33)," * F01-03 for Age "&amp;D20&amp;" "&amp;E21&amp;" is not equal to the sum of F01-04+F01-05+F01-08+F01-09"&amp;CHAR(10),""),IF(F24&lt;&gt;SUM(F25,F27,F32,F33)," * F01-03 for Age "&amp;F20&amp;" "&amp;F21&amp;" is not equal to the sum of (F01-04+F01-05+F01-08+F01-09)"&amp;CHAR(10),""),IF(G24&lt;&gt;SUM(G25,G27,G32,G33)," * F01-03 for Age "&amp;F20&amp;" "&amp;G21&amp;" is not equal to the sum of F01-04+F01-05+F01-08+F01-09"&amp;CHAR(10),""),IF(H24&lt;&gt;SUM(H25,H27,H32,H33)," * F01-03 for Age "&amp;H20&amp;" "&amp;H21&amp;" is not equal to the sum of (F01-04+F01-05+F01-08+F01-09)"&amp;CHAR(10),""),IF(I24&lt;&gt;SUM(I25,I27,I32,I33)," * F01-03 for Age "&amp;H20&amp;" "&amp;I21&amp;" is not equal to the sum of F01-04+F01-05+F01-08+F01-09"&amp;CHAR(10),""),IF(J24&lt;&gt;SUM(J25,J27,J32,J33)," * F01-03 for Age "&amp;J20&amp;" "&amp;J21&amp;" is not equal to the sum of (F01-04+F01-05+F01-08+F01-09)"&amp;CHAR(10),""),IF(K24&lt;&gt;SUM(K25,K27,K32,K33)," * F01-03 for Age "&amp;J20&amp;" "&amp;K21&amp;" is not equal to the sum of F01-04+F01-05+F01-08+F01-09"&amp;CHAR(10),""),IF(L24&lt;&gt;SUM(L25,L27,L32,L33)," * F01-03 for Age "&amp;L20&amp;" "&amp;L21&amp;" is not equal to the sum of (F01-04+F01-05+F01-08+F01-09)"&amp;CHAR(10),""),IF(M24&lt;&gt;SUM(M25,M27,M32,M33)," * F01-03 for Age "&amp;L20&amp;" "&amp;M21&amp;" is not equal to the sum of F01-04+F01-05+F01-08+F01-09"&amp;CHAR(10),""),IF(N24&lt;&gt;SUM(N25,N27,N32,N33)," * F01-03 for Age "&amp;N20&amp;" "&amp;N21&amp;" is not equal to the sum of (F01-04+F01-05+F01-08+F01-09)"&amp;CHAR(10),""),IF(O24&lt;&gt;SUM(O25,O27,O32,O33)," * F01-03 for Age "&amp;N20&amp;" "&amp;O21&amp;" is not equal to the sum of F01-04+F01-05+F01-08+F01-09"&amp;CHAR(10),""),IF(P24&lt;&gt;SUM(P25,P27,P32,P33)," * F01-03 for Age "&amp;P20&amp;" "&amp;P21&amp;" is not equal to the sum of (F01-04+F01-05+F01-08+F01-09)"&amp;CHAR(10),""),IF(Q24&lt;&gt;SUM(Q25,Q27,Q32,Q33)," * F01-03 for Age "&amp;P20&amp;" "&amp;Q21&amp;" is not equal to the sum of F01-04+F01-05+F01-08+F01-09"&amp;CHAR(10),""),IF(R24&lt;&gt;SUM(R25,R27,R32,R33)," * F01-03 for Age "&amp;R20&amp;" "&amp;R21&amp;" is not equal to the sum of (F01-04+F01-05+F01-08+F01-09)"&amp;CHAR(10),""),IF(S24&lt;&gt;SUM(S25,S27,S32,S33)," * F01-03 for Age "&amp;R20&amp;" "&amp;S21&amp;" is not equal to the sum of F01-04+F01-05+F01-08+F01-09"&amp;CHAR(10),""),IF(T24&lt;&gt;SUM(T25,T27,T32,T33)," * F01-03 for Age "&amp;T20&amp;" "&amp;T21&amp;" is not equal to the sum of (F01-04+F01-05+F01-08+F01-09)"&amp;CHAR(10),""),IF(U24&lt;&gt;SUM(U25,U27,U32,U33)," * F01-03 for Age "&amp;T20&amp;" "&amp;U21&amp;" is not equal to the sum of F01-04+F01-05+F01-08+F01-09"&amp;CHAR(10),""),IF(V24&lt;&gt;SUM(V25,V27,V32,V33)," * F01-03 for Age "&amp;V20&amp;" "&amp;V21&amp;" is not equal to the sum of (F01-04+F01-05+F01-08+F01-09)"&amp;CHAR(10),""),IF(W24&lt;&gt;SUM(W25,W27,W32,W33)," * F01-03 for Age "&amp;V20&amp;" "&amp;W21&amp;" is not equal to the sum of F01-04+F01-05+F01-08+F01-09"&amp;CHAR(10),""),IF(X24&lt;&gt;SUM(X25,X27,X32,X33)," * F01-03 for Age "&amp;X20&amp;" "&amp;X21&amp;" is not equal to the sum of (F01-04+F01-05+F01-08+F01-09)"&amp;CHAR(10),""),IF(Y24&lt;&gt;SUM(Y25,Y27,Y32,Y33)," * F01-03 for Age "&amp;X20&amp;" "&amp;Y21&amp;" is not equal to the sum of F01-04+F01-05+F01-08+F01-09"&amp;CHAR(10),""),IF(Z24&lt;&gt;SUM(Z25,Z27,Z32,Z33)," * F01-03 for Age "&amp;Z20&amp;" "&amp;Z21&amp;" is not equal to the sum of (F01-04+F01-05+F01-08+F01-09)"&amp;CHAR(10),""),IF(AA24&lt;&gt;SUM(AA25,AA27,AA32,AA33)," * F01-03 for Age "&amp;Z20&amp;" "&amp;AA21&amp;" is not equal to the sum of (F01-04+F01-05+F01-08+F01-09)"&amp;CHAR(10),""))</f>
        <v/>
      </c>
      <c r="AN24" s="1429"/>
      <c r="AO24" s="444">
        <v>23</v>
      </c>
      <c r="AP24" s="80"/>
      <c r="AQ24" s="75"/>
    </row>
    <row r="25" spans="1:43" s="83" customFormat="1" ht="26.25" x14ac:dyDescent="0.4">
      <c r="A25" s="1466"/>
      <c r="B25" s="76" t="s">
        <v>123</v>
      </c>
      <c r="C25" s="526" t="s">
        <v>124</v>
      </c>
      <c r="D25" s="133"/>
      <c r="E25" s="78"/>
      <c r="F25" s="79"/>
      <c r="G25" s="79"/>
      <c r="H25" s="79"/>
      <c r="I25" s="79"/>
      <c r="J25" s="79"/>
      <c r="K25" s="79"/>
      <c r="L25" s="79"/>
      <c r="M25" s="79"/>
      <c r="N25" s="79"/>
      <c r="O25" s="79"/>
      <c r="P25" s="79"/>
      <c r="Q25" s="79"/>
      <c r="R25" s="79"/>
      <c r="S25" s="79"/>
      <c r="T25" s="79"/>
      <c r="U25" s="79"/>
      <c r="V25" s="79"/>
      <c r="W25" s="79"/>
      <c r="X25" s="79"/>
      <c r="Y25" s="79"/>
      <c r="Z25" s="463">
        <f t="shared" si="3"/>
        <v>0</v>
      </c>
      <c r="AA25" s="888">
        <f t="shared" si="3"/>
        <v>0</v>
      </c>
      <c r="AB25" s="375"/>
      <c r="AC25" s="290"/>
      <c r="AD25" s="79"/>
      <c r="AE25" s="290"/>
      <c r="AF25" s="79"/>
      <c r="AG25" s="290"/>
      <c r="AH25" s="79"/>
      <c r="AI25" s="478"/>
      <c r="AJ25" s="171">
        <f t="shared" si="4"/>
        <v>0</v>
      </c>
      <c r="AK25" s="45"/>
      <c r="AL25" s="1312"/>
      <c r="AM25" s="31"/>
      <c r="AN25" s="1429"/>
      <c r="AO25" s="444">
        <v>24</v>
      </c>
      <c r="AP25" s="81"/>
      <c r="AQ25" s="82"/>
    </row>
    <row r="26" spans="1:43" s="83" customFormat="1" ht="26.25" x14ac:dyDescent="0.4">
      <c r="A26" s="1466"/>
      <c r="B26" s="76" t="s">
        <v>951</v>
      </c>
      <c r="C26" s="526" t="s">
        <v>950</v>
      </c>
      <c r="D26" s="133"/>
      <c r="E26" s="78"/>
      <c r="F26" s="79"/>
      <c r="G26" s="79"/>
      <c r="H26" s="79"/>
      <c r="I26" s="79"/>
      <c r="J26" s="79"/>
      <c r="K26" s="79"/>
      <c r="L26" s="78"/>
      <c r="M26" s="78"/>
      <c r="N26" s="78"/>
      <c r="O26" s="78"/>
      <c r="P26" s="78"/>
      <c r="Q26" s="78"/>
      <c r="R26" s="78"/>
      <c r="S26" s="78"/>
      <c r="T26" s="78"/>
      <c r="U26" s="78"/>
      <c r="V26" s="78"/>
      <c r="W26" s="78"/>
      <c r="X26" s="78"/>
      <c r="Y26" s="78"/>
      <c r="Z26" s="78"/>
      <c r="AA26" s="323"/>
      <c r="AB26" s="133"/>
      <c r="AC26" s="323"/>
      <c r="AD26" s="78"/>
      <c r="AE26" s="323"/>
      <c r="AF26" s="78"/>
      <c r="AG26" s="323"/>
      <c r="AH26" s="78"/>
      <c r="AI26" s="349"/>
      <c r="AJ26" s="171">
        <f t="shared" si="4"/>
        <v>0</v>
      </c>
      <c r="AK26" s="281"/>
      <c r="AL26" s="1312"/>
      <c r="AM26" s="31"/>
      <c r="AN26" s="1429"/>
      <c r="AO26" s="444"/>
      <c r="AP26" s="81"/>
      <c r="AQ26" s="82"/>
    </row>
    <row r="27" spans="1:43" s="83" customFormat="1" ht="26.25" x14ac:dyDescent="0.4">
      <c r="A27" s="1466"/>
      <c r="B27" s="76" t="s">
        <v>136</v>
      </c>
      <c r="C27" s="526" t="s">
        <v>125</v>
      </c>
      <c r="D27" s="133"/>
      <c r="E27" s="78"/>
      <c r="F27" s="79"/>
      <c r="G27" s="79"/>
      <c r="H27" s="79"/>
      <c r="I27" s="79"/>
      <c r="J27" s="79"/>
      <c r="K27" s="79"/>
      <c r="L27" s="79"/>
      <c r="M27" s="79"/>
      <c r="N27" s="79"/>
      <c r="O27" s="79"/>
      <c r="P27" s="79"/>
      <c r="Q27" s="79"/>
      <c r="R27" s="79"/>
      <c r="S27" s="79"/>
      <c r="T27" s="79"/>
      <c r="U27" s="79"/>
      <c r="V27" s="79"/>
      <c r="W27" s="79"/>
      <c r="X27" s="79"/>
      <c r="Y27" s="79"/>
      <c r="Z27" s="463">
        <f t="shared" ref="Z27:Z38" si="5">SUM(AB27,AD27,AF27,AH27)</f>
        <v>0</v>
      </c>
      <c r="AA27" s="888">
        <f t="shared" ref="AA27:AA38" si="6">SUM(AC27,AE27,AG27,AI27)</f>
        <v>0</v>
      </c>
      <c r="AB27" s="375"/>
      <c r="AC27" s="79"/>
      <c r="AD27" s="79"/>
      <c r="AE27" s="79"/>
      <c r="AF27" s="79"/>
      <c r="AG27" s="79"/>
      <c r="AH27" s="79"/>
      <c r="AI27" s="478"/>
      <c r="AJ27" s="171">
        <f t="shared" si="4"/>
        <v>0</v>
      </c>
      <c r="AK27" s="1206" t="str">
        <f>CONCATENATE(IF(D28&gt;D27," * Positive F01-06 for Age "&amp;D20&amp;" "&amp;D21&amp;" is more than Tested  F01-05"&amp;CHAR(10),""),IF(E28&gt;E27," * Positive F01-06 for Age "&amp;D20&amp;" "&amp;E21&amp;" is more than Tested  F01-05"&amp;CHAR(10),""),IF(F28&gt;F27," * Positive F01-06 for Age "&amp;F20&amp;" "&amp;F21&amp;" is more than Tested  F01-05"&amp;CHAR(10),""),IF(G28&gt;G27," * Positive F01-06 for Age "&amp;F20&amp;" "&amp;G21&amp;" is more than Tested  F01-05"&amp;CHAR(10),""),IF(H28&gt;H27," * Positive F01-06 for Age "&amp;H20&amp;" "&amp;H21&amp;" is more than Tested  F01-05"&amp;CHAR(10),""),IF(I28&gt;I27," * Positive F01-06 for Age "&amp;H20&amp;" "&amp;I21&amp;" is more than Tested  F01-05"&amp;CHAR(10),""),IF(J28&gt;J27," * Positive F01-06 for Age "&amp;J20&amp;" "&amp;J21&amp;" is more than Tested  F01-05"&amp;CHAR(10),""),IF(K28&gt;K27," * Positive F01-06 for Age "&amp;J20&amp;" "&amp;K21&amp;" is more than Tested  F01-05"&amp;CHAR(10),""),IF(L28&gt;L27," * Positive F01-06 for Age "&amp;L20&amp;" "&amp;L21&amp;" is more than Tested  F01-05"&amp;CHAR(10),""),IF(M28&gt;M27," * Positive F01-06 for Age "&amp;L20&amp;" "&amp;M21&amp;" is more than Tested  F01-05"&amp;CHAR(10),""),IF(N28&gt;N27," * Positive F01-06 for Age "&amp;N20&amp;" "&amp;N21&amp;" is more than Tested  F01-05"&amp;CHAR(10),""),IF(O28&gt;O27," * Positive F01-06 for Age "&amp;N20&amp;" "&amp;O21&amp;" is more than Tested  F01-05"&amp;CHAR(10),""),IF(P28&gt;P27," * Positive F01-06 for Age "&amp;P20&amp;" "&amp;P21&amp;" is more than Tested  F01-05"&amp;CHAR(10),""),IF(Q28&gt;Q27," * Positive F01-06 for Age "&amp;P20&amp;" "&amp;Q21&amp;" is more than Tested  F01-05"&amp;CHAR(10),""),IF(R28&gt;R27," * Positive F01-06 for Age "&amp;R20&amp;" "&amp;R21&amp;" is more than Tested  F01-05"&amp;CHAR(10),""),IF(S28&gt;S27," * Positive F01-06 for Age "&amp;R20&amp;" "&amp;S21&amp;" is more than Tested  F01-05"&amp;CHAR(10),""),IF(T28&gt;T27," * Positive F01-06 for Age "&amp;T20&amp;" "&amp;T21&amp;" is more than Tested  F01-05"&amp;CHAR(10),""),IF(U28&gt;U27," * Positive F01-06 for Age "&amp;T20&amp;" "&amp;U21&amp;" is more than Tested  F01-05"&amp;CHAR(10),""),IF(V28&gt;V27," * Positive F01-06 for Age "&amp;V20&amp;" "&amp;V21&amp;" is more than Tested  F01-05"&amp;CHAR(10),""),IF(W28&gt;W27," * Positive F01-06 for Age "&amp;V20&amp;" "&amp;W21&amp;" is more than Tested  F01-05"&amp;CHAR(10),""),IF(X28&gt;X27," * Positive F01-06 for Age "&amp;X20&amp;" "&amp;X21&amp;" is more than Tested  F01-05"&amp;CHAR(10),""),IF(Y28&gt;Y27," * Positive F01-06 for Age "&amp;X20&amp;" "&amp;Y21&amp;" is more than Tested  F01-05"&amp;CHAR(10),""),IF(Z28&gt;Z27," * Positive F01-06 for Age "&amp;Z20&amp;" "&amp;Z21&amp;" is more than Tested  F01-05"&amp;CHAR(10),""),IF(AA28&gt;AA27," * Positive F01-06 for Age "&amp;Z20&amp;" "&amp;AA21&amp;" is more than Tested  F01-05"&amp;CHAR(10),""))</f>
        <v/>
      </c>
      <c r="AL27" s="1312"/>
      <c r="AM27" s="31" t="str">
        <f>CONCATENATE(IF(AND(IFERROR((AJ28*100)/AJ27,0)&gt;10,AJ28&gt;5)," * This facility has a high positivity rate for Index Testing. Kindly confirm if this is the true reflection"&amp;CHAR(10),""),"")</f>
        <v/>
      </c>
      <c r="AN27" s="1429"/>
      <c r="AO27" s="444">
        <v>25</v>
      </c>
      <c r="AP27" s="81"/>
      <c r="AQ27" s="82"/>
    </row>
    <row r="28" spans="1:43" s="83" customFormat="1" ht="26.25" x14ac:dyDescent="0.4">
      <c r="A28" s="1466"/>
      <c r="B28" s="84" t="s">
        <v>128</v>
      </c>
      <c r="C28" s="526" t="s">
        <v>127</v>
      </c>
      <c r="D28" s="133"/>
      <c r="E28" s="78"/>
      <c r="F28" s="85"/>
      <c r="G28" s="85"/>
      <c r="H28" s="85"/>
      <c r="I28" s="85"/>
      <c r="J28" s="85"/>
      <c r="K28" s="85"/>
      <c r="L28" s="85"/>
      <c r="M28" s="85"/>
      <c r="N28" s="85"/>
      <c r="O28" s="85"/>
      <c r="P28" s="85"/>
      <c r="Q28" s="85"/>
      <c r="R28" s="85"/>
      <c r="S28" s="85"/>
      <c r="T28" s="85"/>
      <c r="U28" s="85"/>
      <c r="V28" s="85"/>
      <c r="W28" s="85"/>
      <c r="X28" s="85"/>
      <c r="Y28" s="85"/>
      <c r="Z28" s="463">
        <f t="shared" si="5"/>
        <v>0</v>
      </c>
      <c r="AA28" s="888">
        <f t="shared" si="6"/>
        <v>0</v>
      </c>
      <c r="AB28" s="889"/>
      <c r="AC28" s="291"/>
      <c r="AD28" s="85"/>
      <c r="AE28" s="291"/>
      <c r="AF28" s="85"/>
      <c r="AG28" s="291"/>
      <c r="AH28" s="85"/>
      <c r="AI28" s="890"/>
      <c r="AJ28" s="347">
        <f>SUM(D28:AA28)</f>
        <v>0</v>
      </c>
      <c r="AK28" s="1206"/>
      <c r="AL28" s="1312"/>
      <c r="AM28" s="31"/>
      <c r="AN28" s="1429"/>
      <c r="AO28" s="444">
        <v>26</v>
      </c>
      <c r="AP28" s="81"/>
      <c r="AQ28" s="82"/>
    </row>
    <row r="29" spans="1:43" s="83" customFormat="1" ht="26.25" x14ac:dyDescent="0.4">
      <c r="A29" s="1466"/>
      <c r="B29" s="1004" t="s">
        <v>610</v>
      </c>
      <c r="C29" s="526" t="s">
        <v>1284</v>
      </c>
      <c r="D29" s="133"/>
      <c r="E29" s="78"/>
      <c r="F29" s="368">
        <f t="shared" ref="F29" si="7">F27-F28</f>
        <v>0</v>
      </c>
      <c r="G29" s="368">
        <f t="shared" ref="G29" si="8">G27-G28</f>
        <v>0</v>
      </c>
      <c r="H29" s="368">
        <f t="shared" ref="H29" si="9">H27-H28</f>
        <v>0</v>
      </c>
      <c r="I29" s="368">
        <f t="shared" ref="I29" si="10">I27-I28</f>
        <v>0</v>
      </c>
      <c r="J29" s="368">
        <f t="shared" ref="J29" si="11">J27-J28</f>
        <v>0</v>
      </c>
      <c r="K29" s="368">
        <f t="shared" ref="K29" si="12">K27-K28</f>
        <v>0</v>
      </c>
      <c r="L29" s="368">
        <f t="shared" ref="L29" si="13">L27-L28</f>
        <v>0</v>
      </c>
      <c r="M29" s="368">
        <f t="shared" ref="M29" si="14">M27-M28</f>
        <v>0</v>
      </c>
      <c r="N29" s="368">
        <f t="shared" ref="N29" si="15">N27-N28</f>
        <v>0</v>
      </c>
      <c r="O29" s="368">
        <f t="shared" ref="O29" si="16">O27-O28</f>
        <v>0</v>
      </c>
      <c r="P29" s="368">
        <f t="shared" ref="P29" si="17">P27-P28</f>
        <v>0</v>
      </c>
      <c r="Q29" s="368">
        <f t="shared" ref="Q29" si="18">Q27-Q28</f>
        <v>0</v>
      </c>
      <c r="R29" s="368">
        <f t="shared" ref="R29" si="19">R27-R28</f>
        <v>0</v>
      </c>
      <c r="S29" s="368">
        <f t="shared" ref="S29" si="20">S27-S28</f>
        <v>0</v>
      </c>
      <c r="T29" s="368">
        <f t="shared" ref="T29" si="21">T27-T28</f>
        <v>0</v>
      </c>
      <c r="U29" s="368">
        <f t="shared" ref="U29" si="22">U27-U28</f>
        <v>0</v>
      </c>
      <c r="V29" s="368">
        <f t="shared" ref="V29" si="23">V27-V28</f>
        <v>0</v>
      </c>
      <c r="W29" s="368">
        <f t="shared" ref="W29" si="24">W27-W28</f>
        <v>0</v>
      </c>
      <c r="X29" s="368">
        <f t="shared" ref="X29" si="25">X27-X28</f>
        <v>0</v>
      </c>
      <c r="Y29" s="368">
        <f t="shared" ref="Y29" si="26">Y27-Y28</f>
        <v>0</v>
      </c>
      <c r="Z29" s="368">
        <f t="shared" ref="Z29" si="27">Z27-Z28</f>
        <v>0</v>
      </c>
      <c r="AA29" s="368">
        <f t="shared" ref="AA29:AB29" si="28">AA27-AA28</f>
        <v>0</v>
      </c>
      <c r="AB29" s="368">
        <f t="shared" si="28"/>
        <v>0</v>
      </c>
      <c r="AC29" s="368">
        <f t="shared" ref="AC29" si="29">AC27-AC28</f>
        <v>0</v>
      </c>
      <c r="AD29" s="368">
        <f t="shared" ref="AD29" si="30">AD27-AD28</f>
        <v>0</v>
      </c>
      <c r="AE29" s="368">
        <f t="shared" ref="AE29" si="31">AE27-AE28</f>
        <v>0</v>
      </c>
      <c r="AF29" s="368">
        <f t="shared" ref="AF29" si="32">AF27-AF28</f>
        <v>0</v>
      </c>
      <c r="AG29" s="368">
        <f t="shared" ref="AG29" si="33">AG27-AG28</f>
        <v>0</v>
      </c>
      <c r="AH29" s="368">
        <f t="shared" ref="AH29" si="34">AH27-AH28</f>
        <v>0</v>
      </c>
      <c r="AI29" s="368">
        <f t="shared" ref="AI29" si="35">AI27-AI28</f>
        <v>0</v>
      </c>
      <c r="AJ29" s="347">
        <f>SUM(D29:AA29)</f>
        <v>0</v>
      </c>
      <c r="AK29" s="910"/>
      <c r="AL29" s="1312"/>
      <c r="AM29" s="31"/>
      <c r="AN29" s="1429"/>
      <c r="AO29" s="444"/>
      <c r="AP29" s="81"/>
      <c r="AQ29" s="82"/>
    </row>
    <row r="30" spans="1:43" s="83" customFormat="1" ht="27" hidden="1" thickBot="1" x14ac:dyDescent="0.45">
      <c r="A30" s="1466"/>
      <c r="B30" s="471" t="s">
        <v>1310</v>
      </c>
      <c r="C30" s="528" t="s">
        <v>1283</v>
      </c>
      <c r="D30" s="932"/>
      <c r="E30" s="933"/>
      <c r="F30" s="933"/>
      <c r="G30" s="933"/>
      <c r="H30" s="933"/>
      <c r="I30" s="933"/>
      <c r="J30" s="933"/>
      <c r="K30" s="933"/>
      <c r="L30" s="225"/>
      <c r="M30" s="225"/>
      <c r="N30" s="225"/>
      <c r="O30" s="225"/>
      <c r="P30" s="225"/>
      <c r="Q30" s="225"/>
      <c r="R30" s="225"/>
      <c r="S30" s="225"/>
      <c r="T30" s="225"/>
      <c r="U30" s="225"/>
      <c r="V30" s="225"/>
      <c r="W30" s="225"/>
      <c r="X30" s="225"/>
      <c r="Y30" s="225"/>
      <c r="Z30" s="463"/>
      <c r="AA30" s="888"/>
      <c r="AB30" s="225"/>
      <c r="AC30" s="225"/>
      <c r="AD30" s="225"/>
      <c r="AE30" s="225"/>
      <c r="AF30" s="225"/>
      <c r="AG30" s="225"/>
      <c r="AH30" s="225"/>
      <c r="AI30" s="225"/>
      <c r="AJ30" s="184">
        <f>SUM(D30:AA30)</f>
        <v>0</v>
      </c>
      <c r="AK30" s="910" t="str">
        <f>CONCATENATE(IF(D30&gt;D29," * HTS Index Negative for Age "&amp;D20&amp;" "&amp;D21&amp;" should be more than or equal to Newly Initiated on Prep"&amp;CHAR(10),""),IF(E30&gt;E29," * HTS Index Negative for Age "&amp;D20&amp;" "&amp;E21&amp;" should be more than or equal to Newly Initiated on Prep"&amp;CHAR(10),""),IF(F30&gt;F29," * HTS Index Negative for Age "&amp;F20&amp;" "&amp;F21&amp;" should be more than or equal to Newly Initiated on Prep"&amp;CHAR(10),""),IF(G30&gt;G29," * HTS Index Negative for Age "&amp;F20&amp;" "&amp;G21&amp;" should be more than or equal to Newly Initiated on Prep"&amp;CHAR(10),""),IF(H30&gt;H29," * HTS Index Negative for Age "&amp;H20&amp;" "&amp;H21&amp;" should be more than or equal to Newly Initiated on Prep"&amp;CHAR(10),""),IF(I30&gt;I29," * HTS Index Negative for Age "&amp;H20&amp;" "&amp;I21&amp;" should be more than or equal to Newly Initiated on Prep"&amp;CHAR(10),""),IF(J30&gt;J29," * HTS Index Negative for Age "&amp;J20&amp;" "&amp;J21&amp;" should be more than or equal to Newly Initiated on Prep"&amp;CHAR(10),""),IF(K30&gt;K29," * HTS Index Negative for Age "&amp;J20&amp;" "&amp;K21&amp;" should be more than or equal to Newly Initiated on Prep"&amp;CHAR(10),""),IF(L30&gt;L29," * HTS Index Negative for Age "&amp;L20&amp;" "&amp;L21&amp;" should be more than or equal to Newly Initiated on Prep"&amp;CHAR(10),""),IF(M30&gt;M29," * HTS Index Negative for Age "&amp;L20&amp;" "&amp;M21&amp;" should be more than or equal to Newly Initiated on Prep"&amp;CHAR(10),""),IF(N30&gt;N29," * HTS Index Negative for Age "&amp;N20&amp;" "&amp;N21&amp;" should be more than or equal to Newly Initiated on Prep"&amp;CHAR(10),""),IF(O30&gt;O29," * HTS Index Negative for Age "&amp;N20&amp;" "&amp;O21&amp;" should be more than or equal to Newly Initiated on Prep"&amp;CHAR(10),""),IF(P30&gt;P29," * HTS Index Negative for Age "&amp;P20&amp;" "&amp;P21&amp;" should be more than or equal to Newly Initiated on Prep"&amp;CHAR(10),""),IF(Q30&gt;Q29," * HTS Index Negative for Age "&amp;P20&amp;" "&amp;Q21&amp;" should be more than or equal to Newly Initiated on Prep"&amp;CHAR(10),""),IF(R30&gt;R29," * HTS Index Negative for Age "&amp;R20&amp;" "&amp;R21&amp;" should be more than or equal to Newly Initiated on Prep"&amp;CHAR(10),""),IF(S30&gt;S29," * HTS Index Negative for Age "&amp;R20&amp;" "&amp;S21&amp;" should be more than or equal to Newly Initiated on Prep"&amp;CHAR(10),""),IF(T30&gt;T29," * HTS Index Negative for Age "&amp;T20&amp;" "&amp;T21&amp;" should be more than or equal to Newly Initiated on Prep"&amp;CHAR(10),""),IF(U30&gt;U29," * HTS Index Negative for Age "&amp;T20&amp;" "&amp;U21&amp;" should be more than or equal to Newly Initiated on Prep"&amp;CHAR(10),""),IF(V30&gt;V29," * HTS Index Negative for Age "&amp;V20&amp;" "&amp;V21&amp;" should be more than or equal to Newly Initiated on Prep"&amp;CHAR(10),""),IF(W30&gt;W29," * HTS Index Negative for Age "&amp;V20&amp;" "&amp;W21&amp;" should be more than or equal to Newly Initiated on Prep"&amp;CHAR(10),""),IF(X30&gt;X29," * HTS Index Negative for Age "&amp;X20&amp;" "&amp;X21&amp;" should be more than or equal to Newly Initiated on Prep"&amp;CHAR(10),""),IF(Y30&gt;Y29," * HTS Index Negative for Age "&amp;X20&amp;" "&amp;Y21&amp;" should be more than or equal to Newly Initiated on Prep"&amp;CHAR(10),""),IF(Z30&gt;Z29," * HTS Index Negative for Age "&amp;Z20&amp;" "&amp;Z21&amp;" should be more than or equal to Newly Initiated on Prep"&amp;CHAR(10),""),IF(AA30&gt;AA29," * HTS Index Negative for Age "&amp;Z20&amp;" "&amp;AA21&amp;" should be more than or equal to Newly Initiated on Prep"&amp;CHAR(10),""))</f>
        <v/>
      </c>
      <c r="AL30" s="1312"/>
      <c r="AM30" s="31"/>
      <c r="AN30" s="1429"/>
      <c r="AO30" s="444"/>
      <c r="AP30" s="81"/>
      <c r="AQ30" s="82"/>
    </row>
    <row r="31" spans="1:43" s="83" customFormat="1" ht="26.25" x14ac:dyDescent="0.4">
      <c r="A31" s="1466"/>
      <c r="B31" s="76" t="s">
        <v>129</v>
      </c>
      <c r="C31" s="526" t="s">
        <v>130</v>
      </c>
      <c r="D31" s="133"/>
      <c r="E31" s="78"/>
      <c r="F31" s="79"/>
      <c r="G31" s="79"/>
      <c r="H31" s="79"/>
      <c r="I31" s="79"/>
      <c r="J31" s="79"/>
      <c r="K31" s="79"/>
      <c r="L31" s="79"/>
      <c r="M31" s="79"/>
      <c r="N31" s="79"/>
      <c r="O31" s="79"/>
      <c r="P31" s="79"/>
      <c r="Q31" s="79"/>
      <c r="R31" s="79"/>
      <c r="S31" s="79"/>
      <c r="T31" s="79"/>
      <c r="U31" s="79"/>
      <c r="V31" s="79"/>
      <c r="W31" s="79"/>
      <c r="X31" s="79"/>
      <c r="Y31" s="79"/>
      <c r="Z31" s="463">
        <f t="shared" si="5"/>
        <v>0</v>
      </c>
      <c r="AA31" s="888">
        <f t="shared" si="6"/>
        <v>0</v>
      </c>
      <c r="AB31" s="375"/>
      <c r="AC31" s="290"/>
      <c r="AD31" s="79"/>
      <c r="AE31" s="290"/>
      <c r="AF31" s="79"/>
      <c r="AG31" s="290"/>
      <c r="AH31" s="79"/>
      <c r="AI31" s="478"/>
      <c r="AJ31" s="171">
        <f t="shared" ref="AJ31:AJ59" si="36">SUM(D31:AA31)</f>
        <v>0</v>
      </c>
      <c r="AK31" s="45"/>
      <c r="AL31" s="1312"/>
      <c r="AM31" s="31"/>
      <c r="AN31" s="1429"/>
      <c r="AO31" s="444">
        <v>27</v>
      </c>
      <c r="AP31" s="81"/>
      <c r="AQ31" s="82"/>
    </row>
    <row r="32" spans="1:43" s="83" customFormat="1" ht="26.25" x14ac:dyDescent="0.4">
      <c r="A32" s="1466"/>
      <c r="B32" s="76" t="s">
        <v>593</v>
      </c>
      <c r="C32" s="526" t="s">
        <v>131</v>
      </c>
      <c r="D32" s="346"/>
      <c r="E32" s="86"/>
      <c r="F32" s="79"/>
      <c r="G32" s="79"/>
      <c r="H32" s="79"/>
      <c r="I32" s="79"/>
      <c r="J32" s="79"/>
      <c r="K32" s="79"/>
      <c r="L32" s="79"/>
      <c r="M32" s="79"/>
      <c r="N32" s="79"/>
      <c r="O32" s="79"/>
      <c r="P32" s="79"/>
      <c r="Q32" s="79"/>
      <c r="R32" s="79"/>
      <c r="S32" s="79"/>
      <c r="T32" s="79"/>
      <c r="U32" s="79"/>
      <c r="V32" s="79"/>
      <c r="W32" s="79"/>
      <c r="X32" s="79"/>
      <c r="Y32" s="79"/>
      <c r="Z32" s="463">
        <f t="shared" si="5"/>
        <v>0</v>
      </c>
      <c r="AA32" s="888">
        <f t="shared" si="6"/>
        <v>0</v>
      </c>
      <c r="AB32" s="375"/>
      <c r="AC32" s="79"/>
      <c r="AD32" s="79"/>
      <c r="AE32" s="79"/>
      <c r="AF32" s="79"/>
      <c r="AG32" s="79"/>
      <c r="AH32" s="79"/>
      <c r="AI32" s="478"/>
      <c r="AJ32" s="171">
        <f t="shared" si="36"/>
        <v>0</v>
      </c>
      <c r="AK32" s="45"/>
      <c r="AL32" s="1312"/>
      <c r="AM32" s="31"/>
      <c r="AN32" s="1429"/>
      <c r="AO32" s="444">
        <v>28</v>
      </c>
      <c r="AP32" s="81"/>
      <c r="AQ32" s="82"/>
    </row>
    <row r="33" spans="1:43" s="83" customFormat="1" ht="27" thickBot="1" x14ac:dyDescent="0.45">
      <c r="A33" s="1466"/>
      <c r="B33" s="76" t="s">
        <v>1118</v>
      </c>
      <c r="C33" s="526" t="s">
        <v>1119</v>
      </c>
      <c r="D33" s="346"/>
      <c r="E33" s="86"/>
      <c r="F33" s="79"/>
      <c r="G33" s="79"/>
      <c r="H33" s="79"/>
      <c r="I33" s="79"/>
      <c r="J33" s="79"/>
      <c r="K33" s="79"/>
      <c r="L33" s="79"/>
      <c r="M33" s="79"/>
      <c r="N33" s="79"/>
      <c r="O33" s="79"/>
      <c r="P33" s="79"/>
      <c r="Q33" s="79"/>
      <c r="R33" s="79"/>
      <c r="S33" s="79"/>
      <c r="T33" s="79"/>
      <c r="U33" s="79"/>
      <c r="V33" s="79"/>
      <c r="W33" s="79"/>
      <c r="X33" s="79"/>
      <c r="Y33" s="79"/>
      <c r="Z33" s="463">
        <f t="shared" si="5"/>
        <v>0</v>
      </c>
      <c r="AA33" s="888">
        <f t="shared" si="6"/>
        <v>0</v>
      </c>
      <c r="AB33" s="375"/>
      <c r="AC33" s="79"/>
      <c r="AD33" s="79"/>
      <c r="AE33" s="79"/>
      <c r="AF33" s="79"/>
      <c r="AG33" s="79"/>
      <c r="AH33" s="79"/>
      <c r="AI33" s="478"/>
      <c r="AJ33" s="184">
        <f t="shared" si="36"/>
        <v>0</v>
      </c>
      <c r="AK33" s="45"/>
      <c r="AL33" s="1312"/>
      <c r="AM33" s="31"/>
      <c r="AN33" s="1429"/>
      <c r="AO33" s="444">
        <v>29</v>
      </c>
      <c r="AP33" s="81"/>
      <c r="AQ33" s="82"/>
    </row>
    <row r="34" spans="1:43" s="83" customFormat="1" ht="27" thickBot="1" x14ac:dyDescent="0.45">
      <c r="A34" s="1467"/>
      <c r="B34" s="87" t="s">
        <v>132</v>
      </c>
      <c r="C34" s="548" t="s">
        <v>133</v>
      </c>
      <c r="D34" s="344"/>
      <c r="E34" s="88"/>
      <c r="F34" s="89"/>
      <c r="G34" s="89"/>
      <c r="H34" s="89"/>
      <c r="I34" s="89"/>
      <c r="J34" s="89"/>
      <c r="K34" s="89"/>
      <c r="L34" s="89"/>
      <c r="M34" s="89"/>
      <c r="N34" s="89"/>
      <c r="O34" s="89"/>
      <c r="P34" s="89"/>
      <c r="Q34" s="89"/>
      <c r="R34" s="89"/>
      <c r="S34" s="89"/>
      <c r="T34" s="89"/>
      <c r="U34" s="89"/>
      <c r="V34" s="89"/>
      <c r="W34" s="89"/>
      <c r="X34" s="89"/>
      <c r="Y34" s="89"/>
      <c r="Z34" s="463">
        <f t="shared" si="5"/>
        <v>0</v>
      </c>
      <c r="AA34" s="888">
        <f t="shared" si="6"/>
        <v>0</v>
      </c>
      <c r="AB34" s="376"/>
      <c r="AC34" s="89"/>
      <c r="AD34" s="89"/>
      <c r="AE34" s="89"/>
      <c r="AF34" s="89"/>
      <c r="AG34" s="89"/>
      <c r="AH34" s="89"/>
      <c r="AI34" s="891"/>
      <c r="AJ34" s="184">
        <f>SUM(D34:AA34)</f>
        <v>0</v>
      </c>
      <c r="AK34" s="547"/>
      <c r="AL34" s="1312"/>
      <c r="AM34" s="31"/>
      <c r="AN34" s="1429"/>
      <c r="AO34" s="444">
        <v>29</v>
      </c>
      <c r="AP34" s="81"/>
      <c r="AQ34" s="82"/>
    </row>
    <row r="35" spans="1:43" s="83" customFormat="1" ht="26.25" x14ac:dyDescent="0.4">
      <c r="A35" s="1244" t="s">
        <v>13</v>
      </c>
      <c r="B35" s="273" t="s">
        <v>136</v>
      </c>
      <c r="C35" s="525" t="s">
        <v>135</v>
      </c>
      <c r="D35" s="271"/>
      <c r="E35" s="93"/>
      <c r="F35" s="94"/>
      <c r="G35" s="94"/>
      <c r="H35" s="94"/>
      <c r="I35" s="94"/>
      <c r="J35" s="94"/>
      <c r="K35" s="94"/>
      <c r="L35" s="94"/>
      <c r="M35" s="94"/>
      <c r="N35" s="94"/>
      <c r="O35" s="94"/>
      <c r="P35" s="94"/>
      <c r="Q35" s="94"/>
      <c r="R35" s="94"/>
      <c r="S35" s="94"/>
      <c r="T35" s="94"/>
      <c r="U35" s="94"/>
      <c r="V35" s="94"/>
      <c r="W35" s="94"/>
      <c r="X35" s="94"/>
      <c r="Y35" s="94"/>
      <c r="Z35" s="463">
        <f t="shared" si="5"/>
        <v>0</v>
      </c>
      <c r="AA35" s="888">
        <f t="shared" si="6"/>
        <v>0</v>
      </c>
      <c r="AB35" s="374"/>
      <c r="AC35" s="293"/>
      <c r="AD35" s="94"/>
      <c r="AE35" s="293"/>
      <c r="AF35" s="94"/>
      <c r="AG35" s="293"/>
      <c r="AH35" s="94"/>
      <c r="AI35" s="477"/>
      <c r="AJ35" s="183">
        <f t="shared" si="36"/>
        <v>0</v>
      </c>
      <c r="AK35" s="1206" t="str">
        <f>CONCATENATE(IF(D36&gt;D35," * Positive F01-11 for Age "&amp;D20&amp;" "&amp;D21&amp;" is more than Tested  F01-10"&amp;CHAR(10),""),IF(E36&gt;E35," * Positive F01-11 for Age "&amp;D20&amp;" "&amp;E21&amp;" is more than Tested  F01-10"&amp;CHAR(10),""),IF(F36&gt;F35," * Positive F01-11 for Age "&amp;F20&amp;" "&amp;F21&amp;" is more than Tested  F01-10"&amp;CHAR(10),""),IF(G36&gt;G35," * Positive F01-11 for Age "&amp;F20&amp;" "&amp;G21&amp;" is more than Tested  F01-10"&amp;CHAR(10),""),IF(H36&gt;H35," * Positive F01-11 for Age "&amp;H20&amp;" "&amp;H21&amp;" is more than Tested  F01-10"&amp;CHAR(10),""),IF(I36&gt;I35," * Positive F01-11 for Age "&amp;H20&amp;" "&amp;I21&amp;" is more than Tested  F01-10"&amp;CHAR(10),""),IF(J36&gt;J35," * Positive F01-11 for Age "&amp;J20&amp;" "&amp;J21&amp;" is more than Tested  F01-10"&amp;CHAR(10),""),IF(K36&gt;K35," * Positive F01-11 for Age "&amp;J20&amp;" "&amp;K21&amp;" is more than Tested  F01-10"&amp;CHAR(10),""),IF(L36&gt;L35," * Positive F01-11 for Age "&amp;L20&amp;" "&amp;L21&amp;" is more than Tested  F01-10"&amp;CHAR(10),""),IF(M36&gt;M35," * Positive F01-11 for Age "&amp;L20&amp;" "&amp;M21&amp;" is more than Tested  F01-10"&amp;CHAR(10),""),IF(N36&gt;N35," * Positive F01-11 for Age "&amp;N20&amp;" "&amp;N21&amp;" is more than Tested  F01-10"&amp;CHAR(10),""),IF(O36&gt;O35," * Positive F01-11 for Age "&amp;N20&amp;" "&amp;O21&amp;" is more than Tested  F01-10"&amp;CHAR(10),""),IF(P36&gt;P35," * Positive F01-11 for Age "&amp;P20&amp;" "&amp;P21&amp;" is more than Tested  F01-10"&amp;CHAR(10),""),IF(Q36&gt;Q35," * Positive F01-11 for Age "&amp;P20&amp;" "&amp;Q21&amp;" is more than Tested  F01-10"&amp;CHAR(10),""),IF(R36&gt;R35," * Positive F01-11 for Age "&amp;R20&amp;" "&amp;R21&amp;" is more than Tested  F01-10"&amp;CHAR(10),""),IF(S36&gt;S35," * Positive F01-11 for Age "&amp;R20&amp;" "&amp;S21&amp;" is more than Tested  F01-10"&amp;CHAR(10),""),IF(T36&gt;T35," * Positive F01-11 for Age "&amp;T20&amp;" "&amp;T21&amp;" is more than Tested  F01-10"&amp;CHAR(10),""),IF(U36&gt;U35," * Positive F01-11 for Age "&amp;T20&amp;" "&amp;U21&amp;" is more than Tested  F01-10"&amp;CHAR(10),""),IF(V36&gt;V35," * Positive F01-11 for Age "&amp;V20&amp;" "&amp;V21&amp;" is more than Tested  F01-10"&amp;CHAR(10),""),IF(W36&gt;W35," * Positive F01-11 for Age "&amp;V20&amp;" "&amp;W21&amp;" is more than Tested  F01-10"&amp;CHAR(10),""),IF(X36&gt;X35," * Positive F01-11 for Age "&amp;X20&amp;" "&amp;X21&amp;" is more than Tested  F01-10"&amp;CHAR(10),""),IF(Y36&gt;Y35," * Positive F01-11 for Age "&amp;X20&amp;" "&amp;Y21&amp;" is more than Tested  F01-10"&amp;CHAR(10),""),IF(Z36&gt;Z35," * Positive F01-11 for Age "&amp;Z20&amp;" "&amp;Z21&amp;" is more than Tested  F01-10"&amp;CHAR(10),""),IF(AA36&gt;AA35," * Positive F01-11 for Age "&amp;Z20&amp;" "&amp;AA21&amp;" is more than Tested  F01-10"&amp;CHAR(10),""),IF(AJ36&gt;AJ35," * Total Positive F01-11 is more than Total Tested  F01-10"&amp;CHAR(10),""))</f>
        <v/>
      </c>
      <c r="AL35" s="1312"/>
      <c r="AM35" s="31" t="str">
        <f>CONCATENATE(IF(AND(IFERROR((AJ36*100)/AJ35,0)&gt;10,AJ36&gt;5)," * This facility has a high positivity rate for Index Testing. Kindly confirm if this is the true reflection"&amp;CHAR(10),""),"")</f>
        <v/>
      </c>
      <c r="AN35" s="1429"/>
      <c r="AO35" s="444">
        <v>30</v>
      </c>
      <c r="AP35" s="81"/>
      <c r="AQ35" s="82"/>
    </row>
    <row r="36" spans="1:43" s="83" customFormat="1" ht="27" thickBot="1" x14ac:dyDescent="0.45">
      <c r="A36" s="1245"/>
      <c r="B36" s="274" t="s">
        <v>128</v>
      </c>
      <c r="C36" s="527" t="s">
        <v>137</v>
      </c>
      <c r="D36" s="272"/>
      <c r="E36" s="96"/>
      <c r="F36" s="97"/>
      <c r="G36" s="97"/>
      <c r="H36" s="97"/>
      <c r="I36" s="97"/>
      <c r="J36" s="97"/>
      <c r="K36" s="97"/>
      <c r="L36" s="97"/>
      <c r="M36" s="97"/>
      <c r="N36" s="97"/>
      <c r="O36" s="97"/>
      <c r="P36" s="97"/>
      <c r="Q36" s="97"/>
      <c r="R36" s="97"/>
      <c r="S36" s="97"/>
      <c r="T36" s="97"/>
      <c r="U36" s="97"/>
      <c r="V36" s="97"/>
      <c r="W36" s="97"/>
      <c r="X36" s="97"/>
      <c r="Y36" s="97"/>
      <c r="Z36" s="463">
        <f t="shared" si="5"/>
        <v>0</v>
      </c>
      <c r="AA36" s="888">
        <f t="shared" si="6"/>
        <v>0</v>
      </c>
      <c r="AB36" s="892"/>
      <c r="AC36" s="294"/>
      <c r="AD36" s="97"/>
      <c r="AE36" s="294"/>
      <c r="AF36" s="97"/>
      <c r="AG36" s="294"/>
      <c r="AH36" s="97"/>
      <c r="AI36" s="893"/>
      <c r="AJ36" s="341">
        <f t="shared" si="36"/>
        <v>0</v>
      </c>
      <c r="AK36" s="1206"/>
      <c r="AL36" s="1312"/>
      <c r="AM36" s="31"/>
      <c r="AN36" s="1429"/>
      <c r="AO36" s="444">
        <v>31</v>
      </c>
      <c r="AP36" s="81"/>
      <c r="AQ36" s="82"/>
    </row>
    <row r="37" spans="1:43" s="83" customFormat="1" ht="26.25" x14ac:dyDescent="0.4">
      <c r="A37" s="1244" t="s">
        <v>14</v>
      </c>
      <c r="B37" s="91" t="s">
        <v>136</v>
      </c>
      <c r="C37" s="525" t="s">
        <v>138</v>
      </c>
      <c r="D37" s="70"/>
      <c r="E37" s="71"/>
      <c r="F37" s="72"/>
      <c r="G37" s="72"/>
      <c r="H37" s="72"/>
      <c r="I37" s="72"/>
      <c r="J37" s="72"/>
      <c r="K37" s="72"/>
      <c r="L37" s="72"/>
      <c r="M37" s="72"/>
      <c r="N37" s="72"/>
      <c r="O37" s="72"/>
      <c r="P37" s="72"/>
      <c r="Q37" s="72"/>
      <c r="R37" s="72"/>
      <c r="S37" s="72"/>
      <c r="T37" s="72"/>
      <c r="U37" s="72"/>
      <c r="V37" s="72"/>
      <c r="W37" s="72"/>
      <c r="X37" s="72"/>
      <c r="Y37" s="72"/>
      <c r="Z37" s="463">
        <f t="shared" si="5"/>
        <v>0</v>
      </c>
      <c r="AA37" s="888">
        <f t="shared" si="6"/>
        <v>0</v>
      </c>
      <c r="AB37" s="501"/>
      <c r="AC37" s="289"/>
      <c r="AD37" s="72"/>
      <c r="AE37" s="289"/>
      <c r="AF37" s="72"/>
      <c r="AG37" s="289"/>
      <c r="AH37" s="72"/>
      <c r="AI37" s="894"/>
      <c r="AJ37" s="52">
        <f t="shared" si="36"/>
        <v>0</v>
      </c>
      <c r="AK37" s="1206" t="str">
        <f>CONCATENATE(IF(D38&gt;D37," * Positive F01-13 for Age "&amp;D20&amp;" "&amp;D21&amp;" is more than Tested F01-12"&amp;CHAR(10),""),IF(E38&gt;E37," * Positive F01-13 for Age "&amp;D20&amp;" "&amp;E21&amp;" is more than Tested F01-12"&amp;CHAR(10),""),IF(F38&gt;F37," * Positive F01-13 for Age "&amp;F20&amp;" "&amp;F21&amp;" is more than Tested F01-12"&amp;CHAR(10),""),IF(G38&gt;G37," * Positive F01-13 for Age "&amp;F20&amp;" "&amp;G21&amp;" is more than Tested F01-12"&amp;CHAR(10),""),IF(H38&gt;H37," * Positive F01-13 for Age "&amp;H20&amp;" "&amp;H21&amp;" is more than Tested F01-12"&amp;CHAR(10),""),IF(I38&gt;I37," * Positive F01-13 for Age "&amp;H20&amp;" "&amp;I21&amp;" is more than Tested F01-12"&amp;CHAR(10),""),IF(J38&gt;J37," * Positive F01-13 for Age "&amp;J20&amp;" "&amp;J21&amp;" is more than Tested F01-12"&amp;CHAR(10),""),IF(K38&gt;K37," * Positive F01-13 for Age "&amp;J20&amp;" "&amp;K21&amp;" is more than Tested F01-12"&amp;CHAR(10),""),IF(L38&gt;L37," * Positive F01-13 for Age "&amp;L20&amp;" "&amp;L21&amp;" is more than Tested F01-12"&amp;CHAR(10),""),IF(M38&gt;M37," * Positive F01-13 for Age "&amp;L20&amp;" "&amp;M21&amp;" is more than Tested F01-12"&amp;CHAR(10),""),IF(N38&gt;N37," * Positive F01-13 for Age "&amp;N20&amp;" "&amp;N21&amp;" is more than Tested F01-12"&amp;CHAR(10),""),IF(O38&gt;O37," * Positive F01-13 for Age "&amp;N20&amp;" "&amp;O21&amp;" is more than Tested F01-12"&amp;CHAR(10),""),IF(P38&gt;P37," * Positive F01-13 for Age "&amp;P20&amp;" "&amp;P21&amp;" is more than Tested F01-12"&amp;CHAR(10),""),IF(Q38&gt;Q37," * Positive F01-13 for Age "&amp;P20&amp;" "&amp;Q21&amp;" is more than Tested F01-12"&amp;CHAR(10),""),IF(R38&gt;R37," * Positive F01-13 for Age "&amp;R20&amp;" "&amp;R21&amp;" is more than Tested F01-12"&amp;CHAR(10),""),IF(S38&gt;S37," * Positive F01-13 for Age "&amp;R20&amp;" "&amp;S21&amp;" is more than Tested F01-12"&amp;CHAR(10),""),IF(T38&gt;T37," * Positive F01-13 for Age "&amp;T20&amp;" "&amp;T21&amp;" is more than Tested F01-12"&amp;CHAR(10),""),IF(U38&gt;U37," * Positive F01-13 for Age "&amp;T20&amp;" "&amp;U21&amp;" is more than Tested F01-12"&amp;CHAR(10),""),IF(V38&gt;V37," * Positive F01-13 for Age "&amp;V20&amp;" "&amp;V21&amp;" is more than Tested F01-12"&amp;CHAR(10),""),IF(W38&gt;W37," * Positive F01-13 for Age "&amp;V20&amp;" "&amp;W21&amp;" is more than Tested F01-12"&amp;CHAR(10),""),IF(X38&gt;X37," * Positive F01-13 for Age "&amp;X20&amp;" "&amp;X21&amp;" is more than Tested F01-12"&amp;CHAR(10),""),IF(Y38&gt;Y37," * Positive F01-13 for Age "&amp;X20&amp;" "&amp;Y21&amp;" is more than Tested F01-12"&amp;CHAR(10),""),IF(Z38&gt;Z37," * Positive F01-13 for Age "&amp;Z20&amp;" "&amp;Z21&amp;" is more than Tested F01-12"&amp;CHAR(10),""),IF(AA38&gt;AA37," * Positive F01-13 for Age "&amp;Z20&amp;" "&amp;AA21&amp;" is more than Tested F01-12"&amp;CHAR(10),""))</f>
        <v/>
      </c>
      <c r="AL37" s="1312"/>
      <c r="AM37" s="31" t="str">
        <f>CONCATENATE(IF(AND(IFERROR((AJ38*100)/AJ37,0)&gt;10,AJ38&gt;5)," * This facility has a high positivity rate for Index Testing. Kindly confirm if this is the true reflection"&amp;CHAR(10),""),"")</f>
        <v/>
      </c>
      <c r="AN37" s="1429"/>
      <c r="AO37" s="444">
        <v>32</v>
      </c>
      <c r="AP37" s="81"/>
      <c r="AQ37" s="82"/>
    </row>
    <row r="38" spans="1:43" s="83" customFormat="1" ht="27" thickBot="1" x14ac:dyDescent="0.45">
      <c r="A38" s="1245"/>
      <c r="B38" s="95" t="s">
        <v>128</v>
      </c>
      <c r="C38" s="527" t="s">
        <v>139</v>
      </c>
      <c r="D38" s="100"/>
      <c r="E38" s="101"/>
      <c r="F38" s="97"/>
      <c r="G38" s="97"/>
      <c r="H38" s="97"/>
      <c r="I38" s="97"/>
      <c r="J38" s="97"/>
      <c r="K38" s="97"/>
      <c r="L38" s="97"/>
      <c r="M38" s="97"/>
      <c r="N38" s="97"/>
      <c r="O38" s="97"/>
      <c r="P38" s="97"/>
      <c r="Q38" s="97"/>
      <c r="R38" s="97"/>
      <c r="S38" s="97"/>
      <c r="T38" s="97"/>
      <c r="U38" s="97"/>
      <c r="V38" s="97"/>
      <c r="W38" s="97"/>
      <c r="X38" s="97"/>
      <c r="Y38" s="97"/>
      <c r="Z38" s="463">
        <f t="shared" si="5"/>
        <v>0</v>
      </c>
      <c r="AA38" s="888">
        <f t="shared" si="6"/>
        <v>0</v>
      </c>
      <c r="AB38" s="892"/>
      <c r="AC38" s="294"/>
      <c r="AD38" s="97"/>
      <c r="AE38" s="294"/>
      <c r="AF38" s="97"/>
      <c r="AG38" s="294"/>
      <c r="AH38" s="97"/>
      <c r="AI38" s="893"/>
      <c r="AJ38" s="341">
        <f t="shared" si="36"/>
        <v>0</v>
      </c>
      <c r="AK38" s="1206"/>
      <c r="AL38" s="1312"/>
      <c r="AM38" s="31" t="str">
        <f>CONCATENATE(IF(D37&gt;0," * F01-12 for Age "&amp;D20&amp;" "&amp;D21&amp;" has a value greater than 0"&amp;CHAR(10),""),IF(E37&gt;0," * F01-12 for Age "&amp;D20&amp;" "&amp;E21&amp;" has a value greater than 0"&amp;CHAR(10),""),IF(D38&gt;0," * F01-13 for Age "&amp;D20&amp;" "&amp;D21&amp;" has a value greater than 0"&amp;CHAR(10),""),IF(E38&gt;0," * F01-13 for Age "&amp;D20&amp;" "&amp;E21&amp;" has a value greater than 0"&amp;CHAR(10),""),IF(D39&gt;0," * F01-14 for Age "&amp;D20&amp;" "&amp;D21&amp;" has a value greater than 0"&amp;CHAR(10),""),IF(E39&gt;0," * F01-14 for Age "&amp;D20&amp;" "&amp;E21&amp;" has a value greater than 0"&amp;CHAR(10),""),IF(D40&gt;0," * F01-15 for Age "&amp;D20&amp;" "&amp;D21&amp;" has a value greater than 0"&amp;CHAR(10),""),IF(E40&gt;0," * F01-15 for Age "&amp;D20&amp;" "&amp;E21&amp;" has a value greater than 0"&amp;CHAR(10),""),IF(D45&gt;0," * F01-20 for Age "&amp;D20&amp;" "&amp;D21&amp;" has a value greater than 0"&amp;CHAR(10),""),IF(E45&gt;0," * F01-20 for Age "&amp;D20&amp;" "&amp;E21&amp;" has a value greater than 0"&amp;CHAR(10),""),IF(D46&gt;0," * F01-21 for Age "&amp;D20&amp;" "&amp;D21&amp;" has a value greater than 0"&amp;CHAR(10),""),IF(E46&gt;0," * F01-21 for Age "&amp;D20&amp;" "&amp;E21&amp;" has a value greater than 0"&amp;CHAR(10),""),IF(D47&gt;0," * F01-22 for Age "&amp;D20&amp;" "&amp;D21&amp;" has a value greater than 0"&amp;CHAR(10),""),IF(E47&gt;0," * F01-22 for Age "&amp;D20&amp;" "&amp;E21&amp;" has a value greater than 0"&amp;CHAR(10),""),IF(D48&gt;0," * F01-23 for Age "&amp;D20&amp;" "&amp;D21&amp;" has a value greater than 0"&amp;CHAR(10),""),IF(E48&gt;0," * F01-23 for Age "&amp;D20&amp;" "&amp;E21&amp;" has a value greater than 0"&amp;CHAR(10),""),"")</f>
        <v/>
      </c>
      <c r="AN38" s="1429"/>
      <c r="AO38" s="444">
        <v>33</v>
      </c>
      <c r="AP38" s="81"/>
      <c r="AQ38" s="82"/>
    </row>
    <row r="39" spans="1:43" ht="26.25" x14ac:dyDescent="0.4">
      <c r="A39" s="1244" t="s">
        <v>15</v>
      </c>
      <c r="B39" s="91" t="s">
        <v>136</v>
      </c>
      <c r="C39" s="525" t="s">
        <v>140</v>
      </c>
      <c r="D39" s="98"/>
      <c r="E39" s="99"/>
      <c r="F39" s="94"/>
      <c r="G39" s="94"/>
      <c r="H39" s="99"/>
      <c r="I39" s="99"/>
      <c r="J39" s="99"/>
      <c r="K39" s="99"/>
      <c r="L39" s="99"/>
      <c r="M39" s="99"/>
      <c r="N39" s="99"/>
      <c r="O39" s="99"/>
      <c r="P39" s="99"/>
      <c r="Q39" s="99"/>
      <c r="R39" s="99"/>
      <c r="S39" s="99"/>
      <c r="T39" s="99"/>
      <c r="U39" s="99"/>
      <c r="V39" s="99"/>
      <c r="W39" s="99"/>
      <c r="X39" s="99"/>
      <c r="Y39" s="99"/>
      <c r="Z39" s="99"/>
      <c r="AA39" s="295"/>
      <c r="AB39" s="99"/>
      <c r="AC39" s="295"/>
      <c r="AD39" s="99"/>
      <c r="AE39" s="295"/>
      <c r="AF39" s="99"/>
      <c r="AG39" s="295"/>
      <c r="AH39" s="99"/>
      <c r="AI39" s="295"/>
      <c r="AJ39" s="183">
        <f t="shared" si="36"/>
        <v>0</v>
      </c>
      <c r="AK39" s="1206" t="str">
        <f>CONCATENATE(IF(D40&gt;D39," * Positive F01-15 for Age "&amp;D20&amp;" "&amp;D21&amp;" is more than Tested F01-14"&amp;CHAR(10),""),IF(E40&gt;E39," * Positive F01-15 for Age "&amp;D20&amp;" "&amp;E21&amp;" is more than Tested F01-14"&amp;CHAR(10),""),IF(F40&gt;F39," * Positive F01-15 for Age "&amp;F20&amp;" "&amp;F21&amp;" is more than Tested F01-14"&amp;CHAR(10),""),IF(G40&gt;G39," * Positive F01-15 for Age "&amp;F20&amp;" "&amp;G21&amp;" is more than Tested F01-14"&amp;CHAR(10),""),IF(H40&gt;H39," * Positive F01-15 for Age "&amp;H20&amp;" "&amp;H21&amp;" is more than Tested F01-14"&amp;CHAR(10),""),IF(I40&gt;I39," * Positive F01-15 for Age "&amp;H20&amp;" "&amp;I21&amp;" is more than Tested F01-14"&amp;CHAR(10),""),IF(J40&gt;J39," * Positive F01-15 for Age "&amp;J20&amp;" "&amp;J21&amp;" is more than Tested F01-14"&amp;CHAR(10),""),IF(K40&gt;K39," * Positive F01-15 for Age "&amp;J20&amp;" "&amp;K21&amp;" is more than Tested F01-14"&amp;CHAR(10),""),IF(L40&gt;L39," * Positive F01-15 for Age "&amp;L20&amp;" "&amp;L21&amp;" is more than Tested F01-14"&amp;CHAR(10),""),IF(M40&gt;M39," * Positive F01-15 for Age "&amp;L20&amp;" "&amp;M21&amp;" is more than Tested F01-14"&amp;CHAR(10),""),IF(N40&gt;N39," * Positive F01-15 for Age "&amp;N20&amp;" "&amp;N21&amp;" is more than Tested F01-14"&amp;CHAR(10),""),IF(O40&gt;O39," * Positive F01-15 for Age "&amp;N20&amp;" "&amp;O21&amp;" is more than Tested F01-14"&amp;CHAR(10),""),IF(P40&gt;P39," * Positive F01-15 for Age "&amp;P20&amp;" "&amp;P21&amp;" is more than Tested F01-14"&amp;CHAR(10),""),IF(Q40&gt;Q39," * Positive F01-15 for Age "&amp;P20&amp;" "&amp;Q21&amp;" is more than Tested F01-14"&amp;CHAR(10),""),IF(R40&gt;R39," * Positive F01-15 for Age "&amp;R20&amp;" "&amp;R21&amp;" is more than Tested F01-14"&amp;CHAR(10),""),IF(S40&gt;S39," * Positive F01-15 for Age "&amp;R20&amp;" "&amp;S21&amp;" is more than Tested F01-14"&amp;CHAR(10),""),IF(T40&gt;T39," * Positive F01-15 for Age "&amp;T20&amp;" "&amp;T21&amp;" is more than Tested F01-14"&amp;CHAR(10),""),IF(U40&gt;U39," * Positive F01-15 for Age "&amp;T20&amp;" "&amp;U21&amp;" is more than Tested F01-14"&amp;CHAR(10),""),IF(V40&gt;V39," * Positive F01-15 for Age "&amp;V20&amp;" "&amp;V21&amp;" is more than Tested F01-14"&amp;CHAR(10),""),IF(W40&gt;W39," * Positive F01-15 for Age "&amp;V20&amp;" "&amp;W21&amp;" is more than Tested F01-14"&amp;CHAR(10),""),IF(X40&gt;X39," * Positive F01-15 for Age "&amp;X20&amp;" "&amp;X21&amp;" is more than Tested F01-14"&amp;CHAR(10),""),IF(Y40&gt;Y39," * Positive F01-15 for Age "&amp;X20&amp;" "&amp;Y21&amp;" is more than Tested F01-14"&amp;CHAR(10),""),IF(Z40&gt;Z39," * Positive F01-15 for Age "&amp;Z20&amp;" "&amp;Z21&amp;" is more than Tested F01-14"&amp;CHAR(10),""),IF(AA40&gt;AA39," * Positive F01-15 for Age "&amp;Z20&amp;" "&amp;AA21&amp;" is more than Tested F01-14"&amp;CHAR(10),""))</f>
        <v/>
      </c>
      <c r="AL39" s="1312"/>
      <c r="AM39" s="31" t="str">
        <f>CONCATENATE(IF(AND(IFERROR((AJ40*100)/AJ39,0)&gt;10,AJ40&gt;5)," * This facility has a high positivity rate for Index Testing. Kindly confirm if this is the true reflection"&amp;CHAR(10),""),"")</f>
        <v/>
      </c>
      <c r="AN39" s="1429"/>
      <c r="AO39" s="444">
        <v>34</v>
      </c>
      <c r="AP39" s="74"/>
      <c r="AQ39" s="75"/>
    </row>
    <row r="40" spans="1:43" ht="27" thickBot="1" x14ac:dyDescent="0.45">
      <c r="A40" s="1245"/>
      <c r="B40" s="95" t="s">
        <v>128</v>
      </c>
      <c r="C40" s="527" t="s">
        <v>141</v>
      </c>
      <c r="D40" s="100"/>
      <c r="E40" s="101"/>
      <c r="F40" s="97"/>
      <c r="G40" s="97"/>
      <c r="H40" s="102"/>
      <c r="I40" s="102"/>
      <c r="J40" s="102"/>
      <c r="K40" s="102"/>
      <c r="L40" s="102"/>
      <c r="M40" s="102"/>
      <c r="N40" s="102"/>
      <c r="O40" s="102"/>
      <c r="P40" s="102"/>
      <c r="Q40" s="102"/>
      <c r="R40" s="102"/>
      <c r="S40" s="102"/>
      <c r="T40" s="102"/>
      <c r="U40" s="102"/>
      <c r="V40" s="102"/>
      <c r="W40" s="102"/>
      <c r="X40" s="102"/>
      <c r="Y40" s="102"/>
      <c r="Z40" s="102"/>
      <c r="AA40" s="296"/>
      <c r="AB40" s="102"/>
      <c r="AC40" s="296"/>
      <c r="AD40" s="102"/>
      <c r="AE40" s="296"/>
      <c r="AF40" s="102"/>
      <c r="AG40" s="296"/>
      <c r="AH40" s="102"/>
      <c r="AI40" s="296"/>
      <c r="AJ40" s="341">
        <f t="shared" si="36"/>
        <v>0</v>
      </c>
      <c r="AK40" s="1206"/>
      <c r="AL40" s="1312"/>
      <c r="AM40" s="31"/>
      <c r="AN40" s="1429"/>
      <c r="AO40" s="444">
        <v>35</v>
      </c>
      <c r="AP40" s="74"/>
      <c r="AQ40" s="75"/>
    </row>
    <row r="41" spans="1:43" ht="26.25" x14ac:dyDescent="0.4">
      <c r="A41" s="1244" t="s">
        <v>402</v>
      </c>
      <c r="B41" s="91" t="s">
        <v>136</v>
      </c>
      <c r="C41" s="525" t="s">
        <v>142</v>
      </c>
      <c r="D41" s="98"/>
      <c r="E41" s="99"/>
      <c r="F41" s="94"/>
      <c r="G41" s="94"/>
      <c r="H41" s="99"/>
      <c r="I41" s="99"/>
      <c r="J41" s="99"/>
      <c r="K41" s="99"/>
      <c r="L41" s="99"/>
      <c r="M41" s="99"/>
      <c r="N41" s="99"/>
      <c r="O41" s="99"/>
      <c r="P41" s="99"/>
      <c r="Q41" s="99"/>
      <c r="R41" s="99"/>
      <c r="S41" s="99"/>
      <c r="T41" s="99"/>
      <c r="U41" s="99"/>
      <c r="V41" s="99"/>
      <c r="W41" s="99"/>
      <c r="X41" s="99"/>
      <c r="Y41" s="99"/>
      <c r="Z41" s="99"/>
      <c r="AA41" s="295"/>
      <c r="AB41" s="99"/>
      <c r="AC41" s="295"/>
      <c r="AD41" s="99"/>
      <c r="AE41" s="295"/>
      <c r="AF41" s="99"/>
      <c r="AG41" s="295"/>
      <c r="AH41" s="99"/>
      <c r="AI41" s="295"/>
      <c r="AJ41" s="183">
        <f t="shared" si="36"/>
        <v>0</v>
      </c>
      <c r="AK41" s="1206" t="str">
        <f>CONCATENATE(IF(D42&gt;D41," * Positive F01-17 for Age "&amp;D20&amp;" "&amp;D21&amp;" is more than Tested F01-16"&amp;CHAR(10),""),IF(E42&gt;E41," * Positive F01-17 for Age "&amp;D20&amp;" "&amp;E21&amp;" is more than Tested F01-16"&amp;CHAR(10),""),IF(F42&gt;F41," * Positive F01-17 for Age "&amp;F20&amp;" "&amp;F21&amp;" is more than Tested F01-16"&amp;CHAR(10),""),IF(G42&gt;G41," * Positive F01-17 for Age "&amp;F20&amp;" "&amp;G21&amp;" is more than Tested F01-16"&amp;CHAR(10),""),IF(H42&gt;H41," * Positive F01-17 for Age "&amp;H20&amp;" "&amp;H21&amp;" is more than Tested F01-16"&amp;CHAR(10),""),IF(I42&gt;I41," * Positive F01-17 for Age "&amp;H20&amp;" "&amp;I21&amp;" is more than Tested F01-16"&amp;CHAR(10),""),IF(J42&gt;J41," * Positive F01-17 for Age "&amp;J20&amp;" "&amp;J21&amp;" is more than Tested F01-16"&amp;CHAR(10),""),IF(K42&gt;K41," * Positive F01-17 for Age "&amp;J20&amp;" "&amp;K21&amp;" is more than Tested F01-16"&amp;CHAR(10),""),IF(L42&gt;L41," * Positive F01-17 for Age "&amp;L20&amp;" "&amp;L21&amp;" is more than Tested F01-16"&amp;CHAR(10),""),IF(M42&gt;M41," * Positive F01-17 for Age "&amp;L20&amp;" "&amp;M21&amp;" is more than Tested F01-16"&amp;CHAR(10),""),IF(N42&gt;N41," * Positive F01-17 for Age "&amp;N20&amp;" "&amp;N21&amp;" is more than Tested F01-16"&amp;CHAR(10),""),IF(O42&gt;O41," * Positive F01-17 for Age "&amp;N20&amp;" "&amp;O21&amp;" is more than Tested F01-16"&amp;CHAR(10),""),IF(P42&gt;P41," * Positive F01-17 for Age "&amp;P20&amp;" "&amp;P21&amp;" is more than Tested F01-16"&amp;CHAR(10),""),IF(Q42&gt;Q41," * Positive F01-17 for Age "&amp;P20&amp;" "&amp;Q21&amp;" is more than Tested F01-16"&amp;CHAR(10),""),IF(R42&gt;R41," * Positive F01-17 for Age "&amp;R20&amp;" "&amp;R21&amp;" is more than Tested F01-16"&amp;CHAR(10),""),IF(S42&gt;S41," * Positive F01-17 for Age "&amp;R20&amp;" "&amp;S21&amp;" is more than Tested F01-16"&amp;CHAR(10),""),IF(T42&gt;T41," * Positive F01-17 for Age "&amp;T20&amp;" "&amp;T21&amp;" is more than Tested F01-16"&amp;CHAR(10),""),IF(U42&gt;U41," * Positive F01-17 for Age "&amp;T20&amp;" "&amp;U21&amp;" is more than Tested F01-16"&amp;CHAR(10),""),IF(V42&gt;V41," * Positive F01-17 for Age "&amp;V20&amp;" "&amp;V21&amp;" is more than Tested F01-16"&amp;CHAR(10),""),IF(W42&gt;W41," * Positive F01-17 for Age "&amp;V20&amp;" "&amp;W21&amp;" is more than Tested F01-16"&amp;CHAR(10),""),IF(X42&gt;X41," * Positive F01-17 for Age "&amp;X20&amp;" "&amp;X21&amp;" is more than Tested F01-16"&amp;CHAR(10),""),IF(Y42&gt;Y41," * Positive F01-17 for Age "&amp;X20&amp;" "&amp;Y21&amp;" is more than Tested F01-16"&amp;CHAR(10),""),IF(Z42&gt;Z41," * Positive F01-17 for Age "&amp;Z20&amp;" "&amp;Z21&amp;" is more than Tested F01-16"&amp;CHAR(10),""),IF(AA42&gt;AA41," * Positive F01-17 for Age "&amp;Z20&amp;" "&amp;AA21&amp;" is more than Tested F01-16"&amp;CHAR(10),""))</f>
        <v/>
      </c>
      <c r="AL41" s="1312"/>
      <c r="AM41" s="31" t="str">
        <f>CONCATENATE(IF(AND(IFERROR((AJ42*100)/AJ41,0)&gt;10,AJ42&gt;5)," * This facility has a high positivity rate for Index Testing. Kindly confirm if this is the true reflection"&amp;CHAR(10),""),"")</f>
        <v/>
      </c>
      <c r="AN41" s="1429"/>
      <c r="AO41" s="444">
        <v>36</v>
      </c>
      <c r="AP41" s="74"/>
      <c r="AQ41" s="75"/>
    </row>
    <row r="42" spans="1:43" ht="27" thickBot="1" x14ac:dyDescent="0.45">
      <c r="A42" s="1245"/>
      <c r="B42" s="95" t="s">
        <v>128</v>
      </c>
      <c r="C42" s="527" t="s">
        <v>143</v>
      </c>
      <c r="D42" s="103"/>
      <c r="E42" s="102"/>
      <c r="F42" s="97"/>
      <c r="G42" s="97"/>
      <c r="H42" s="102"/>
      <c r="I42" s="102"/>
      <c r="J42" s="102"/>
      <c r="K42" s="102"/>
      <c r="L42" s="102"/>
      <c r="M42" s="102"/>
      <c r="N42" s="102"/>
      <c r="O42" s="102"/>
      <c r="P42" s="102"/>
      <c r="Q42" s="102"/>
      <c r="R42" s="102"/>
      <c r="S42" s="102"/>
      <c r="T42" s="102"/>
      <c r="U42" s="102"/>
      <c r="V42" s="102"/>
      <c r="W42" s="102"/>
      <c r="X42" s="102"/>
      <c r="Y42" s="102"/>
      <c r="Z42" s="102"/>
      <c r="AA42" s="296"/>
      <c r="AB42" s="102"/>
      <c r="AC42" s="296"/>
      <c r="AD42" s="102"/>
      <c r="AE42" s="296"/>
      <c r="AF42" s="102"/>
      <c r="AG42" s="296"/>
      <c r="AH42" s="102"/>
      <c r="AI42" s="296"/>
      <c r="AJ42" s="341">
        <f t="shared" si="36"/>
        <v>0</v>
      </c>
      <c r="AK42" s="1206"/>
      <c r="AL42" s="1312"/>
      <c r="AM42" s="31"/>
      <c r="AN42" s="1429"/>
      <c r="AO42" s="444">
        <v>37</v>
      </c>
      <c r="AP42" s="74"/>
      <c r="AQ42" s="75"/>
    </row>
    <row r="43" spans="1:43" ht="26.25" x14ac:dyDescent="0.4">
      <c r="A43" s="1244" t="s">
        <v>16</v>
      </c>
      <c r="B43" s="91" t="s">
        <v>136</v>
      </c>
      <c r="C43" s="525" t="s">
        <v>144</v>
      </c>
      <c r="D43" s="271"/>
      <c r="E43" s="93"/>
      <c r="F43" s="94"/>
      <c r="G43" s="94"/>
      <c r="H43" s="94"/>
      <c r="I43" s="94"/>
      <c r="J43" s="94"/>
      <c r="K43" s="94"/>
      <c r="L43" s="94"/>
      <c r="M43" s="94"/>
      <c r="N43" s="94"/>
      <c r="O43" s="94"/>
      <c r="P43" s="94"/>
      <c r="Q43" s="94"/>
      <c r="R43" s="94"/>
      <c r="S43" s="94"/>
      <c r="T43" s="94"/>
      <c r="U43" s="94"/>
      <c r="V43" s="94"/>
      <c r="W43" s="94"/>
      <c r="X43" s="94"/>
      <c r="Y43" s="94"/>
      <c r="Z43" s="463">
        <f t="shared" ref="Z43:AA50" si="37">SUM(AB43,AD43,AF43,AH43)</f>
        <v>0</v>
      </c>
      <c r="AA43" s="463">
        <f t="shared" si="37"/>
        <v>0</v>
      </c>
      <c r="AB43" s="94"/>
      <c r="AC43" s="293"/>
      <c r="AD43" s="94"/>
      <c r="AE43" s="293"/>
      <c r="AF43" s="94"/>
      <c r="AG43" s="293"/>
      <c r="AH43" s="94"/>
      <c r="AI43" s="293"/>
      <c r="AJ43" s="183">
        <f t="shared" si="36"/>
        <v>0</v>
      </c>
      <c r="AK43" s="1206" t="str">
        <f>CONCATENATE(IF(D44&gt;D43," * Positive F01-19 for Age "&amp;D20&amp;" "&amp;D21&amp;" is more than Tested F01-18"&amp;CHAR(10),""),IF(E44&gt;E43," * Positive F01-19 for Age "&amp;D20&amp;" "&amp;E21&amp;" is more than Tested F01-18"&amp;CHAR(10),""),IF(F44&gt;F43," * Positive F01-19 for Age "&amp;F20&amp;" "&amp;F21&amp;" is more than Tested F01-18"&amp;CHAR(10),""),IF(G44&gt;G43," * Positive F01-19 for Age "&amp;F20&amp;" "&amp;G21&amp;" is more than Tested F01-18"&amp;CHAR(10),""),IF(H44&gt;H43," * Positive F01-19 for Age "&amp;H20&amp;" "&amp;H21&amp;" is more than Tested F01-18"&amp;CHAR(10),""),IF(I44&gt;I43," * Positive F01-19 for Age "&amp;H20&amp;" "&amp;I21&amp;" is more than Tested F01-18"&amp;CHAR(10),""),IF(J44&gt;J43," * Positive F01-19 for Age "&amp;J20&amp;" "&amp;J21&amp;" is more than Tested F01-18"&amp;CHAR(10),""),IF(K44&gt;K43," * Positive F01-19 for Age "&amp;J20&amp;" "&amp;K21&amp;" is more than Tested F01-18"&amp;CHAR(10),""),IF(L44&gt;L43," * Positive F01-19 for Age "&amp;L20&amp;" "&amp;L21&amp;" is more than Tested F01-18"&amp;CHAR(10),""),IF(M44&gt;M43," * Positive F01-19 for Age "&amp;L20&amp;" "&amp;M21&amp;" is more than Tested F01-18"&amp;CHAR(10),""),IF(N44&gt;N43," * Positive F01-19 for Age "&amp;N20&amp;" "&amp;N21&amp;" is more than Tested F01-18"&amp;CHAR(10),""),IF(O44&gt;O43," * Positive F01-19 for Age "&amp;N20&amp;" "&amp;O21&amp;" is more than Tested F01-18"&amp;CHAR(10),""),IF(P44&gt;P43," * Positive F01-19 for Age "&amp;P20&amp;" "&amp;P21&amp;" is more than Tested F01-18"&amp;CHAR(10),""),IF(Q44&gt;Q43," * Positive F01-19 for Age "&amp;P20&amp;" "&amp;Q21&amp;" is more than Tested F01-18"&amp;CHAR(10),""),IF(R44&gt;R43," * Positive F01-19 for Age "&amp;R20&amp;" "&amp;R21&amp;" is more than Tested F01-18"&amp;CHAR(10),""),IF(S44&gt;S43," * Positive F01-19 for Age "&amp;R20&amp;" "&amp;S21&amp;" is more than Tested F01-18"&amp;CHAR(10),""),IF(T44&gt;T43," * Positive F01-19 for Age "&amp;T20&amp;" "&amp;T21&amp;" is more than Tested F01-18"&amp;CHAR(10),""),IF(U44&gt;U43," * Positive F01-19 for Age "&amp;T20&amp;" "&amp;U21&amp;" is more than Tested F01-18"&amp;CHAR(10),""),IF(V44&gt;V43," * Positive F01-19 for Age "&amp;V20&amp;" "&amp;V21&amp;" is more than Tested F01-18"&amp;CHAR(10),""),IF(W44&gt;W43," * Positive F01-19 for Age "&amp;V20&amp;" "&amp;W21&amp;" is more than Tested F01-18"&amp;CHAR(10),""),IF(X44&gt;X43," * Positive F01-19 for Age "&amp;X20&amp;" "&amp;X21&amp;" is more than Tested F01-18"&amp;CHAR(10),""),IF(Y44&gt;Y43," * Positive F01-19 for Age "&amp;X20&amp;" "&amp;Y21&amp;" is more than Tested F01-18"&amp;CHAR(10),""),IF(Z44&gt;Z43," * Positive F01-19 for Age "&amp;Z20&amp;" "&amp;Z21&amp;" is more than Tested F01-18"&amp;CHAR(10),""),IF(AA44&gt;AA43," * Positive F01-19 for Age "&amp;Z20&amp;" "&amp;AA21&amp;" is more than Tested F01-18"&amp;CHAR(10),""))</f>
        <v/>
      </c>
      <c r="AL43" s="1312"/>
      <c r="AM43" s="31" t="str">
        <f>CONCATENATE(IF(AND(IFERROR((AJ44*100)/AJ43,0)&gt;10,AJ44&gt;5)," * This facility has a high positivity rate for Index Testing. Kindly confirm if this is the true reflection"&amp;CHAR(10),""),"")</f>
        <v/>
      </c>
      <c r="AN43" s="1429"/>
      <c r="AO43" s="444">
        <v>38</v>
      </c>
      <c r="AP43" s="74"/>
      <c r="AQ43" s="75"/>
    </row>
    <row r="44" spans="1:43" ht="27" thickBot="1" x14ac:dyDescent="0.45">
      <c r="A44" s="1245"/>
      <c r="B44" s="95" t="s">
        <v>128</v>
      </c>
      <c r="C44" s="527" t="s">
        <v>145</v>
      </c>
      <c r="D44" s="344"/>
      <c r="E44" s="88"/>
      <c r="F44" s="97"/>
      <c r="G44" s="97"/>
      <c r="H44" s="97"/>
      <c r="I44" s="97"/>
      <c r="J44" s="97"/>
      <c r="K44" s="97"/>
      <c r="L44" s="97"/>
      <c r="M44" s="97"/>
      <c r="N44" s="97"/>
      <c r="O44" s="97"/>
      <c r="P44" s="97"/>
      <c r="Q44" s="97"/>
      <c r="R44" s="97"/>
      <c r="S44" s="97"/>
      <c r="T44" s="97"/>
      <c r="U44" s="97"/>
      <c r="V44" s="97"/>
      <c r="W44" s="97"/>
      <c r="X44" s="97"/>
      <c r="Y44" s="97"/>
      <c r="Z44" s="463">
        <f t="shared" si="37"/>
        <v>0</v>
      </c>
      <c r="AA44" s="463">
        <f t="shared" si="37"/>
        <v>0</v>
      </c>
      <c r="AB44" s="97"/>
      <c r="AC44" s="294"/>
      <c r="AD44" s="97"/>
      <c r="AE44" s="294"/>
      <c r="AF44" s="97"/>
      <c r="AG44" s="294"/>
      <c r="AH44" s="97"/>
      <c r="AI44" s="294"/>
      <c r="AJ44" s="341">
        <f t="shared" si="36"/>
        <v>0</v>
      </c>
      <c r="AK44" s="1206"/>
      <c r="AL44" s="1312"/>
      <c r="AM44" s="31"/>
      <c r="AN44" s="1429"/>
      <c r="AO44" s="444">
        <v>39</v>
      </c>
      <c r="AP44" s="74"/>
      <c r="AQ44" s="75"/>
    </row>
    <row r="45" spans="1:43" ht="42.75" customHeight="1" x14ac:dyDescent="0.4">
      <c r="A45" s="1244" t="s">
        <v>1236</v>
      </c>
      <c r="B45" s="91" t="s">
        <v>136</v>
      </c>
      <c r="C45" s="525" t="s">
        <v>309</v>
      </c>
      <c r="D45" s="271"/>
      <c r="E45" s="93"/>
      <c r="F45" s="104">
        <f>F440</f>
        <v>0</v>
      </c>
      <c r="G45" s="104">
        <f t="shared" ref="G45:Y45" si="38">G440</f>
        <v>0</v>
      </c>
      <c r="H45" s="104">
        <f t="shared" si="38"/>
        <v>0</v>
      </c>
      <c r="I45" s="104">
        <f t="shared" si="38"/>
        <v>0</v>
      </c>
      <c r="J45" s="104">
        <f t="shared" si="38"/>
        <v>0</v>
      </c>
      <c r="K45" s="104">
        <f t="shared" si="38"/>
        <v>0</v>
      </c>
      <c r="L45" s="104">
        <f t="shared" si="38"/>
        <v>0</v>
      </c>
      <c r="M45" s="104">
        <f t="shared" si="38"/>
        <v>0</v>
      </c>
      <c r="N45" s="104">
        <f t="shared" si="38"/>
        <v>0</v>
      </c>
      <c r="O45" s="104">
        <f t="shared" si="38"/>
        <v>0</v>
      </c>
      <c r="P45" s="104">
        <f t="shared" si="38"/>
        <v>0</v>
      </c>
      <c r="Q45" s="104">
        <f t="shared" si="38"/>
        <v>0</v>
      </c>
      <c r="R45" s="104">
        <f t="shared" si="38"/>
        <v>0</v>
      </c>
      <c r="S45" s="104">
        <f t="shared" si="38"/>
        <v>0</v>
      </c>
      <c r="T45" s="104">
        <f t="shared" si="38"/>
        <v>0</v>
      </c>
      <c r="U45" s="104">
        <f t="shared" si="38"/>
        <v>0</v>
      </c>
      <c r="V45" s="104">
        <f t="shared" si="38"/>
        <v>0</v>
      </c>
      <c r="W45" s="104">
        <f t="shared" si="38"/>
        <v>0</v>
      </c>
      <c r="X45" s="104">
        <f t="shared" si="38"/>
        <v>0</v>
      </c>
      <c r="Y45" s="104">
        <f t="shared" si="38"/>
        <v>0</v>
      </c>
      <c r="Z45" s="463">
        <f t="shared" si="37"/>
        <v>0</v>
      </c>
      <c r="AA45" s="463">
        <f t="shared" si="37"/>
        <v>0</v>
      </c>
      <c r="AB45" s="104">
        <f t="shared" ref="AB45:AI45" si="39">AB440</f>
        <v>0</v>
      </c>
      <c r="AC45" s="297">
        <f t="shared" si="39"/>
        <v>0</v>
      </c>
      <c r="AD45" s="104">
        <f t="shared" si="39"/>
        <v>0</v>
      </c>
      <c r="AE45" s="297">
        <f t="shared" si="39"/>
        <v>0</v>
      </c>
      <c r="AF45" s="104">
        <f t="shared" si="39"/>
        <v>0</v>
      </c>
      <c r="AG45" s="297">
        <f t="shared" si="39"/>
        <v>0</v>
      </c>
      <c r="AH45" s="104">
        <f t="shared" si="39"/>
        <v>0</v>
      </c>
      <c r="AI45" s="297">
        <f t="shared" si="39"/>
        <v>0</v>
      </c>
      <c r="AJ45" s="183">
        <f t="shared" si="36"/>
        <v>0</v>
      </c>
      <c r="AK45" s="1206" t="str">
        <f>CONCATENATE(IF(D46&gt;D45," * Positive F01-21 for Age "&amp;D20&amp;" "&amp;D21&amp;" is more than Tested F01-20"&amp;CHAR(10),""),IF(E46&gt;E45," * Positive F01-21 for Age "&amp;D20&amp;" "&amp;E21&amp;" is more than Tested F01-20"&amp;CHAR(10),""),IF(F46&gt;F45," * Positive F01-21 for Age "&amp;F20&amp;" "&amp;F21&amp;" is more than Tested F01-20"&amp;CHAR(10),""),IF(G46&gt;G45," * Positive F01-21 for Age "&amp;F20&amp;" "&amp;G21&amp;" is more than Tested F01-20"&amp;CHAR(10),""),IF(H46&gt;H45," * Positive F01-21 for Age "&amp;H20&amp;" "&amp;H21&amp;" is more than Tested F01-20"&amp;CHAR(10),""),IF(I46&gt;I45," * Positive F01-21 for Age "&amp;H20&amp;" "&amp;I21&amp;" is more than Tested F01-20"&amp;CHAR(10),""),IF(J46&gt;J45," * Positive F01-21 for Age "&amp;J20&amp;" "&amp;J21&amp;" is more than Tested F01-20"&amp;CHAR(10),""),IF(K46&gt;K45," * Positive F01-21 for Age "&amp;J20&amp;" "&amp;K21&amp;" is more than Tested F01-20"&amp;CHAR(10),""),IF(L46&gt;L45," * Positive F01-21 for Age "&amp;L20&amp;" "&amp;L21&amp;" is more than Tested F01-20"&amp;CHAR(10),""),IF(M46&gt;M45," * Positive F01-21 for Age "&amp;L20&amp;" "&amp;M21&amp;" is more than Tested F01-20"&amp;CHAR(10),""),IF(N46&gt;N45," * Positive F01-21 for Age "&amp;N20&amp;" "&amp;N21&amp;" is more than Tested F01-20"&amp;CHAR(10),""),IF(O46&gt;O45," * Positive F01-21 for Age "&amp;N20&amp;" "&amp;O21&amp;" is more than Tested F01-20"&amp;CHAR(10),""),IF(P46&gt;P45," * Positive F01-21 for Age "&amp;P20&amp;" "&amp;P21&amp;" is more than Tested F01-20"&amp;CHAR(10),""),IF(Q46&gt;Q45," * Positive F01-21 for Age "&amp;P20&amp;" "&amp;Q21&amp;" is more than Tested F01-20"&amp;CHAR(10),""),IF(R46&gt;R45," * Positive F01-21 for Age "&amp;R20&amp;" "&amp;R21&amp;" is more than Tested F01-20"&amp;CHAR(10),""),IF(S46&gt;S45," * Positive F01-21 for Age "&amp;R20&amp;" "&amp;S21&amp;" is more than Tested F01-20"&amp;CHAR(10),""),IF(T46&gt;T45," * Positive F01-21 for Age "&amp;T20&amp;" "&amp;T21&amp;" is more than Tested F01-20"&amp;CHAR(10),""),IF(U46&gt;U45," * Positive F01-21 for Age "&amp;T20&amp;" "&amp;U21&amp;" is more than Tested F01-20"&amp;CHAR(10),""),IF(V46&gt;V45," * Positive F01-21 for Age "&amp;V20&amp;" "&amp;V21&amp;" is more than Tested F01-20"&amp;CHAR(10),""),IF(W46&gt;W45," * Positive F01-21 for Age "&amp;V20&amp;" "&amp;W21&amp;" is more than Tested F01-20"&amp;CHAR(10),""),IF(X46&gt;X45," * Positive F01-21 for Age "&amp;X20&amp;" "&amp;X21&amp;" is more than Tested F01-20"&amp;CHAR(10),""),IF(Y46&gt;Y45," * Positive F01-21 for Age "&amp;X20&amp;" "&amp;Y21&amp;" is more than Tested F01-20"&amp;CHAR(10),""),IF(Z46&gt;Z45," * Positive F01-21 for Age "&amp;Z20&amp;" "&amp;Z21&amp;" is more than Tested F01-20"&amp;CHAR(10),""),IF(AA46&gt;AA45," * Positive F01-21 for Age "&amp;Z20&amp;" "&amp;AA21&amp;" is more than Tested F01-20"&amp;CHAR(10),""))</f>
        <v/>
      </c>
      <c r="AL45" s="1312"/>
      <c r="AM45" s="31" t="str">
        <f>CONCATENATE(IF(AND(IFERROR((AJ46*100)/AJ45,0)&gt;10,AJ46&gt;5)," * This facility has a high positivity rate for Index Testing. Kindly confirm if this is the true reflection"&amp;CHAR(10),""),"")</f>
        <v/>
      </c>
      <c r="AN45" s="1429"/>
      <c r="AO45" s="444">
        <v>40</v>
      </c>
      <c r="AP45" s="74"/>
      <c r="AQ45" s="75"/>
    </row>
    <row r="46" spans="1:43" ht="41.25" customHeight="1" thickBot="1" x14ac:dyDescent="0.45">
      <c r="A46" s="1245"/>
      <c r="B46" s="95" t="s">
        <v>128</v>
      </c>
      <c r="C46" s="527" t="s">
        <v>146</v>
      </c>
      <c r="D46" s="344"/>
      <c r="E46" s="88"/>
      <c r="F46" s="105">
        <f>F442</f>
        <v>0</v>
      </c>
      <c r="G46" s="105">
        <f t="shared" ref="G46:Y46" si="40">G442</f>
        <v>0</v>
      </c>
      <c r="H46" s="105">
        <f t="shared" si="40"/>
        <v>0</v>
      </c>
      <c r="I46" s="105">
        <f t="shared" si="40"/>
        <v>0</v>
      </c>
      <c r="J46" s="105">
        <f t="shared" si="40"/>
        <v>0</v>
      </c>
      <c r="K46" s="105">
        <f t="shared" si="40"/>
        <v>0</v>
      </c>
      <c r="L46" s="105">
        <f t="shared" si="40"/>
        <v>0</v>
      </c>
      <c r="M46" s="105">
        <f t="shared" si="40"/>
        <v>0</v>
      </c>
      <c r="N46" s="105">
        <f t="shared" si="40"/>
        <v>0</v>
      </c>
      <c r="O46" s="105">
        <f t="shared" si="40"/>
        <v>0</v>
      </c>
      <c r="P46" s="105">
        <f t="shared" si="40"/>
        <v>0</v>
      </c>
      <c r="Q46" s="105">
        <f t="shared" si="40"/>
        <v>0</v>
      </c>
      <c r="R46" s="105">
        <f t="shared" si="40"/>
        <v>0</v>
      </c>
      <c r="S46" s="105">
        <f t="shared" si="40"/>
        <v>0</v>
      </c>
      <c r="T46" s="105">
        <f t="shared" si="40"/>
        <v>0</v>
      </c>
      <c r="U46" s="105">
        <f t="shared" si="40"/>
        <v>0</v>
      </c>
      <c r="V46" s="105">
        <f t="shared" si="40"/>
        <v>0</v>
      </c>
      <c r="W46" s="105">
        <f t="shared" si="40"/>
        <v>0</v>
      </c>
      <c r="X46" s="105">
        <f t="shared" si="40"/>
        <v>0</v>
      </c>
      <c r="Y46" s="105">
        <f t="shared" si="40"/>
        <v>0</v>
      </c>
      <c r="Z46" s="463">
        <f t="shared" si="37"/>
        <v>0</v>
      </c>
      <c r="AA46" s="463">
        <f t="shared" si="37"/>
        <v>0</v>
      </c>
      <c r="AB46" s="105">
        <f t="shared" ref="AB46:AI46" si="41">AB442</f>
        <v>0</v>
      </c>
      <c r="AC46" s="298">
        <f t="shared" si="41"/>
        <v>0</v>
      </c>
      <c r="AD46" s="105">
        <f t="shared" si="41"/>
        <v>0</v>
      </c>
      <c r="AE46" s="298">
        <f t="shared" si="41"/>
        <v>0</v>
      </c>
      <c r="AF46" s="105">
        <f t="shared" si="41"/>
        <v>0</v>
      </c>
      <c r="AG46" s="298">
        <f t="shared" si="41"/>
        <v>0</v>
      </c>
      <c r="AH46" s="105">
        <f t="shared" si="41"/>
        <v>0</v>
      </c>
      <c r="AI46" s="298">
        <f t="shared" si="41"/>
        <v>0</v>
      </c>
      <c r="AJ46" s="341">
        <f t="shared" si="36"/>
        <v>0</v>
      </c>
      <c r="AK46" s="1206"/>
      <c r="AL46" s="1312"/>
      <c r="AM46" s="31"/>
      <c r="AN46" s="1429"/>
      <c r="AO46" s="444">
        <v>41</v>
      </c>
      <c r="AP46" s="74"/>
      <c r="AQ46" s="75"/>
    </row>
    <row r="47" spans="1:43" ht="26.25" x14ac:dyDescent="0.4">
      <c r="A47" s="1244" t="s">
        <v>22</v>
      </c>
      <c r="B47" s="91" t="s">
        <v>136</v>
      </c>
      <c r="C47" s="525" t="s">
        <v>147</v>
      </c>
      <c r="D47" s="132"/>
      <c r="E47" s="99"/>
      <c r="F47" s="94"/>
      <c r="G47" s="94"/>
      <c r="H47" s="94"/>
      <c r="I47" s="94"/>
      <c r="J47" s="94"/>
      <c r="K47" s="94"/>
      <c r="L47" s="94"/>
      <c r="M47" s="94"/>
      <c r="N47" s="94"/>
      <c r="O47" s="94"/>
      <c r="P47" s="94"/>
      <c r="Q47" s="94"/>
      <c r="R47" s="94"/>
      <c r="S47" s="94"/>
      <c r="T47" s="94"/>
      <c r="U47" s="94"/>
      <c r="V47" s="94"/>
      <c r="W47" s="94"/>
      <c r="X47" s="94"/>
      <c r="Y47" s="94"/>
      <c r="Z47" s="463">
        <f t="shared" si="37"/>
        <v>0</v>
      </c>
      <c r="AA47" s="463">
        <f t="shared" si="37"/>
        <v>0</v>
      </c>
      <c r="AB47" s="94"/>
      <c r="AC47" s="293"/>
      <c r="AD47" s="94"/>
      <c r="AE47" s="293"/>
      <c r="AF47" s="94"/>
      <c r="AG47" s="293"/>
      <c r="AH47" s="94"/>
      <c r="AI47" s="293"/>
      <c r="AJ47" s="183">
        <f t="shared" si="36"/>
        <v>0</v>
      </c>
      <c r="AK47" s="1206" t="str">
        <f>CONCATENATE(IF(D48&gt;D47," * Positive F01-23 for Age "&amp;D20&amp;" "&amp;D21&amp;" is more than Tested F01-22"&amp;CHAR(10),""),IF(E48&gt;E47," * Positive F01-23 for Age "&amp;D20&amp;" "&amp;E21&amp;" is more than Tested F01-22"&amp;CHAR(10),""),IF(F48&gt;F47," * Positive F01-23 for Age "&amp;F20&amp;" "&amp;F21&amp;" is more than Tested F01-22"&amp;CHAR(10),""),IF(G48&gt;G47," * Positive F01-23 for Age "&amp;F20&amp;" "&amp;G21&amp;" is more than Tested F01-22"&amp;CHAR(10),""),IF(H48&gt;H47," * Positive F01-23 for Age "&amp;H20&amp;" "&amp;H21&amp;" is more than Tested F01-22"&amp;CHAR(10),""),IF(I48&gt;I47," * Positive F01-23 for Age "&amp;H20&amp;" "&amp;I21&amp;" is more than Tested F01-22"&amp;CHAR(10),""),IF(J48&gt;J47," * Positive F01-23 for Age "&amp;J20&amp;" "&amp;J21&amp;" is more than Tested F01-22"&amp;CHAR(10),""),IF(K48&gt;K47," * Positive F01-23 for Age "&amp;J20&amp;" "&amp;K21&amp;" is more than Tested F01-22"&amp;CHAR(10),""),IF(L48&gt;L47," * Positive F01-23 for Age "&amp;L20&amp;" "&amp;L21&amp;" is more than Tested F01-22"&amp;CHAR(10),""),IF(M48&gt;M47," * Positive F01-23 for Age "&amp;L20&amp;" "&amp;M21&amp;" is more than Tested F01-22"&amp;CHAR(10),""),IF(N48&gt;N47," * Positive F01-23 for Age "&amp;N20&amp;" "&amp;N21&amp;" is more than Tested F01-22"&amp;CHAR(10),""),IF(O48&gt;O47," * Positive F01-23 for Age "&amp;N20&amp;" "&amp;O21&amp;" is more than Tested F01-22"&amp;CHAR(10),""),IF(P48&gt;P47," * Positive F01-23 for Age "&amp;P20&amp;" "&amp;P21&amp;" is more than Tested F01-22"&amp;CHAR(10),""),IF(Q48&gt;Q47," * Positive F01-23 for Age "&amp;P20&amp;" "&amp;Q21&amp;" is more than Tested F01-22"&amp;CHAR(10),""),IF(R48&gt;R47," * Positive F01-23 for Age "&amp;R20&amp;" "&amp;R21&amp;" is more than Tested F01-22"&amp;CHAR(10),""),IF(S48&gt;S47," * Positive F01-23 for Age "&amp;R20&amp;" "&amp;S21&amp;" is more than Tested F01-22"&amp;CHAR(10),""),IF(T48&gt;T47," * Positive F01-23 for Age "&amp;T20&amp;" "&amp;T21&amp;" is more than Tested F01-22"&amp;CHAR(10),""),IF(U48&gt;U47," * Positive F01-23 for Age "&amp;T20&amp;" "&amp;U21&amp;" is more than Tested F01-22"&amp;CHAR(10),""),IF(V48&gt;V47," * Positive F01-23 for Age "&amp;V20&amp;" "&amp;V21&amp;" is more than Tested F01-22"&amp;CHAR(10),""),IF(W48&gt;W47," * Positive F01-23 for Age "&amp;V20&amp;" "&amp;W21&amp;" is more than Tested F01-22"&amp;CHAR(10),""),IF(X48&gt;X47," * Positive F01-23 for Age "&amp;X20&amp;" "&amp;X21&amp;" is more than Tested F01-22"&amp;CHAR(10),""),IF(Y48&gt;Y47," * Positive F01-23 for Age "&amp;X20&amp;" "&amp;Y21&amp;" is more than Tested F01-22"&amp;CHAR(10),""),IF(Z48&gt;Z47," * Positive F01-23 for Age "&amp;Z20&amp;" "&amp;Z21&amp;" is more than Tested F01-22"&amp;CHAR(10),""),IF(AA48&gt;AA47," * Positive F01-23 for Age "&amp;Z20&amp;" "&amp;AA21&amp;" is more than Tested F01-22"&amp;CHAR(10),""))</f>
        <v/>
      </c>
      <c r="AL47" s="1312"/>
      <c r="AM47" s="31" t="str">
        <f>CONCATENATE(IF(AND(IFERROR((AJ48*100)/AJ47,0)&gt;10,AJ48&gt;5)," * This facility has a high positivity rate for Index Testing. Kindly confirm if this is the true reflection"&amp;CHAR(10),""),"")</f>
        <v/>
      </c>
      <c r="AN47" s="1429"/>
      <c r="AO47" s="444">
        <v>42</v>
      </c>
      <c r="AP47" s="74"/>
      <c r="AQ47" s="75"/>
    </row>
    <row r="48" spans="1:43" ht="27" thickBot="1" x14ac:dyDescent="0.45">
      <c r="A48" s="1245"/>
      <c r="B48" s="95" t="s">
        <v>128</v>
      </c>
      <c r="C48" s="527" t="s">
        <v>148</v>
      </c>
      <c r="D48" s="119"/>
      <c r="E48" s="102"/>
      <c r="F48" s="97"/>
      <c r="G48" s="97"/>
      <c r="H48" s="97"/>
      <c r="I48" s="97"/>
      <c r="J48" s="97"/>
      <c r="K48" s="97"/>
      <c r="L48" s="97"/>
      <c r="M48" s="97"/>
      <c r="N48" s="97"/>
      <c r="O48" s="97"/>
      <c r="P48" s="97"/>
      <c r="Q48" s="97"/>
      <c r="R48" s="97"/>
      <c r="S48" s="97"/>
      <c r="T48" s="97"/>
      <c r="U48" s="97"/>
      <c r="V48" s="97"/>
      <c r="W48" s="97"/>
      <c r="X48" s="97"/>
      <c r="Y48" s="97"/>
      <c r="Z48" s="463">
        <f t="shared" si="37"/>
        <v>0</v>
      </c>
      <c r="AA48" s="463">
        <f t="shared" si="37"/>
        <v>0</v>
      </c>
      <c r="AB48" s="97"/>
      <c r="AC48" s="294"/>
      <c r="AD48" s="97"/>
      <c r="AE48" s="294"/>
      <c r="AF48" s="97"/>
      <c r="AG48" s="294"/>
      <c r="AH48" s="97"/>
      <c r="AI48" s="294"/>
      <c r="AJ48" s="341">
        <f t="shared" si="36"/>
        <v>0</v>
      </c>
      <c r="AK48" s="1206"/>
      <c r="AL48" s="1312"/>
      <c r="AM48" s="31"/>
      <c r="AN48" s="1429"/>
      <c r="AO48" s="444">
        <v>43</v>
      </c>
      <c r="AP48" s="74"/>
      <c r="AQ48" s="75"/>
    </row>
    <row r="49" spans="1:43" ht="29.25" customHeight="1" x14ac:dyDescent="0.4">
      <c r="A49" s="1244" t="s">
        <v>18</v>
      </c>
      <c r="B49" s="91" t="s">
        <v>136</v>
      </c>
      <c r="C49" s="525" t="s">
        <v>149</v>
      </c>
      <c r="D49" s="271"/>
      <c r="E49" s="93"/>
      <c r="F49" s="99"/>
      <c r="G49" s="99"/>
      <c r="H49" s="99"/>
      <c r="I49" s="99"/>
      <c r="J49" s="99"/>
      <c r="K49" s="99"/>
      <c r="L49" s="94"/>
      <c r="M49" s="94"/>
      <c r="N49" s="94"/>
      <c r="O49" s="94"/>
      <c r="P49" s="94"/>
      <c r="Q49" s="94"/>
      <c r="R49" s="94"/>
      <c r="S49" s="94"/>
      <c r="T49" s="94"/>
      <c r="U49" s="94"/>
      <c r="V49" s="94"/>
      <c r="W49" s="94"/>
      <c r="X49" s="94"/>
      <c r="Y49" s="94"/>
      <c r="Z49" s="463">
        <f t="shared" si="37"/>
        <v>0</v>
      </c>
      <c r="AA49" s="463">
        <f t="shared" si="37"/>
        <v>0</v>
      </c>
      <c r="AB49" s="94"/>
      <c r="AC49" s="293"/>
      <c r="AD49" s="94"/>
      <c r="AE49" s="293"/>
      <c r="AF49" s="94"/>
      <c r="AG49" s="293"/>
      <c r="AH49" s="94"/>
      <c r="AI49" s="293"/>
      <c r="AJ49" s="183">
        <f t="shared" si="36"/>
        <v>0</v>
      </c>
      <c r="AK49" s="1206" t="str">
        <f>CONCATENATE(IF(D50&gt;D49," * Positive F01-25 for Age "&amp;D20&amp;" "&amp;D21&amp;" is more than Tested F01-24"&amp;CHAR(10),""),IF(E50&gt;E49," * Positive F01-25 for Age "&amp;D20&amp;" "&amp;E21&amp;" is more than Tested F01-24"&amp;CHAR(10),""),IF(F50&gt;F49," * Positive F01-25 for Age "&amp;F20&amp;" "&amp;F21&amp;" is more than Tested F01-24"&amp;CHAR(10),""),IF(G50&gt;G49," * Positive F01-25 for Age "&amp;F20&amp;" "&amp;G21&amp;" is more than Tested F01-24"&amp;CHAR(10),""),IF(H50&gt;H49," * Positive F01-25 for Age "&amp;H20&amp;" "&amp;H21&amp;" is more than Tested F01-24"&amp;CHAR(10),""),IF(I50&gt;I49," * Positive F01-25 for Age "&amp;H20&amp;" "&amp;I21&amp;" is more than Tested F01-24"&amp;CHAR(10),""),IF(J50&gt;J49," * Positive F01-25 for Age "&amp;J20&amp;" "&amp;J21&amp;" is more than Tested F01-24"&amp;CHAR(10),""),IF(K50&gt;K49," * Positive F01-25 for Age "&amp;J20&amp;" "&amp;K21&amp;" is more than Tested F01-24"&amp;CHAR(10),""),IF(L50&gt;L49," * Positive F01-25 for Age "&amp;L20&amp;" "&amp;L21&amp;" is more than Tested F01-24"&amp;CHAR(10),""),IF(M50&gt;M49," * Positive F01-25 for Age "&amp;L20&amp;" "&amp;M21&amp;" is more than Tested F01-24"&amp;CHAR(10),""),IF(N50&gt;N49," * Positive F01-25 for Age "&amp;N20&amp;" "&amp;N21&amp;" is more than Tested F01-24"&amp;CHAR(10),""),IF(O50&gt;O49," * Positive F01-25 for Age "&amp;N20&amp;" "&amp;O21&amp;" is more than Tested F01-24"&amp;CHAR(10),""),IF(P50&gt;P49," * Positive F01-25 for Age "&amp;P20&amp;" "&amp;P21&amp;" is more than Tested F01-24"&amp;CHAR(10),""),IF(Q50&gt;Q49," * Positive F01-25 for Age "&amp;P20&amp;" "&amp;Q21&amp;" is more than Tested F01-24"&amp;CHAR(10),""),IF(R50&gt;R49," * Positive F01-25 for Age "&amp;R20&amp;" "&amp;R21&amp;" is more than Tested F01-24"&amp;CHAR(10),""),IF(S50&gt;S49," * Positive F01-25 for Age "&amp;R20&amp;" "&amp;S21&amp;" is more than Tested F01-24"&amp;CHAR(10),""),IF(T50&gt;T49," * Positive F01-25 for Age "&amp;T20&amp;" "&amp;T21&amp;" is more than Tested F01-24"&amp;CHAR(10),""),IF(U50&gt;U49," * Positive F01-25 for Age "&amp;T20&amp;" "&amp;U21&amp;" is more than Tested F01-24"&amp;CHAR(10),""),IF(V50&gt;V49," * Positive F01-25 for Age "&amp;V20&amp;" "&amp;V21&amp;" is more than Tested F01-24"&amp;CHAR(10),""),IF(W50&gt;W49," * Positive F01-25 for Age "&amp;V20&amp;" "&amp;W21&amp;" is more than Tested F01-24"&amp;CHAR(10),""),IF(X50&gt;X49," * Positive F01-25 for Age "&amp;X20&amp;" "&amp;X21&amp;" is more than Tested F01-24"&amp;CHAR(10),""),IF(Y50&gt;Y49," * Positive F01-25 for Age "&amp;X20&amp;" "&amp;Y21&amp;" is more than Tested F01-24"&amp;CHAR(10),""),IF(Z50&gt;Z49," * Positive F01-25 for Age "&amp;Z20&amp;" "&amp;Z21&amp;" is more than Tested F01-24"&amp;CHAR(10),""),IF(AA50&gt;AA49," * Positive F01-25 for Age "&amp;Z20&amp;" "&amp;AA21&amp;" is more than Tested F01-24"&amp;CHAR(10),""))</f>
        <v/>
      </c>
      <c r="AL49" s="1312"/>
      <c r="AM49" s="31" t="str">
        <f>CONCATENATE(IF(AND(IFERROR((AJ50*100)/AJ49,0)&gt;10,AJ50&gt;5)," * This facility has a high positivity rate for Index Testing. Kindly confirm if this is the true reflection"&amp;CHAR(10),""),"")</f>
        <v/>
      </c>
      <c r="AN49" s="1429"/>
      <c r="AO49" s="444">
        <v>44</v>
      </c>
      <c r="AP49" s="74"/>
      <c r="AQ49" s="75"/>
    </row>
    <row r="50" spans="1:43" ht="27" thickBot="1" x14ac:dyDescent="0.45">
      <c r="A50" s="1245"/>
      <c r="B50" s="95" t="s">
        <v>128</v>
      </c>
      <c r="C50" s="527" t="s">
        <v>150</v>
      </c>
      <c r="D50" s="344"/>
      <c r="E50" s="88"/>
      <c r="F50" s="102"/>
      <c r="G50" s="102"/>
      <c r="H50" s="102"/>
      <c r="I50" s="102"/>
      <c r="J50" s="102"/>
      <c r="K50" s="102"/>
      <c r="L50" s="106"/>
      <c r="M50" s="106"/>
      <c r="N50" s="106"/>
      <c r="O50" s="106"/>
      <c r="P50" s="106"/>
      <c r="Q50" s="106"/>
      <c r="R50" s="106"/>
      <c r="S50" s="106"/>
      <c r="T50" s="106"/>
      <c r="U50" s="106"/>
      <c r="V50" s="106"/>
      <c r="W50" s="106"/>
      <c r="X50" s="106"/>
      <c r="Y50" s="106"/>
      <c r="Z50" s="463">
        <f t="shared" si="37"/>
        <v>0</v>
      </c>
      <c r="AA50" s="463">
        <f t="shared" si="37"/>
        <v>0</v>
      </c>
      <c r="AB50" s="106"/>
      <c r="AC50" s="299"/>
      <c r="AD50" s="106"/>
      <c r="AE50" s="299"/>
      <c r="AF50" s="106"/>
      <c r="AG50" s="299"/>
      <c r="AH50" s="106"/>
      <c r="AI50" s="299"/>
      <c r="AJ50" s="341">
        <f t="shared" si="36"/>
        <v>0</v>
      </c>
      <c r="AK50" s="1206"/>
      <c r="AL50" s="1312"/>
      <c r="AM50" s="31"/>
      <c r="AN50" s="1429"/>
      <c r="AO50" s="444">
        <v>45</v>
      </c>
      <c r="AP50" s="74"/>
      <c r="AQ50" s="75"/>
    </row>
    <row r="51" spans="1:43" ht="27" hidden="1" customHeight="1" thickBot="1" x14ac:dyDescent="0.45">
      <c r="A51" s="1244" t="s">
        <v>93</v>
      </c>
      <c r="B51" s="91" t="s">
        <v>136</v>
      </c>
      <c r="C51" s="525" t="s">
        <v>310</v>
      </c>
      <c r="D51" s="92"/>
      <c r="E51" s="93"/>
      <c r="F51" s="99"/>
      <c r="G51" s="99"/>
      <c r="H51" s="99"/>
      <c r="I51" s="99"/>
      <c r="J51" s="99"/>
      <c r="K51" s="99"/>
      <c r="L51" s="94"/>
      <c r="M51" s="99"/>
      <c r="N51" s="94"/>
      <c r="O51" s="99"/>
      <c r="P51" s="94"/>
      <c r="Q51" s="99"/>
      <c r="R51" s="94"/>
      <c r="S51" s="99"/>
      <c r="T51" s="94"/>
      <c r="U51" s="99"/>
      <c r="V51" s="94"/>
      <c r="W51" s="99"/>
      <c r="X51" s="94"/>
      <c r="Y51" s="99"/>
      <c r="Z51" s="94"/>
      <c r="AA51" s="295"/>
      <c r="AB51" s="94"/>
      <c r="AC51" s="295"/>
      <c r="AD51" s="94"/>
      <c r="AE51" s="295"/>
      <c r="AF51" s="94"/>
      <c r="AG51" s="295"/>
      <c r="AH51" s="94"/>
      <c r="AI51" s="295"/>
      <c r="AJ51" s="183">
        <f t="shared" si="36"/>
        <v>0</v>
      </c>
      <c r="AK51" s="1206" t="str">
        <f>CONCATENATE(IF(D52&gt;D51," * Positive F01-27 for Age "&amp;D20&amp;" "&amp;D21&amp;" is more than Tested F01-26"&amp;CHAR(10),""),IF(E52&gt;E51," * Positive F01-27 for Age "&amp;D20&amp;" "&amp;E21&amp;" is more than Tested F01-26"&amp;CHAR(10),""),IF(F52&gt;F51," * Positive F01-27 for Age "&amp;F20&amp;" "&amp;F21&amp;" is more than Tested F01-26"&amp;CHAR(10),""),IF(G52&gt;G51," * Positive F01-27 for Age "&amp;F20&amp;" "&amp;G21&amp;" is more than Tested F01-26"&amp;CHAR(10),""),IF(H52&gt;H51," * Positive F01-27 for Age "&amp;H20&amp;" "&amp;H21&amp;" is more than Tested F01-26"&amp;CHAR(10),""),IF(I52&gt;I51," * Positive F01-27 for Age "&amp;H20&amp;" "&amp;I21&amp;" is more than Tested F01-26"&amp;CHAR(10),""),IF(J52&gt;J51," * Positive F01-27 for Age "&amp;J20&amp;" "&amp;J21&amp;" is more than Tested F01-26"&amp;CHAR(10),""),IF(K52&gt;K51," * Positive F01-27 for Age "&amp;J20&amp;" "&amp;K21&amp;" is more than Tested F01-26"&amp;CHAR(10),""),IF(L52&gt;L51," * Positive F01-27 for Age "&amp;L20&amp;" "&amp;L21&amp;" is more than Tested F01-26"&amp;CHAR(10),""),IF(M52&gt;M51," * Positive F01-27 for Age "&amp;L20&amp;" "&amp;M21&amp;" is more than Tested F01-26"&amp;CHAR(10),""),IF(N52&gt;N51," * Positive F01-27 for Age "&amp;N20&amp;" "&amp;N21&amp;" is more than Tested F01-26"&amp;CHAR(10),""),IF(O52&gt;O51," * Positive F01-27 for Age "&amp;N20&amp;" "&amp;O21&amp;" is more than Tested F01-26"&amp;CHAR(10),""),IF(P52&gt;P51," * Positive F01-27 for Age "&amp;P20&amp;" "&amp;P21&amp;" is more than Tested F01-26"&amp;CHAR(10),""),IF(Q52&gt;Q51," * Positive F01-27 for Age "&amp;P20&amp;" "&amp;Q21&amp;" is more than Tested F01-26"&amp;CHAR(10),""),IF(R52&gt;R51," * Positive F01-27 for Age "&amp;R20&amp;" "&amp;R21&amp;" is more than Tested F01-26"&amp;CHAR(10),""),IF(S52&gt;S51," * Positive F01-27 for Age "&amp;R20&amp;" "&amp;S21&amp;" is more than Tested F01-26"&amp;CHAR(10),""),IF(T52&gt;T51," * Positive F01-27 for Age "&amp;T20&amp;" "&amp;T21&amp;" is more than Tested F01-26"&amp;CHAR(10),""),IF(U52&gt;U51," * Positive F01-27 for Age "&amp;T20&amp;" "&amp;U21&amp;" is more than Tested F01-26"&amp;CHAR(10),""),IF(V52&gt;V51," * Positive F01-27 for Age "&amp;V20&amp;" "&amp;V21&amp;" is more than Tested F01-26"&amp;CHAR(10),""),IF(W52&gt;W51," * Positive F01-27 for Age "&amp;V20&amp;" "&amp;W21&amp;" is more than Tested F01-26"&amp;CHAR(10),""),IF(X52&gt;X51," * Positive F01-27 for Age "&amp;X20&amp;" "&amp;X21&amp;" is more than Tested F01-26"&amp;CHAR(10),""),IF(Y52&gt;Y51," * Positive F01-27 for Age "&amp;X20&amp;" "&amp;Y21&amp;" is more than Tested F01-26"&amp;CHAR(10),""),IF(Z52&gt;Z51," * Positive F01-27 for Age "&amp;Z20&amp;" "&amp;Z21&amp;" is more than Tested F01-26"&amp;CHAR(10),""),IF(AA52&gt;AA51," * Positive F01-27 for Age "&amp;Z20&amp;" "&amp;AA21&amp;" is more than Tested F01-26"&amp;CHAR(10),""))</f>
        <v/>
      </c>
      <c r="AL51" s="1312"/>
      <c r="AM51" s="31" t="str">
        <f>CONCATENATE(IF(AND(IFERROR((AJ52*100)/AJ51,0)&gt;10,AJ52&gt;5)," * This facility has a high positivity rate for Index Testing. Kindly confirm if this is the true reflection"&amp;CHAR(10),""),"")</f>
        <v/>
      </c>
      <c r="AN51" s="1429"/>
      <c r="AO51" s="444">
        <v>46</v>
      </c>
      <c r="AP51" s="74"/>
      <c r="AQ51" s="75"/>
    </row>
    <row r="52" spans="1:43" ht="27" hidden="1" customHeight="1" thickBot="1" x14ac:dyDescent="0.45">
      <c r="A52" s="1280"/>
      <c r="B52" s="575" t="s">
        <v>128</v>
      </c>
      <c r="C52" s="549" t="s">
        <v>151</v>
      </c>
      <c r="D52" s="577"/>
      <c r="E52" s="578"/>
      <c r="F52" s="120"/>
      <c r="G52" s="120"/>
      <c r="H52" s="120"/>
      <c r="I52" s="120"/>
      <c r="J52" s="120"/>
      <c r="K52" s="120"/>
      <c r="L52" s="579"/>
      <c r="M52" s="120"/>
      <c r="N52" s="579"/>
      <c r="O52" s="120"/>
      <c r="P52" s="579"/>
      <c r="Q52" s="120"/>
      <c r="R52" s="579"/>
      <c r="S52" s="120"/>
      <c r="T52" s="579"/>
      <c r="U52" s="120"/>
      <c r="V52" s="579"/>
      <c r="W52" s="120"/>
      <c r="X52" s="579"/>
      <c r="Y52" s="120"/>
      <c r="Z52" s="579"/>
      <c r="AA52" s="305"/>
      <c r="AB52" s="579"/>
      <c r="AC52" s="305"/>
      <c r="AD52" s="579"/>
      <c r="AE52" s="305"/>
      <c r="AF52" s="579"/>
      <c r="AG52" s="305"/>
      <c r="AH52" s="579"/>
      <c r="AI52" s="305"/>
      <c r="AJ52" s="184">
        <f t="shared" si="36"/>
        <v>0</v>
      </c>
      <c r="AK52" s="1206"/>
      <c r="AL52" s="1312"/>
      <c r="AM52" s="31"/>
      <c r="AN52" s="1429"/>
      <c r="AO52" s="444">
        <v>47</v>
      </c>
      <c r="AP52" s="74"/>
      <c r="AQ52" s="75"/>
    </row>
    <row r="53" spans="1:43" ht="27" customHeight="1" thickBot="1" x14ac:dyDescent="0.45">
      <c r="A53" s="1383" t="s">
        <v>947</v>
      </c>
      <c r="B53" s="952" t="s">
        <v>122</v>
      </c>
      <c r="C53" s="875" t="s">
        <v>1120</v>
      </c>
      <c r="D53" s="584"/>
      <c r="E53" s="585"/>
      <c r="F53" s="582"/>
      <c r="G53" s="580"/>
      <c r="H53" s="580"/>
      <c r="I53" s="580"/>
      <c r="J53" s="580"/>
      <c r="K53" s="580"/>
      <c r="L53" s="580"/>
      <c r="M53" s="580"/>
      <c r="N53" s="580"/>
      <c r="O53" s="580"/>
      <c r="P53" s="580"/>
      <c r="Q53" s="580"/>
      <c r="R53" s="580"/>
      <c r="S53" s="580"/>
      <c r="T53" s="580"/>
      <c r="U53" s="580"/>
      <c r="V53" s="580"/>
      <c r="W53" s="580"/>
      <c r="X53" s="580"/>
      <c r="Y53" s="580"/>
      <c r="Z53" s="463">
        <f t="shared" ref="Z53:AA55" si="42">SUM(AB53,AD53,AF53,AH53)</f>
        <v>0</v>
      </c>
      <c r="AA53" s="463">
        <f t="shared" si="42"/>
        <v>0</v>
      </c>
      <c r="AB53" s="580"/>
      <c r="AC53" s="580"/>
      <c r="AD53" s="580"/>
      <c r="AE53" s="580"/>
      <c r="AF53" s="580"/>
      <c r="AG53" s="580"/>
      <c r="AH53" s="580"/>
      <c r="AI53" s="580"/>
      <c r="AJ53" s="183">
        <f t="shared" si="36"/>
        <v>0</v>
      </c>
      <c r="AK53" s="547" t="str">
        <f>CONCATENATE(IF(D54&gt;D53," * SNS Contacts Elicited for Age "&amp;D20&amp;" "&amp;D21&amp;" is more than Tested F01-24"&amp;CHAR(10),""),IF(E54&gt;E53," * SNS Contacts Elicited for Age "&amp;D20&amp;" "&amp;E21&amp;" is more than Tested F01-24"&amp;CHAR(10),""),IF(F54&gt;F53," * SNS Contacts Elicited for Age "&amp;F20&amp;" "&amp;F21&amp;" is more than Tested F01-24"&amp;CHAR(10),""),IF(G54&gt;G53," * SNS Contacts Elicited for Age "&amp;F20&amp;" "&amp;G21&amp;" is more than Tested F01-24"&amp;CHAR(10),""),IF(H54&gt;H53," * SNS Contacts Elicited for Age "&amp;H20&amp;" "&amp;H21&amp;" is more than Tested F01-24"&amp;CHAR(10),""),IF(I54&gt;I53," * SNS Contacts Elicited for Age "&amp;H20&amp;" "&amp;I21&amp;" is more than Tested F01-24"&amp;CHAR(10),""),IF(J54&gt;J53," * SNS Contacts Elicited for Age "&amp;J20&amp;" "&amp;J21&amp;" is more than Tested F01-24"&amp;CHAR(10),""),IF(K54&gt;K53," * SNS Contacts Elicited for Age "&amp;J20&amp;" "&amp;K21&amp;" is more than Tested F01-24"&amp;CHAR(10),""),IF(L54&gt;L53," * SNS Contacts Elicited for Age "&amp;L20&amp;" "&amp;L21&amp;" is more than Tested F01-24"&amp;CHAR(10),""),IF(M54&gt;M53," * SNS Contacts Elicited for Age "&amp;L20&amp;" "&amp;M21&amp;" is more than Tested F01-24"&amp;CHAR(10),""),IF(N54&gt;N53," * SNS Contacts Elicited for Age "&amp;N20&amp;" "&amp;N21&amp;" is more than Tested F01-24"&amp;CHAR(10),""),IF(O54&gt;O53," * SNS Contacts Elicited for Age "&amp;N20&amp;" "&amp;O21&amp;" is more than Tested F01-24"&amp;CHAR(10),""),IF(P54&gt;P53," * SNS Contacts Elicited for Age "&amp;P20&amp;" "&amp;P21&amp;" is more than Tested F01-24"&amp;CHAR(10),""),IF(Q54&gt;Q53," * SNS Contacts Elicited for Age "&amp;P20&amp;" "&amp;Q21&amp;" is more than Tested F01-24"&amp;CHAR(10),""),IF(R54&gt;R53," * SNS Contacts Elicited for Age "&amp;R20&amp;" "&amp;R21&amp;" is more than Tested F01-24"&amp;CHAR(10),""),IF(S54&gt;S53," * SNS Contacts Elicited for Age "&amp;R20&amp;" "&amp;S21&amp;" is more than Tested F01-24"&amp;CHAR(10),""),IF(T54&gt;T53," * SNS Contacts Elicited for Age "&amp;T20&amp;" "&amp;T21&amp;" is more than Tested F01-24"&amp;CHAR(10),""),IF(U54&gt;U53," * SNS Contacts Elicited for Age "&amp;T20&amp;" "&amp;U21&amp;" is more than Tested F01-24"&amp;CHAR(10),""),IF(V54&gt;V53," * SNS Contacts Elicited for Age "&amp;V20&amp;" "&amp;V21&amp;" is more than Tested F01-24"&amp;CHAR(10),""),IF(W54&gt;W53," * SNS Contacts Elicited for Age "&amp;V20&amp;" "&amp;W21&amp;" is more than Tested F01-24"&amp;CHAR(10),""),IF(X54&gt;X53," * SNS Contacts Elicited for Age "&amp;X20&amp;" "&amp;X21&amp;" is more than Tested F01-24"&amp;CHAR(10),""),IF(Y54&gt;Y53," * SNS Contacts Elicited for Age "&amp;X20&amp;" "&amp;Y21&amp;" is more than Tested F01-24"&amp;CHAR(10),""),IF(Z54&gt;Z53," * SNS Contacts Elicited for Age "&amp;Z20&amp;" "&amp;Z21&amp;" is more than Tested F01-24"&amp;CHAR(10),""),IF(AA54&gt;AA53," * SNS Contacts Elicited for Age "&amp;Z20&amp;" "&amp;AA21&amp;" is more than Tested F01-24"&amp;CHAR(10),""))</f>
        <v/>
      </c>
      <c r="AL53" s="1312"/>
      <c r="AM53" s="31"/>
      <c r="AN53" s="1429"/>
      <c r="AO53" s="444"/>
      <c r="AP53" s="74"/>
      <c r="AQ53" s="75"/>
    </row>
    <row r="54" spans="1:43" ht="26.25" customHeight="1" x14ac:dyDescent="0.4">
      <c r="A54" s="1384"/>
      <c r="B54" s="953" t="s">
        <v>136</v>
      </c>
      <c r="C54" s="576" t="s">
        <v>948</v>
      </c>
      <c r="D54" s="586"/>
      <c r="E54" s="448"/>
      <c r="F54" s="583"/>
      <c r="G54" s="583"/>
      <c r="H54" s="583"/>
      <c r="I54" s="583"/>
      <c r="J54" s="583"/>
      <c r="K54" s="583"/>
      <c r="L54" s="583"/>
      <c r="M54" s="583"/>
      <c r="N54" s="583"/>
      <c r="O54" s="583"/>
      <c r="P54" s="583"/>
      <c r="Q54" s="583"/>
      <c r="R54" s="583"/>
      <c r="S54" s="583"/>
      <c r="T54" s="583"/>
      <c r="U54" s="583"/>
      <c r="V54" s="583"/>
      <c r="W54" s="583"/>
      <c r="X54" s="583"/>
      <c r="Y54" s="583"/>
      <c r="Z54" s="463">
        <f t="shared" si="42"/>
        <v>0</v>
      </c>
      <c r="AA54" s="463">
        <f t="shared" si="42"/>
        <v>0</v>
      </c>
      <c r="AB54" s="583"/>
      <c r="AC54" s="583"/>
      <c r="AD54" s="583"/>
      <c r="AE54" s="583"/>
      <c r="AF54" s="583"/>
      <c r="AG54" s="583"/>
      <c r="AH54" s="583"/>
      <c r="AI54" s="583"/>
      <c r="AJ54" s="183">
        <f t="shared" si="36"/>
        <v>0</v>
      </c>
      <c r="AK54" s="281" t="str">
        <f>CONCATENATE(IF(D55&gt;D54," * Positive F01-25 for Age "&amp;D20&amp;" "&amp;D21&amp;" is more than Tested F01-24"&amp;CHAR(10),""),IF(E55&gt;E54," * Positive F01-25 for Age "&amp;D20&amp;" "&amp;E21&amp;" is more than Tested F01-24"&amp;CHAR(10),""),IF(F55&gt;F54," * Positive F01-25 for Age "&amp;F20&amp;" "&amp;F21&amp;" is more than Tested F01-24"&amp;CHAR(10),""),IF(G55&gt;G54," * Positive F01-25 for Age "&amp;F20&amp;" "&amp;G21&amp;" is more than Tested F01-24"&amp;CHAR(10),""),IF(H55&gt;H54," * Positive F01-25 for Age "&amp;H20&amp;" "&amp;H21&amp;" is more than Tested F01-24"&amp;CHAR(10),""),IF(I55&gt;I54," * Positive F01-25 for Age "&amp;H20&amp;" "&amp;I21&amp;" is more than Tested F01-24"&amp;CHAR(10),""),IF(J55&gt;J54," * Positive F01-25 for Age "&amp;J20&amp;" "&amp;J21&amp;" is more than Tested F01-24"&amp;CHAR(10),""),IF(K55&gt;K54," * Positive F01-25 for Age "&amp;J20&amp;" "&amp;K21&amp;" is more than Tested F01-24"&amp;CHAR(10),""),IF(L55&gt;L54," * Positive F01-25 for Age "&amp;L20&amp;" "&amp;L21&amp;" is more than Tested F01-24"&amp;CHAR(10),""),IF(M55&gt;M54," * Positive F01-25 for Age "&amp;L20&amp;" "&amp;M21&amp;" is more than Tested F01-24"&amp;CHAR(10),""),IF(N55&gt;N54," * Positive F01-25 for Age "&amp;N20&amp;" "&amp;N21&amp;" is more than Tested F01-24"&amp;CHAR(10),""),IF(O55&gt;O54," * Positive F01-25 for Age "&amp;N20&amp;" "&amp;O21&amp;" is more than Tested F01-24"&amp;CHAR(10),""),IF(P55&gt;P54," * Positive F01-25 for Age "&amp;P20&amp;" "&amp;P21&amp;" is more than Tested F01-24"&amp;CHAR(10),""),IF(Q55&gt;Q54," * Positive F01-25 for Age "&amp;P20&amp;" "&amp;Q21&amp;" is more than Tested F01-24"&amp;CHAR(10),""),IF(R55&gt;R54," * Positive F01-25 for Age "&amp;R20&amp;" "&amp;R21&amp;" is more than Tested F01-24"&amp;CHAR(10),""),IF(S55&gt;S54," * Positive F01-25 for Age "&amp;R20&amp;" "&amp;S21&amp;" is more than Tested F01-24"&amp;CHAR(10),""),IF(T55&gt;T54," * Positive F01-25 for Age "&amp;T20&amp;" "&amp;T21&amp;" is more than Tested F01-24"&amp;CHAR(10),""),IF(U55&gt;U54," * Positive F01-25 for Age "&amp;T20&amp;" "&amp;U21&amp;" is more than Tested F01-24"&amp;CHAR(10),""),IF(V55&gt;V54," * Positive F01-25 for Age "&amp;V20&amp;" "&amp;V21&amp;" is more than Tested F01-24"&amp;CHAR(10),""),IF(W55&gt;W54," * Positive F01-25 for Age "&amp;V20&amp;" "&amp;W21&amp;" is more than Tested F01-24"&amp;CHAR(10),""),IF(X55&gt;X54," * Positive F01-25 for Age "&amp;X20&amp;" "&amp;X21&amp;" is more than Tested F01-24"&amp;CHAR(10),""),IF(Y55&gt;Y54," * Positive F01-25 for Age "&amp;X20&amp;" "&amp;Y21&amp;" is more than Tested F01-24"&amp;CHAR(10),""),IF(Z55&gt;Z54," * Positive F01-25 for Age "&amp;Z20&amp;" "&amp;Z21&amp;" is more than Tested F01-24"&amp;CHAR(10),""),IF(AA55&gt;AA54," * Positive F01-25 for Age "&amp;Z20&amp;" "&amp;AA21&amp;" is more than Tested F01-24"&amp;CHAR(10),""))</f>
        <v/>
      </c>
      <c r="AL54" s="1312"/>
      <c r="AM54" s="31"/>
      <c r="AN54" s="1429"/>
      <c r="AO54" s="444"/>
      <c r="AP54" s="74"/>
      <c r="AQ54" s="75"/>
    </row>
    <row r="55" spans="1:43" ht="27" thickBot="1" x14ac:dyDescent="0.45">
      <c r="A55" s="1384"/>
      <c r="B55" s="954" t="s">
        <v>128</v>
      </c>
      <c r="C55" s="587" t="s">
        <v>949</v>
      </c>
      <c r="D55" s="602"/>
      <c r="E55" s="603"/>
      <c r="F55" s="604"/>
      <c r="G55" s="605"/>
      <c r="H55" s="605"/>
      <c r="I55" s="605"/>
      <c r="J55" s="605"/>
      <c r="K55" s="605"/>
      <c r="L55" s="605"/>
      <c r="M55" s="605"/>
      <c r="N55" s="605"/>
      <c r="O55" s="605"/>
      <c r="P55" s="605"/>
      <c r="Q55" s="605"/>
      <c r="R55" s="605"/>
      <c r="S55" s="605"/>
      <c r="T55" s="605"/>
      <c r="U55" s="605"/>
      <c r="V55" s="605"/>
      <c r="W55" s="605"/>
      <c r="X55" s="605"/>
      <c r="Y55" s="605"/>
      <c r="Z55" s="463">
        <f t="shared" si="42"/>
        <v>0</v>
      </c>
      <c r="AA55" s="463">
        <f t="shared" si="42"/>
        <v>0</v>
      </c>
      <c r="AB55" s="605"/>
      <c r="AC55" s="605"/>
      <c r="AD55" s="605"/>
      <c r="AE55" s="605"/>
      <c r="AF55" s="605"/>
      <c r="AG55" s="605"/>
      <c r="AH55" s="605"/>
      <c r="AI55" s="605"/>
      <c r="AJ55" s="341">
        <f t="shared" si="36"/>
        <v>0</v>
      </c>
      <c r="AK55" s="281"/>
      <c r="AL55" s="1312"/>
      <c r="AM55" s="31"/>
      <c r="AN55" s="1429"/>
      <c r="AO55" s="444"/>
      <c r="AP55" s="74"/>
      <c r="AQ55" s="75"/>
    </row>
    <row r="56" spans="1:43" ht="27" thickBot="1" x14ac:dyDescent="0.45">
      <c r="A56" s="1384"/>
      <c r="B56" s="1004" t="s">
        <v>610</v>
      </c>
      <c r="C56" s="955" t="s">
        <v>1285</v>
      </c>
      <c r="D56" s="958"/>
      <c r="E56" s="958"/>
      <c r="F56" s="368">
        <f>F54-F55</f>
        <v>0</v>
      </c>
      <c r="G56" s="368">
        <f t="shared" ref="G56:AI56" si="43">G54-G55</f>
        <v>0</v>
      </c>
      <c r="H56" s="368">
        <f t="shared" si="43"/>
        <v>0</v>
      </c>
      <c r="I56" s="368">
        <f t="shared" si="43"/>
        <v>0</v>
      </c>
      <c r="J56" s="368">
        <f t="shared" si="43"/>
        <v>0</v>
      </c>
      <c r="K56" s="368">
        <f t="shared" si="43"/>
        <v>0</v>
      </c>
      <c r="L56" s="368">
        <f t="shared" si="43"/>
        <v>0</v>
      </c>
      <c r="M56" s="368">
        <f t="shared" si="43"/>
        <v>0</v>
      </c>
      <c r="N56" s="368">
        <f t="shared" si="43"/>
        <v>0</v>
      </c>
      <c r="O56" s="368">
        <f t="shared" si="43"/>
        <v>0</v>
      </c>
      <c r="P56" s="368">
        <f t="shared" si="43"/>
        <v>0</v>
      </c>
      <c r="Q56" s="368">
        <f t="shared" si="43"/>
        <v>0</v>
      </c>
      <c r="R56" s="368">
        <f t="shared" si="43"/>
        <v>0</v>
      </c>
      <c r="S56" s="368">
        <f t="shared" si="43"/>
        <v>0</v>
      </c>
      <c r="T56" s="368">
        <f t="shared" si="43"/>
        <v>0</v>
      </c>
      <c r="U56" s="368">
        <f t="shared" si="43"/>
        <v>0</v>
      </c>
      <c r="V56" s="368">
        <f t="shared" si="43"/>
        <v>0</v>
      </c>
      <c r="W56" s="368">
        <f t="shared" si="43"/>
        <v>0</v>
      </c>
      <c r="X56" s="368">
        <f t="shared" si="43"/>
        <v>0</v>
      </c>
      <c r="Y56" s="368">
        <f t="shared" si="43"/>
        <v>0</v>
      </c>
      <c r="Z56" s="368">
        <f t="shared" si="43"/>
        <v>0</v>
      </c>
      <c r="AA56" s="368">
        <f t="shared" si="43"/>
        <v>0</v>
      </c>
      <c r="AB56" s="368">
        <f t="shared" si="43"/>
        <v>0</v>
      </c>
      <c r="AC56" s="368">
        <f t="shared" si="43"/>
        <v>0</v>
      </c>
      <c r="AD56" s="368">
        <f t="shared" si="43"/>
        <v>0</v>
      </c>
      <c r="AE56" s="368">
        <f t="shared" si="43"/>
        <v>0</v>
      </c>
      <c r="AF56" s="368">
        <f t="shared" si="43"/>
        <v>0</v>
      </c>
      <c r="AG56" s="368">
        <f t="shared" si="43"/>
        <v>0</v>
      </c>
      <c r="AH56" s="368">
        <f t="shared" si="43"/>
        <v>0</v>
      </c>
      <c r="AI56" s="368">
        <f t="shared" si="43"/>
        <v>0</v>
      </c>
      <c r="AJ56" s="347">
        <f>SUM(D56:AA56)</f>
        <v>0</v>
      </c>
      <c r="AK56" s="942"/>
      <c r="AL56" s="1312"/>
      <c r="AM56" s="31"/>
      <c r="AN56" s="1429"/>
      <c r="AO56" s="444"/>
      <c r="AP56" s="74"/>
      <c r="AQ56" s="75"/>
    </row>
    <row r="57" spans="1:43" ht="27" hidden="1" thickBot="1" x14ac:dyDescent="0.45">
      <c r="A57" s="1385"/>
      <c r="B57" s="471" t="s">
        <v>1310</v>
      </c>
      <c r="C57" s="955" t="s">
        <v>1286</v>
      </c>
      <c r="D57" s="958"/>
      <c r="E57" s="958"/>
      <c r="F57" s="971"/>
      <c r="G57" s="971"/>
      <c r="H57" s="971"/>
      <c r="I57" s="971"/>
      <c r="J57" s="971"/>
      <c r="K57" s="971"/>
      <c r="L57" s="971"/>
      <c r="M57" s="971"/>
      <c r="N57" s="971"/>
      <c r="O57" s="971"/>
      <c r="P57" s="971"/>
      <c r="Q57" s="971"/>
      <c r="R57" s="971"/>
      <c r="S57" s="971"/>
      <c r="T57" s="971"/>
      <c r="U57" s="971"/>
      <c r="V57" s="971"/>
      <c r="W57" s="971"/>
      <c r="X57" s="971"/>
      <c r="Y57" s="971"/>
      <c r="Z57" s="463">
        <f t="shared" ref="Z57" si="44">SUM(AB57,AD57,AF57,AH57)</f>
        <v>0</v>
      </c>
      <c r="AA57" s="463">
        <f t="shared" ref="AA57" si="45">SUM(AC57,AE57,AG57,AI57)</f>
        <v>0</v>
      </c>
      <c r="AB57" s="971"/>
      <c r="AC57" s="971"/>
      <c r="AD57" s="971"/>
      <c r="AE57" s="971"/>
      <c r="AF57" s="971"/>
      <c r="AG57" s="971"/>
      <c r="AH57" s="971"/>
      <c r="AI57" s="971"/>
      <c r="AJ57" s="347">
        <f>SUM(D57:AA57)</f>
        <v>0</v>
      </c>
      <c r="AK57" s="947" t="str">
        <f>CONCATENATE(IF(D57&gt;D56," * SNS HIV  Negative for Age "&amp;D20&amp;" "&amp;D21&amp;" should be more than or equal to SNS HIV -ve Newly Initiated on Prep"&amp;CHAR(10),""),IF(E57&gt;E56," * SNS HIV  Negative for Age "&amp;D20&amp;" "&amp;E21&amp;" should be more than or equal to SNS HIV -ve Newly Initiated on Prep"&amp;CHAR(10),""),IF(F57&gt;F56," * SNS HIV  Negative for Age "&amp;F20&amp;" "&amp;F21&amp;" should be more than or equal to SNS HIV -ve Newly Initiated on Prep"&amp;CHAR(10),""),IF(G57&gt;G56," * SNS HIV  Negative for Age "&amp;F20&amp;" "&amp;G21&amp;" should be more than or equal to SNS HIV -ve Newly Initiated on Prep"&amp;CHAR(10),""),IF(H57&gt;H56," * SNS HIV  Negative for Age "&amp;H20&amp;" "&amp;H21&amp;" should be more than or equal to SNS HIV -ve Newly Initiated on Prep"&amp;CHAR(10),""),IF(I57&gt;I56," * SNS HIV  Negative for Age "&amp;H20&amp;" "&amp;I21&amp;" should be more than or equal to SNS HIV -ve Newly Initiated on Prep"&amp;CHAR(10),""),IF(J57&gt;J56," * SNS HIV  Negative for Age "&amp;J20&amp;" "&amp;J21&amp;" should be more than or equal to SNS HIV -ve Newly Initiated on Prep"&amp;CHAR(10),""),IF(K57&gt;K56," * SNS HIV  Negative for Age "&amp;J20&amp;" "&amp;K21&amp;" should be more than or equal to SNS HIV -ve Newly Initiated on Prep"&amp;CHAR(10),""),IF(L57&gt;L56," * SNS HIV  Negative for Age "&amp;L20&amp;" "&amp;L21&amp;" should be more than or equal to SNS HIV -ve Newly Initiated on Prep"&amp;CHAR(10),""),IF(M57&gt;M56," * SNS HIV  Negative for Age "&amp;L20&amp;" "&amp;M21&amp;" should be more than or equal to SNS HIV -ve Newly Initiated on Prep"&amp;CHAR(10),""),IF(N57&gt;N56," * SNS HIV  Negative for Age "&amp;N20&amp;" "&amp;N21&amp;" should be more than or equal to SNS HIV -ve Newly Initiated on Prep"&amp;CHAR(10),""),IF(O57&gt;O56," * SNS HIV  Negative for Age "&amp;N20&amp;" "&amp;O21&amp;" should be more than or equal to SNS HIV -ve Newly Initiated on Prep"&amp;CHAR(10),""),IF(P57&gt;P56," * SNS HIV  Negative for Age "&amp;P20&amp;" "&amp;P21&amp;" should be more than or equal to SNS HIV -ve Newly Initiated on Prep"&amp;CHAR(10),""),IF(Q57&gt;Q56," * SNS HIV  Negative for Age "&amp;P20&amp;" "&amp;Q21&amp;" should be more than or equal to SNS HIV -ve Newly Initiated on Prep"&amp;CHAR(10),""),IF(R57&gt;R56," * SNS HIV  Negative for Age "&amp;R20&amp;" "&amp;R21&amp;" should be more than or equal to SNS HIV -ve Newly Initiated on Prep"&amp;CHAR(10),""),IF(S57&gt;S56," * SNS HIV  Negative for Age "&amp;R20&amp;" "&amp;S21&amp;" should be more than or equal to SNS HIV -ve Newly Initiated on Prep"&amp;CHAR(10),""),IF(T57&gt;T56," * SNS HIV  Negative for Age "&amp;T20&amp;" "&amp;T21&amp;" should be more than or equal to SNS HIV -ve Newly Initiated on Prep"&amp;CHAR(10),""),IF(U57&gt;U56," * SNS HIV  Negative for Age "&amp;T20&amp;" "&amp;U21&amp;" should be more than or equal to SNS HIV -ve Newly Initiated on Prep"&amp;CHAR(10),""),IF(V57&gt;V56," * SNS HIV  Negative for Age "&amp;V20&amp;" "&amp;V21&amp;" should be more than or equal to SNS HIV -ve Newly Initiated on Prep"&amp;CHAR(10),""),IF(W57&gt;W56," * SNS HIV  Negative for Age "&amp;V20&amp;" "&amp;W21&amp;" should be more than or equal to SNS HIV -ve Newly Initiated on Prep"&amp;CHAR(10),""),IF(X57&gt;X56," * SNS HIV  Negative for Age "&amp;X20&amp;" "&amp;X21&amp;" should be more than or equal to SNS HIV -ve Newly Initiated on Prep"&amp;CHAR(10),""),IF(Y57&gt;Y56," * SNS HIV  Negative for Age "&amp;X20&amp;" "&amp;Y21&amp;" should be more than or equal to SNS HIV -ve Newly Initiated on Prep"&amp;CHAR(10),""),IF(Z57&gt;Z56," * SNS HIV  Negative for Age "&amp;Z20&amp;" "&amp;Z21&amp;" should be more than or equal to SNS HIV -ve Newly Initiated on Prep"&amp;CHAR(10),""),IF(AA57&gt;AA56," * SNS HIV  Negative for Age "&amp;Z20&amp;" "&amp;AA21&amp;" should be more than or equal to SNS HIV -ve Newly Initiated on Prep"&amp;CHAR(10),""))</f>
        <v/>
      </c>
      <c r="AL57" s="1312"/>
      <c r="AM57" s="31"/>
      <c r="AN57" s="1429"/>
      <c r="AO57" s="444"/>
      <c r="AP57" s="74"/>
      <c r="AQ57" s="75"/>
    </row>
    <row r="58" spans="1:43" s="8" customFormat="1" ht="26.25" x14ac:dyDescent="0.4">
      <c r="A58" s="1390" t="s">
        <v>1126</v>
      </c>
      <c r="B58" s="606" t="s">
        <v>585</v>
      </c>
      <c r="C58" s="755" t="s">
        <v>311</v>
      </c>
      <c r="D58" s="956">
        <f t="shared" ref="D58:AI58" si="46">SUM(D27+D35+D37+D39+D41+D43+D45+D47+D49+D51+D54)</f>
        <v>0</v>
      </c>
      <c r="E58" s="957">
        <f t="shared" si="46"/>
        <v>0</v>
      </c>
      <c r="F58" s="758">
        <f t="shared" si="46"/>
        <v>0</v>
      </c>
      <c r="G58" s="758">
        <f t="shared" si="46"/>
        <v>0</v>
      </c>
      <c r="H58" s="758">
        <f t="shared" si="46"/>
        <v>0</v>
      </c>
      <c r="I58" s="758">
        <f t="shared" si="46"/>
        <v>0</v>
      </c>
      <c r="J58" s="758">
        <f t="shared" si="46"/>
        <v>0</v>
      </c>
      <c r="K58" s="758">
        <f t="shared" si="46"/>
        <v>0</v>
      </c>
      <c r="L58" s="758">
        <f t="shared" si="46"/>
        <v>0</v>
      </c>
      <c r="M58" s="758">
        <f t="shared" si="46"/>
        <v>0</v>
      </c>
      <c r="N58" s="758">
        <f t="shared" si="46"/>
        <v>0</v>
      </c>
      <c r="O58" s="758">
        <f t="shared" si="46"/>
        <v>0</v>
      </c>
      <c r="P58" s="758">
        <f t="shared" si="46"/>
        <v>0</v>
      </c>
      <c r="Q58" s="758">
        <f t="shared" si="46"/>
        <v>0</v>
      </c>
      <c r="R58" s="758">
        <f t="shared" si="46"/>
        <v>0</v>
      </c>
      <c r="S58" s="758">
        <f t="shared" si="46"/>
        <v>0</v>
      </c>
      <c r="T58" s="758">
        <f t="shared" si="46"/>
        <v>0</v>
      </c>
      <c r="U58" s="758">
        <f t="shared" si="46"/>
        <v>0</v>
      </c>
      <c r="V58" s="758">
        <f t="shared" si="46"/>
        <v>0</v>
      </c>
      <c r="W58" s="758">
        <f t="shared" si="46"/>
        <v>0</v>
      </c>
      <c r="X58" s="758">
        <f t="shared" si="46"/>
        <v>0</v>
      </c>
      <c r="Y58" s="758">
        <f t="shared" si="46"/>
        <v>0</v>
      </c>
      <c r="Z58" s="758">
        <f t="shared" si="46"/>
        <v>0</v>
      </c>
      <c r="AA58" s="758">
        <f t="shared" si="46"/>
        <v>0</v>
      </c>
      <c r="AB58" s="758">
        <f t="shared" si="46"/>
        <v>0</v>
      </c>
      <c r="AC58" s="758">
        <f t="shared" si="46"/>
        <v>0</v>
      </c>
      <c r="AD58" s="758">
        <f t="shared" si="46"/>
        <v>0</v>
      </c>
      <c r="AE58" s="758">
        <f t="shared" si="46"/>
        <v>0</v>
      </c>
      <c r="AF58" s="758">
        <f t="shared" si="46"/>
        <v>0</v>
      </c>
      <c r="AG58" s="758">
        <f t="shared" si="46"/>
        <v>0</v>
      </c>
      <c r="AH58" s="758">
        <f t="shared" si="46"/>
        <v>0</v>
      </c>
      <c r="AI58" s="759">
        <f t="shared" si="46"/>
        <v>0</v>
      </c>
      <c r="AJ58" s="183">
        <f t="shared" si="36"/>
        <v>0</v>
      </c>
      <c r="AK58" s="30" t="str">
        <f>CONCATENATE(IF(D59&gt;D58," * Totals HTS Positive F01-29 for Age "&amp;D20&amp;" "&amp;D21&amp;" is more than Total Tested F01-28"&amp;CHAR(10),""),IF(E59&gt;E58," * Totals HTS Positive F01-29 for Age "&amp;D20&amp;" "&amp;E21&amp;" is more than Total Tested F01-28"&amp;CHAR(10),""),IF(F59&gt;F58," * Totals HTS Positive F01-29 for Age "&amp;F20&amp;" "&amp;F21&amp;" is more than Total Tested F01-28"&amp;CHAR(10),""),IF(G59&gt;G58," * Totals HTS Positive F01-29 for Age "&amp;F20&amp;" "&amp;G21&amp;" is more than Total Tested F01-28"&amp;CHAR(10),""),IF(H59&gt;H58," * Totals HTS Positive F01-29 for Age "&amp;H20&amp;" "&amp;H21&amp;" is more than Total Tested F01-28"&amp;CHAR(10),""),IF(I59&gt;I58," * Totals HTS Positive F01-29 for Age "&amp;H20&amp;" "&amp;I21&amp;" is more than Total Tested F01-28"&amp;CHAR(10),""),IF(J59&gt;J58," * Totals HTS Positive F01-29 for Age "&amp;J20&amp;" "&amp;J21&amp;" is more than Total Tested F01-28"&amp;CHAR(10),""),IF(K59&gt;K58," * Totals HTS Positive F01-29 for Age "&amp;J20&amp;" "&amp;K21&amp;" is more than Total Tested F01-28"&amp;CHAR(10),""),IF(L59&gt;L58," * Totals HTS Positive F01-29 for Age "&amp;L20&amp;" "&amp;L21&amp;" is more than Total Tested F01-28"&amp;CHAR(10),""),IF(M59&gt;M58," * Totals HTS Positive F01-29 for Age "&amp;L20&amp;" "&amp;M21&amp;" is more than Total Tested F01-28"&amp;CHAR(10),""),IF(N59&gt;N58," * Totals HTS Positive F01-29 for Age "&amp;N20&amp;" "&amp;N21&amp;" is more than Total Tested F01-28"&amp;CHAR(10),""),IF(O59&gt;O58," * Totals HTS Positive F01-29 for Age "&amp;N20&amp;" "&amp;O21&amp;" is more than Total Tested F01-28"&amp;CHAR(10),""),IF(P59&gt;P58," * Totals HTS Positive F01-29 for Age "&amp;P20&amp;" "&amp;P21&amp;" is more than Total Tested F01-28"&amp;CHAR(10),""),IF(Q59&gt;Q58," * Totals HTS Positive F01-29 for Age "&amp;P20&amp;" "&amp;Q21&amp;" is more than Total Tested F01-28"&amp;CHAR(10),""),IF(R59&gt;R58," * Totals HTS Positive F01-29 for Age "&amp;R20&amp;" "&amp;R21&amp;" is more than Total Tested F01-28"&amp;CHAR(10),""),IF(S59&gt;S58," * Totals HTS Positive F01-29 for Age "&amp;R20&amp;" "&amp;S21&amp;" is more than Total Tested F01-28"&amp;CHAR(10),""),IF(T59&gt;T58," * Totals HTS Positive F01-29 for Age "&amp;T20&amp;" "&amp;T21&amp;" is more than Total Tested F01-28"&amp;CHAR(10),""),IF(U59&gt;U58," * Totals HTS Positive F01-29 for Age "&amp;T20&amp;" "&amp;U21&amp;" is more than Total Tested F01-28"&amp;CHAR(10),""),IF(V59&gt;V58," * Totals HTS Positive F01-29 for Age "&amp;V20&amp;" "&amp;V21&amp;" is more than Total Tested F01-28"&amp;CHAR(10),""),IF(W59&gt;W58," * Totals HTS Positive F01-29 for Age "&amp;V20&amp;" "&amp;W21&amp;" is more than Total Tested F01-28"&amp;CHAR(10),""),IF(X59&gt;X58," * Totals HTS Positive F01-29 for Age "&amp;X20&amp;" "&amp;X21&amp;" is more than Total Tested F01-28"&amp;CHAR(10),""),IF(Y59&gt;Y58," * Totals HTS Positive F01-29 for Age "&amp;X20&amp;" "&amp;Y21&amp;" is more than Total Tested F01-28"&amp;CHAR(10),""),IF(Z59&gt;Z58," * Totals HTS Positive F01-29 for Age "&amp;Z20&amp;" "&amp;Z21&amp;" is more than Total Tested F01-28"&amp;CHAR(10),""),IF(AA59&gt;AA58," * Totals HTS Positive F01-29 for Age "&amp;Z20&amp;" "&amp;AA21&amp;" is more than Total Tested F01-28"&amp;CHAR(10),""))</f>
        <v/>
      </c>
      <c r="AL58" s="1312"/>
      <c r="AM58" s="108" t="str">
        <f>CONCATENATE(IF(AJ356&gt;SUM(AJ28,AJ36,AJ38,AJ40,AJ42,AJ44,AJ46,AJ48,AJ50,AJ52,AJ305,AJ309,AJ313,AJ317)," * This site has more started on ART than positives"&amp;CHAR(10),""),"")</f>
        <v/>
      </c>
      <c r="AN58" s="1429"/>
      <c r="AO58" s="444">
        <v>48</v>
      </c>
      <c r="AP58" s="109"/>
      <c r="AQ58" s="110"/>
    </row>
    <row r="59" spans="1:43" s="114" customFormat="1" ht="27" thickBot="1" x14ac:dyDescent="0.45">
      <c r="A59" s="1391"/>
      <c r="B59" s="607" t="s">
        <v>594</v>
      </c>
      <c r="C59" s="756" t="s">
        <v>312</v>
      </c>
      <c r="D59" s="760">
        <f t="shared" ref="D59:AI59" si="47">SUM(D28+D36+D38+D40+D42+D44+D46+D48+D50+D52+D55)</f>
        <v>0</v>
      </c>
      <c r="E59" s="761">
        <f t="shared" si="47"/>
        <v>0</v>
      </c>
      <c r="F59" s="761">
        <f t="shared" si="47"/>
        <v>0</v>
      </c>
      <c r="G59" s="761">
        <f t="shared" si="47"/>
        <v>0</v>
      </c>
      <c r="H59" s="761">
        <f t="shared" si="47"/>
        <v>0</v>
      </c>
      <c r="I59" s="761">
        <f t="shared" si="47"/>
        <v>0</v>
      </c>
      <c r="J59" s="761">
        <f t="shared" si="47"/>
        <v>0</v>
      </c>
      <c r="K59" s="761">
        <f t="shared" si="47"/>
        <v>0</v>
      </c>
      <c r="L59" s="761">
        <f t="shared" si="47"/>
        <v>0</v>
      </c>
      <c r="M59" s="761">
        <f t="shared" si="47"/>
        <v>0</v>
      </c>
      <c r="N59" s="761">
        <f t="shared" si="47"/>
        <v>0</v>
      </c>
      <c r="O59" s="761">
        <f t="shared" si="47"/>
        <v>0</v>
      </c>
      <c r="P59" s="761">
        <f t="shared" si="47"/>
        <v>0</v>
      </c>
      <c r="Q59" s="761">
        <f t="shared" si="47"/>
        <v>0</v>
      </c>
      <c r="R59" s="761">
        <f t="shared" si="47"/>
        <v>0</v>
      </c>
      <c r="S59" s="761">
        <f t="shared" si="47"/>
        <v>0</v>
      </c>
      <c r="T59" s="761">
        <f t="shared" si="47"/>
        <v>0</v>
      </c>
      <c r="U59" s="761">
        <f t="shared" si="47"/>
        <v>0</v>
      </c>
      <c r="V59" s="761">
        <f t="shared" si="47"/>
        <v>0</v>
      </c>
      <c r="W59" s="761">
        <f t="shared" si="47"/>
        <v>0</v>
      </c>
      <c r="X59" s="761">
        <f t="shared" si="47"/>
        <v>0</v>
      </c>
      <c r="Y59" s="761">
        <f t="shared" si="47"/>
        <v>0</v>
      </c>
      <c r="Z59" s="761">
        <f t="shared" si="47"/>
        <v>0</v>
      </c>
      <c r="AA59" s="761">
        <f t="shared" si="47"/>
        <v>0</v>
      </c>
      <c r="AB59" s="761">
        <f t="shared" si="47"/>
        <v>0</v>
      </c>
      <c r="AC59" s="761">
        <f t="shared" si="47"/>
        <v>0</v>
      </c>
      <c r="AD59" s="761">
        <f t="shared" si="47"/>
        <v>0</v>
      </c>
      <c r="AE59" s="761">
        <f t="shared" si="47"/>
        <v>0</v>
      </c>
      <c r="AF59" s="761">
        <f t="shared" si="47"/>
        <v>0</v>
      </c>
      <c r="AG59" s="761">
        <f t="shared" si="47"/>
        <v>0</v>
      </c>
      <c r="AH59" s="761">
        <f t="shared" si="47"/>
        <v>0</v>
      </c>
      <c r="AI59" s="762">
        <f t="shared" si="47"/>
        <v>0</v>
      </c>
      <c r="AJ59" s="348">
        <f t="shared" si="36"/>
        <v>0</v>
      </c>
      <c r="AK59" s="111"/>
      <c r="AL59" s="1312"/>
      <c r="AM59" s="112" t="str">
        <f>CONCATENATE(IF(AND(AJ356=0,SUM(AJ28,AJ36,AJ38,AJ40,AJ42,AJ44,AJ46,AJ48,AJ50,AJ52,AJ305,AJ309,AJ313,AJ317)&gt;0)," * This site has positives but none was started on ART"&amp;CHAR(10),""),"")</f>
        <v/>
      </c>
      <c r="AN59" s="1429"/>
      <c r="AO59" s="444">
        <v>49</v>
      </c>
      <c r="AP59" s="113"/>
      <c r="AQ59" s="110"/>
    </row>
    <row r="60" spans="1:43" s="8" customFormat="1" ht="26.25" x14ac:dyDescent="0.4">
      <c r="A60" s="1431" t="s">
        <v>1127</v>
      </c>
      <c r="B60" s="752" t="s">
        <v>1128</v>
      </c>
      <c r="C60" s="755" t="s">
        <v>1130</v>
      </c>
      <c r="D60" s="757">
        <f t="shared" ref="D60:AI60" si="48">SUM(D27+D37+D39+D41+D43+D45+D47+D49+D51+D54+D304+D308+D310+D312+D314+D316+D318+D320+D322+D35)</f>
        <v>0</v>
      </c>
      <c r="E60" s="757">
        <f t="shared" si="48"/>
        <v>0</v>
      </c>
      <c r="F60" s="757">
        <f t="shared" si="48"/>
        <v>0</v>
      </c>
      <c r="G60" s="757">
        <f t="shared" si="48"/>
        <v>0</v>
      </c>
      <c r="H60" s="757">
        <f t="shared" si="48"/>
        <v>0</v>
      </c>
      <c r="I60" s="757">
        <f t="shared" si="48"/>
        <v>0</v>
      </c>
      <c r="J60" s="757">
        <f t="shared" si="48"/>
        <v>0</v>
      </c>
      <c r="K60" s="757">
        <f t="shared" si="48"/>
        <v>0</v>
      </c>
      <c r="L60" s="757">
        <f t="shared" si="48"/>
        <v>0</v>
      </c>
      <c r="M60" s="757">
        <f t="shared" si="48"/>
        <v>0</v>
      </c>
      <c r="N60" s="757">
        <f t="shared" si="48"/>
        <v>0</v>
      </c>
      <c r="O60" s="757">
        <f t="shared" si="48"/>
        <v>0</v>
      </c>
      <c r="P60" s="757">
        <f t="shared" si="48"/>
        <v>0</v>
      </c>
      <c r="Q60" s="757">
        <f t="shared" si="48"/>
        <v>0</v>
      </c>
      <c r="R60" s="757">
        <f t="shared" si="48"/>
        <v>0</v>
      </c>
      <c r="S60" s="757">
        <f t="shared" si="48"/>
        <v>0</v>
      </c>
      <c r="T60" s="757">
        <f t="shared" si="48"/>
        <v>0</v>
      </c>
      <c r="U60" s="757">
        <f t="shared" si="48"/>
        <v>0</v>
      </c>
      <c r="V60" s="757">
        <f t="shared" si="48"/>
        <v>0</v>
      </c>
      <c r="W60" s="757">
        <f t="shared" si="48"/>
        <v>0</v>
      </c>
      <c r="X60" s="757">
        <f t="shared" si="48"/>
        <v>0</v>
      </c>
      <c r="Y60" s="757">
        <f t="shared" si="48"/>
        <v>0</v>
      </c>
      <c r="Z60" s="757">
        <f t="shared" si="48"/>
        <v>0</v>
      </c>
      <c r="AA60" s="757">
        <f t="shared" si="48"/>
        <v>0</v>
      </c>
      <c r="AB60" s="757">
        <f t="shared" si="48"/>
        <v>0</v>
      </c>
      <c r="AC60" s="757">
        <f t="shared" si="48"/>
        <v>0</v>
      </c>
      <c r="AD60" s="757">
        <f t="shared" si="48"/>
        <v>0</v>
      </c>
      <c r="AE60" s="757">
        <f t="shared" si="48"/>
        <v>0</v>
      </c>
      <c r="AF60" s="757">
        <f t="shared" si="48"/>
        <v>0</v>
      </c>
      <c r="AG60" s="757">
        <f t="shared" si="48"/>
        <v>0</v>
      </c>
      <c r="AH60" s="757">
        <f t="shared" si="48"/>
        <v>0</v>
      </c>
      <c r="AI60" s="757">
        <f t="shared" si="48"/>
        <v>0</v>
      </c>
      <c r="AJ60" s="588">
        <f t="shared" ref="AJ60:AJ66" si="49">SUM(D60:AA60)</f>
        <v>0</v>
      </c>
      <c r="AK60" s="741"/>
      <c r="AL60" s="1312"/>
      <c r="AM60" s="108" t="str">
        <f>CONCATENATE(IF(AJ358&gt;SUM(AJ32,AJ38,AJ40,AJ42,AJ44,AJ46,AJ48,AJ50,AJ52,AJ54,AJ307,AJ311,AJ315,AJ319)," * This site has more started on ART than positives"&amp;CHAR(10),""),"")</f>
        <v/>
      </c>
      <c r="AN60" s="1429"/>
      <c r="AO60" s="444">
        <v>48</v>
      </c>
      <c r="AP60" s="109"/>
      <c r="AQ60" s="110"/>
    </row>
    <row r="61" spans="1:43" s="114" customFormat="1" ht="27" thickBot="1" x14ac:dyDescent="0.45">
      <c r="A61" s="1391"/>
      <c r="B61" s="753" t="s">
        <v>1129</v>
      </c>
      <c r="C61" s="756" t="s">
        <v>1131</v>
      </c>
      <c r="D61" s="601">
        <f t="shared" ref="D61:AI61" si="50">SUM(D28+D36+D38+D40+D42+D44+D46+D48+D50+D52+D55+D305,D309,D311,D313,D315,D317,D319,D321,D323)</f>
        <v>0</v>
      </c>
      <c r="E61" s="601">
        <f t="shared" si="50"/>
        <v>0</v>
      </c>
      <c r="F61" s="601">
        <f t="shared" si="50"/>
        <v>0</v>
      </c>
      <c r="G61" s="601">
        <f t="shared" si="50"/>
        <v>0</v>
      </c>
      <c r="H61" s="601">
        <f t="shared" si="50"/>
        <v>0</v>
      </c>
      <c r="I61" s="601">
        <f t="shared" si="50"/>
        <v>0</v>
      </c>
      <c r="J61" s="601">
        <f t="shared" si="50"/>
        <v>0</v>
      </c>
      <c r="K61" s="601">
        <f t="shared" si="50"/>
        <v>0</v>
      </c>
      <c r="L61" s="601">
        <f t="shared" si="50"/>
        <v>0</v>
      </c>
      <c r="M61" s="601">
        <f t="shared" si="50"/>
        <v>0</v>
      </c>
      <c r="N61" s="601">
        <f t="shared" si="50"/>
        <v>0</v>
      </c>
      <c r="O61" s="601">
        <f t="shared" si="50"/>
        <v>0</v>
      </c>
      <c r="P61" s="601">
        <f t="shared" si="50"/>
        <v>0</v>
      </c>
      <c r="Q61" s="601">
        <f t="shared" si="50"/>
        <v>0</v>
      </c>
      <c r="R61" s="601">
        <f t="shared" si="50"/>
        <v>0</v>
      </c>
      <c r="S61" s="601">
        <f t="shared" si="50"/>
        <v>0</v>
      </c>
      <c r="T61" s="601">
        <f t="shared" si="50"/>
        <v>0</v>
      </c>
      <c r="U61" s="601">
        <f t="shared" si="50"/>
        <v>0</v>
      </c>
      <c r="V61" s="601">
        <f t="shared" si="50"/>
        <v>0</v>
      </c>
      <c r="W61" s="601">
        <f t="shared" si="50"/>
        <v>0</v>
      </c>
      <c r="X61" s="601">
        <f t="shared" si="50"/>
        <v>0</v>
      </c>
      <c r="Y61" s="601">
        <f t="shared" si="50"/>
        <v>0</v>
      </c>
      <c r="Z61" s="601">
        <f t="shared" si="50"/>
        <v>0</v>
      </c>
      <c r="AA61" s="601">
        <f t="shared" si="50"/>
        <v>0</v>
      </c>
      <c r="AB61" s="601">
        <f t="shared" si="50"/>
        <v>0</v>
      </c>
      <c r="AC61" s="601">
        <f t="shared" si="50"/>
        <v>0</v>
      </c>
      <c r="AD61" s="601">
        <f t="shared" si="50"/>
        <v>0</v>
      </c>
      <c r="AE61" s="601">
        <f t="shared" si="50"/>
        <v>0</v>
      </c>
      <c r="AF61" s="601">
        <f t="shared" si="50"/>
        <v>0</v>
      </c>
      <c r="AG61" s="601">
        <f t="shared" si="50"/>
        <v>0</v>
      </c>
      <c r="AH61" s="601">
        <f t="shared" si="50"/>
        <v>0</v>
      </c>
      <c r="AI61" s="601">
        <f t="shared" si="50"/>
        <v>0</v>
      </c>
      <c r="AJ61" s="589">
        <f t="shared" si="49"/>
        <v>0</v>
      </c>
      <c r="AK61" s="741"/>
      <c r="AL61" s="1313"/>
      <c r="AM61" s="112" t="str">
        <f>CONCATENATE(IF(AND(AJ358=0,SUM(AJ32,AJ38,AJ40,AJ42,AJ44,AJ46,AJ48,AJ50,AJ52,AJ54,AJ307,AJ311,AJ315,AJ319)&gt;0)," * This site has positives but none was started on ART"&amp;CHAR(10),""),"")</f>
        <v/>
      </c>
      <c r="AN61" s="1430"/>
      <c r="AO61" s="444">
        <v>49</v>
      </c>
      <c r="AP61" s="113"/>
      <c r="AQ61" s="110"/>
    </row>
    <row r="62" spans="1:43" ht="27" hidden="1" thickBot="1" x14ac:dyDescent="0.45">
      <c r="A62" s="1437" t="s">
        <v>1141</v>
      </c>
      <c r="B62" s="1251"/>
      <c r="C62" s="1251"/>
      <c r="D62" s="1251"/>
      <c r="E62" s="1251"/>
      <c r="F62" s="1251"/>
      <c r="G62" s="1251"/>
      <c r="H62" s="1251"/>
      <c r="I62" s="1251"/>
      <c r="J62" s="1251"/>
      <c r="K62" s="1251"/>
      <c r="L62" s="1251"/>
      <c r="M62" s="1251"/>
      <c r="N62" s="1251"/>
      <c r="O62" s="1251"/>
      <c r="P62" s="1251"/>
      <c r="Q62" s="1251"/>
      <c r="R62" s="1251"/>
      <c r="S62" s="1251"/>
      <c r="T62" s="1251"/>
      <c r="U62" s="1251"/>
      <c r="V62" s="1251"/>
      <c r="W62" s="1251"/>
      <c r="X62" s="1251"/>
      <c r="Y62" s="1251"/>
      <c r="Z62" s="1251"/>
      <c r="AA62" s="1251"/>
      <c r="AB62" s="1251"/>
      <c r="AC62" s="1251"/>
      <c r="AD62" s="1251"/>
      <c r="AE62" s="1251"/>
      <c r="AF62" s="1251"/>
      <c r="AG62" s="1251"/>
      <c r="AH62" s="1251"/>
      <c r="AI62" s="1251"/>
      <c r="AJ62" s="1250"/>
      <c r="AK62" s="1251"/>
      <c r="AL62" s="1250"/>
      <c r="AM62" s="1250"/>
      <c r="AN62" s="1438"/>
      <c r="AO62" s="13">
        <v>50</v>
      </c>
      <c r="AP62" s="74"/>
      <c r="AQ62" s="75"/>
    </row>
    <row r="63" spans="1:43" ht="29.25" hidden="1" customHeight="1" x14ac:dyDescent="0.4">
      <c r="A63" s="1244" t="s">
        <v>353</v>
      </c>
      <c r="B63" s="91" t="s">
        <v>136</v>
      </c>
      <c r="C63" s="807" t="s">
        <v>1137</v>
      </c>
      <c r="D63" s="271"/>
      <c r="E63" s="93"/>
      <c r="F63" s="99"/>
      <c r="G63" s="99"/>
      <c r="H63" s="99"/>
      <c r="I63" s="99"/>
      <c r="J63" s="99"/>
      <c r="K63" s="99"/>
      <c r="L63" s="94"/>
      <c r="M63" s="94"/>
      <c r="N63" s="94"/>
      <c r="O63" s="94"/>
      <c r="P63" s="94"/>
      <c r="Q63" s="94"/>
      <c r="R63" s="94"/>
      <c r="S63" s="94"/>
      <c r="T63" s="94"/>
      <c r="U63" s="94"/>
      <c r="V63" s="94"/>
      <c r="W63" s="94"/>
      <c r="X63" s="94"/>
      <c r="Y63" s="94"/>
      <c r="Z63" s="94"/>
      <c r="AA63" s="293"/>
      <c r="AB63" s="354"/>
      <c r="AC63" s="325"/>
      <c r="AD63" s="325"/>
      <c r="AE63" s="325"/>
      <c r="AF63" s="325"/>
      <c r="AG63" s="325"/>
      <c r="AH63" s="325"/>
      <c r="AI63" s="285"/>
      <c r="AJ63" s="588">
        <f t="shared" si="49"/>
        <v>0</v>
      </c>
      <c r="AK63" s="1439" t="str">
        <f>CONCATENATE(IF(D64&gt;D63," * Positive FSW for Age "&amp;D20&amp;" "&amp;D21&amp;" is more than Tested FSW"&amp;CHAR(10),""),IF(E64&gt;E63," * Positive FSW for Age "&amp;D20&amp;" "&amp;E21&amp;" is more than Tested FSW"&amp;CHAR(10),""),IF(F64&gt;F63," * Positive FSW for Age "&amp;F20&amp;" "&amp;F21&amp;" is more than Tested FSW"&amp;CHAR(10),""),IF(G64&gt;G63," * Positive FSW for Age "&amp;F20&amp;" "&amp;G21&amp;" is more than Tested FSW"&amp;CHAR(10),""),IF(H64&gt;H63," * Positive FSW for Age "&amp;H20&amp;" "&amp;H21&amp;" is more than Tested FSW"&amp;CHAR(10),""),IF(I64&gt;I63," * Positive FSW for Age "&amp;H20&amp;" "&amp;I21&amp;" is more than Tested FSW"&amp;CHAR(10),""),IF(J64&gt;J63," * Positive FSW for Age "&amp;J20&amp;" "&amp;J21&amp;" is more than Tested FSW"&amp;CHAR(10),""),IF(K64&gt;K63," * Positive FSW for Age "&amp;J20&amp;" "&amp;K21&amp;" is more than Tested FSW"&amp;CHAR(10),""),IF(L64&gt;L63," * Positive FSW for Age "&amp;L20&amp;" "&amp;L21&amp;" is more than Tested FSW"&amp;CHAR(10),""),IF(M64&gt;M63," * Positive FSW for Age "&amp;L20&amp;" "&amp;M21&amp;" is more than Tested FSW"&amp;CHAR(10),""),IF(N64&gt;N63," * Positive FSW for Age "&amp;N20&amp;" "&amp;N21&amp;" is more than Tested FSW"&amp;CHAR(10),""),IF(O64&gt;O63," * Positive FSW for Age "&amp;N20&amp;" "&amp;O21&amp;" is more than Tested FSW"&amp;CHAR(10),""),IF(P64&gt;P63," * Positive FSW for Age "&amp;P20&amp;" "&amp;P21&amp;" is more than Tested FSW"&amp;CHAR(10),""),IF(Q64&gt;Q63," * Positive FSW for Age "&amp;P20&amp;" "&amp;Q21&amp;" is more than Tested FSW"&amp;CHAR(10),""),IF(R64&gt;R63," * Positive FSW for Age "&amp;R20&amp;" "&amp;R21&amp;" is more than Tested FSW"&amp;CHAR(10),""),IF(S64&gt;S63," * Positive FSW for Age "&amp;R20&amp;" "&amp;S21&amp;" is more than Tested FSW"&amp;CHAR(10),""),IF(T64&gt;T63," * Positive FSW for Age "&amp;T20&amp;" "&amp;T21&amp;" is more than Tested FSW"&amp;CHAR(10),""),IF(U64&gt;U63," * Positive FSW for Age "&amp;T20&amp;" "&amp;U21&amp;" is more than Tested FSW"&amp;CHAR(10),""),IF(V64&gt;V63," * Positive FSW for Age "&amp;V20&amp;" "&amp;V21&amp;" is more than Tested FSW"&amp;CHAR(10),""),IF(W64&gt;W63," * Positive FSW for Age "&amp;V20&amp;" "&amp;W21&amp;" is more than Tested FSW"&amp;CHAR(10),""),IF(X64&gt;X63," * Positive FSW for Age "&amp;X20&amp;" "&amp;X21&amp;" is more than Tested FSW"&amp;CHAR(10),""),IF(Y64&gt;Y63," * Positive FSW for Age "&amp;X20&amp;" "&amp;Y21&amp;" is more than Tested FSW"&amp;CHAR(10),""),IF(Z64&gt;Z63," * Positive FSW for Age "&amp;Z20&amp;" "&amp;Z21&amp;" is more than Tested FSW"&amp;CHAR(10),""),IF(AA64&gt;AA63," * Positive FSW for Age "&amp;Z20&amp;" "&amp;AA21&amp;" is more than Tested FSW"&amp;CHAR(10),""))</f>
        <v/>
      </c>
      <c r="AL63" s="885"/>
      <c r="AM63" s="31" t="str">
        <f>CONCATENATE(IF(AND(IFERROR((AJ64*100)/AJ63,0)&gt;10,AJ64&gt;5)," * This facility has a high positivity rate for Index Testing. Kindly confirm if this is the true reflection"&amp;CHAR(10),""),"")</f>
        <v/>
      </c>
      <c r="AN63" s="334"/>
      <c r="AO63" s="13">
        <v>44</v>
      </c>
      <c r="AP63" s="74"/>
      <c r="AQ63" s="75"/>
    </row>
    <row r="64" spans="1:43" ht="27" hidden="1" thickBot="1" x14ac:dyDescent="0.45">
      <c r="A64" s="1245"/>
      <c r="B64" s="95" t="s">
        <v>128</v>
      </c>
      <c r="C64" s="808" t="s">
        <v>1138</v>
      </c>
      <c r="D64" s="344"/>
      <c r="E64" s="88"/>
      <c r="F64" s="102"/>
      <c r="G64" s="102"/>
      <c r="H64" s="102"/>
      <c r="I64" s="102"/>
      <c r="J64" s="102"/>
      <c r="K64" s="102"/>
      <c r="L64" s="106"/>
      <c r="M64" s="106"/>
      <c r="N64" s="106"/>
      <c r="O64" s="106"/>
      <c r="P64" s="106"/>
      <c r="Q64" s="106"/>
      <c r="R64" s="106"/>
      <c r="S64" s="106"/>
      <c r="T64" s="106"/>
      <c r="U64" s="106"/>
      <c r="V64" s="106"/>
      <c r="W64" s="106"/>
      <c r="X64" s="106"/>
      <c r="Y64" s="106"/>
      <c r="Z64" s="106"/>
      <c r="AA64" s="299"/>
      <c r="AB64" s="354"/>
      <c r="AC64" s="325"/>
      <c r="AD64" s="325"/>
      <c r="AE64" s="325"/>
      <c r="AF64" s="325"/>
      <c r="AG64" s="325"/>
      <c r="AH64" s="325"/>
      <c r="AI64" s="285"/>
      <c r="AJ64" s="590">
        <f t="shared" si="49"/>
        <v>0</v>
      </c>
      <c r="AK64" s="1439"/>
      <c r="AL64" s="886"/>
      <c r="AM64" s="31"/>
      <c r="AN64" s="334"/>
      <c r="AO64" s="13">
        <v>45</v>
      </c>
      <c r="AP64" s="74"/>
      <c r="AQ64" s="75"/>
    </row>
    <row r="65" spans="1:43" ht="29.25" hidden="1" customHeight="1" x14ac:dyDescent="0.4">
      <c r="A65" s="1244" t="s">
        <v>351</v>
      </c>
      <c r="B65" s="91" t="s">
        <v>136</v>
      </c>
      <c r="C65" s="807" t="s">
        <v>1139</v>
      </c>
      <c r="D65" s="271"/>
      <c r="E65" s="93"/>
      <c r="F65" s="99"/>
      <c r="G65" s="99"/>
      <c r="H65" s="99"/>
      <c r="I65" s="99"/>
      <c r="J65" s="99"/>
      <c r="K65" s="99"/>
      <c r="L65" s="94"/>
      <c r="M65" s="94"/>
      <c r="N65" s="94"/>
      <c r="O65" s="94"/>
      <c r="P65" s="94"/>
      <c r="Q65" s="94"/>
      <c r="R65" s="94"/>
      <c r="S65" s="94"/>
      <c r="T65" s="94"/>
      <c r="U65" s="94"/>
      <c r="V65" s="94"/>
      <c r="W65" s="94"/>
      <c r="X65" s="94"/>
      <c r="Y65" s="94"/>
      <c r="Z65" s="94"/>
      <c r="AA65" s="293"/>
      <c r="AB65" s="354"/>
      <c r="AC65" s="325"/>
      <c r="AD65" s="325"/>
      <c r="AE65" s="325"/>
      <c r="AF65" s="325"/>
      <c r="AG65" s="325"/>
      <c r="AH65" s="325"/>
      <c r="AI65" s="285"/>
      <c r="AJ65" s="588">
        <f t="shared" si="49"/>
        <v>0</v>
      </c>
      <c r="AK65" s="741" t="str">
        <f>CONCATENATE(IF(D66&gt;D65," * Positive MSM for Age "&amp;D20&amp;" "&amp;D21&amp;" is more than Tested MSM"&amp;CHAR(10),""),IF(E66&gt;E65," * Positive MSM for Age "&amp;D20&amp;" "&amp;E21&amp;" is more than Tested MSM"&amp;CHAR(10),""),IF(F66&gt;F65," * Positive MSM for Age "&amp;F20&amp;" "&amp;F21&amp;" is more than Tested MSM"&amp;CHAR(10),""),IF(G66&gt;G65," * Positive MSM for Age "&amp;F20&amp;" "&amp;G21&amp;" is more than Tested MSM"&amp;CHAR(10),""),IF(H66&gt;H65," * Positive MSM for Age "&amp;H20&amp;" "&amp;H21&amp;" is more than Tested MSM"&amp;CHAR(10),""),IF(I66&gt;I65," * Positive MSM for Age "&amp;H20&amp;" "&amp;I21&amp;" is more than Tested MSM"&amp;CHAR(10),""),IF(J66&gt;J65," * Positive MSM for Age "&amp;J20&amp;" "&amp;J21&amp;" is more than Tested MSM"&amp;CHAR(10),""),IF(K66&gt;K65," * Positive MSM for Age "&amp;J20&amp;" "&amp;K21&amp;" is more than Tested MSM"&amp;CHAR(10),""),IF(L66&gt;L65," * Positive MSM for Age "&amp;L20&amp;" "&amp;L21&amp;" is more than Tested MSM"&amp;CHAR(10),""),IF(M66&gt;M65," * Positive MSM for Age "&amp;L20&amp;" "&amp;M21&amp;" is more than Tested MSM"&amp;CHAR(10),""),IF(N66&gt;N65," * Positive MSM for Age "&amp;N20&amp;" "&amp;N21&amp;" is more than Tested MSM"&amp;CHAR(10),""),IF(O66&gt;O65," * Positive MSM for Age "&amp;N20&amp;" "&amp;O21&amp;" is more than Tested MSM"&amp;CHAR(10),""),IF(P66&gt;P65," * Positive MSM for Age "&amp;P20&amp;" "&amp;P21&amp;" is more than Tested MSM"&amp;CHAR(10),""),IF(Q66&gt;Q65," * Positive MSM for Age "&amp;P20&amp;" "&amp;Q21&amp;" is more than Tested MSM"&amp;CHAR(10),""),IF(R66&gt;R65," * Positive MSM for Age "&amp;R20&amp;" "&amp;R21&amp;" is more than Tested MSM"&amp;CHAR(10),""),IF(S66&gt;S65," * Positive MSM for Age "&amp;R20&amp;" "&amp;S21&amp;" is more than Tested MSM"&amp;CHAR(10),""),IF(T66&gt;T65," * Positive MSM for Age "&amp;T20&amp;" "&amp;T21&amp;" is more than Tested MSM"&amp;CHAR(10),""),IF(U66&gt;U65," * Positive MSM for Age "&amp;T20&amp;" "&amp;U21&amp;" is more than Tested MSM"&amp;CHAR(10),""),IF(V66&gt;V65," * Positive MSM for Age "&amp;V20&amp;" "&amp;V21&amp;" is more than Tested MSM"&amp;CHAR(10),""),IF(W66&gt;W65," * Positive MSM for Age "&amp;V20&amp;" "&amp;W21&amp;" is more than Tested MSM"&amp;CHAR(10),""),IF(X66&gt;X65," * Positive MSM for Age "&amp;X20&amp;" "&amp;X21&amp;" is more than Tested MSM"&amp;CHAR(10),""),IF(Y66&gt;Y65," * Positive MSM for Age "&amp;X20&amp;" "&amp;Y21&amp;" is more than Tested MSM"&amp;CHAR(10),""),IF(Z66&gt;Z65," * Positive MSM for Age "&amp;Z20&amp;" "&amp;Z21&amp;" is more than Tested MSM"&amp;CHAR(10),""),IF(AA66&gt;AA65," * Positive MSM for Age "&amp;Z20&amp;" "&amp;AA21&amp;" is more than Tested MSM"&amp;CHAR(10),""))</f>
        <v/>
      </c>
      <c r="AL65" s="886"/>
      <c r="AM65" s="31" t="str">
        <f>CONCATENATE(IF(AND(IFERROR((AJ66*100)/AJ65,0)&gt;10,AJ66&gt;5)," * This facility has a high positivity rate for Index Testing. Kindly confirm if this is the true reflection"&amp;CHAR(10),""),"")</f>
        <v/>
      </c>
      <c r="AN65" s="334"/>
      <c r="AO65" s="13">
        <v>44</v>
      </c>
      <c r="AP65" s="74"/>
      <c r="AQ65" s="75"/>
    </row>
    <row r="66" spans="1:43" ht="27" hidden="1" thickBot="1" x14ac:dyDescent="0.45">
      <c r="A66" s="1245"/>
      <c r="B66" s="95" t="s">
        <v>128</v>
      </c>
      <c r="C66" s="808" t="s">
        <v>1140</v>
      </c>
      <c r="D66" s="344"/>
      <c r="E66" s="88"/>
      <c r="F66" s="102"/>
      <c r="G66" s="102"/>
      <c r="H66" s="102"/>
      <c r="I66" s="102"/>
      <c r="J66" s="102"/>
      <c r="K66" s="102"/>
      <c r="L66" s="106"/>
      <c r="M66" s="106"/>
      <c r="N66" s="106"/>
      <c r="O66" s="106"/>
      <c r="P66" s="106"/>
      <c r="Q66" s="106"/>
      <c r="R66" s="106"/>
      <c r="S66" s="106"/>
      <c r="T66" s="106"/>
      <c r="U66" s="106"/>
      <c r="V66" s="106"/>
      <c r="W66" s="106"/>
      <c r="X66" s="106"/>
      <c r="Y66" s="106"/>
      <c r="Z66" s="106"/>
      <c r="AA66" s="299"/>
      <c r="AB66" s="354"/>
      <c r="AC66" s="325"/>
      <c r="AD66" s="325"/>
      <c r="AE66" s="325"/>
      <c r="AF66" s="325"/>
      <c r="AG66" s="325"/>
      <c r="AH66" s="325"/>
      <c r="AI66" s="285"/>
      <c r="AJ66" s="590">
        <f t="shared" si="49"/>
        <v>0</v>
      </c>
      <c r="AK66" s="741"/>
      <c r="AL66" s="887"/>
      <c r="AM66" s="31"/>
      <c r="AN66" s="334"/>
      <c r="AO66" s="13">
        <v>45</v>
      </c>
      <c r="AP66" s="74"/>
      <c r="AQ66" s="75"/>
    </row>
    <row r="67" spans="1:43" ht="27" hidden="1" thickBot="1" x14ac:dyDescent="0.45">
      <c r="A67" s="1249" t="s">
        <v>914</v>
      </c>
      <c r="B67" s="1250"/>
      <c r="C67" s="1251"/>
      <c r="D67" s="1250"/>
      <c r="E67" s="1250"/>
      <c r="F67" s="1250"/>
      <c r="G67" s="1250"/>
      <c r="H67" s="1250"/>
      <c r="I67" s="1250"/>
      <c r="J67" s="1250"/>
      <c r="K67" s="1250"/>
      <c r="L67" s="1250"/>
      <c r="M67" s="1250"/>
      <c r="N67" s="1250"/>
      <c r="O67" s="1250"/>
      <c r="P67" s="1250"/>
      <c r="Q67" s="1250"/>
      <c r="R67" s="1250"/>
      <c r="S67" s="1250"/>
      <c r="T67" s="1250"/>
      <c r="U67" s="1250"/>
      <c r="V67" s="1250"/>
      <c r="W67" s="1250"/>
      <c r="X67" s="1250"/>
      <c r="Y67" s="1250"/>
      <c r="Z67" s="1250"/>
      <c r="AA67" s="1250"/>
      <c r="AB67" s="1251"/>
      <c r="AC67" s="1251"/>
      <c r="AD67" s="1251"/>
      <c r="AE67" s="1251"/>
      <c r="AF67" s="1251"/>
      <c r="AG67" s="1251"/>
      <c r="AH67" s="1251"/>
      <c r="AI67" s="1251"/>
      <c r="AJ67" s="1250"/>
      <c r="AK67" s="1251"/>
      <c r="AL67" s="1250"/>
      <c r="AM67" s="1250"/>
      <c r="AN67" s="1252"/>
      <c r="AO67" s="13">
        <v>50</v>
      </c>
      <c r="AP67" s="74"/>
      <c r="AQ67" s="75"/>
    </row>
    <row r="68" spans="1:43" ht="26.25" hidden="1" customHeight="1" x14ac:dyDescent="0.4">
      <c r="A68" s="1214" t="s">
        <v>35</v>
      </c>
      <c r="B68" s="1200" t="s">
        <v>307</v>
      </c>
      <c r="C68" s="1192" t="s">
        <v>291</v>
      </c>
      <c r="D68" s="1199"/>
      <c r="E68" s="1199"/>
      <c r="F68" s="1199"/>
      <c r="G68" s="1199"/>
      <c r="H68" s="1199"/>
      <c r="I68" s="1199"/>
      <c r="J68" s="1199"/>
      <c r="K68" s="1199"/>
      <c r="L68" s="1199" t="s">
        <v>4</v>
      </c>
      <c r="M68" s="1199"/>
      <c r="N68" s="1199" t="s">
        <v>5</v>
      </c>
      <c r="O68" s="1199"/>
      <c r="P68" s="1199" t="s">
        <v>6</v>
      </c>
      <c r="Q68" s="1199"/>
      <c r="R68" s="1199" t="s">
        <v>7</v>
      </c>
      <c r="S68" s="1199"/>
      <c r="T68" s="1199" t="s">
        <v>8</v>
      </c>
      <c r="U68" s="1199"/>
      <c r="V68" s="1199" t="s">
        <v>23</v>
      </c>
      <c r="W68" s="1199"/>
      <c r="X68" s="1199" t="s">
        <v>24</v>
      </c>
      <c r="Y68" s="1199"/>
      <c r="Z68" s="1199" t="s">
        <v>9</v>
      </c>
      <c r="AA68" s="1207"/>
      <c r="AB68" s="1417"/>
      <c r="AC68" s="1231"/>
      <c r="AD68" s="1231"/>
      <c r="AE68" s="1231"/>
      <c r="AF68" s="1231"/>
      <c r="AG68" s="1231"/>
      <c r="AH68" s="1231"/>
      <c r="AI68" s="1232"/>
      <c r="AJ68" s="1378" t="s">
        <v>19</v>
      </c>
      <c r="AK68" s="1309" t="s">
        <v>340</v>
      </c>
      <c r="AL68" s="1291" t="s">
        <v>346</v>
      </c>
      <c r="AM68" s="1237" t="s">
        <v>347</v>
      </c>
      <c r="AN68" s="1300" t="s">
        <v>347</v>
      </c>
      <c r="AO68" s="13">
        <v>98</v>
      </c>
      <c r="AP68" s="74"/>
      <c r="AQ68" s="75"/>
    </row>
    <row r="69" spans="1:43" ht="27" hidden="1" customHeight="1" thickBot="1" x14ac:dyDescent="0.45">
      <c r="A69" s="1215"/>
      <c r="B69" s="1210"/>
      <c r="C69" s="1301"/>
      <c r="D69" s="68"/>
      <c r="E69" s="68"/>
      <c r="F69" s="68"/>
      <c r="G69" s="68"/>
      <c r="H69" s="68"/>
      <c r="I69" s="68"/>
      <c r="J69" s="68"/>
      <c r="K69" s="68"/>
      <c r="L69" s="68" t="s">
        <v>10</v>
      </c>
      <c r="M69" s="68" t="s">
        <v>11</v>
      </c>
      <c r="N69" s="68" t="s">
        <v>10</v>
      </c>
      <c r="O69" s="68" t="s">
        <v>11</v>
      </c>
      <c r="P69" s="68" t="s">
        <v>10</v>
      </c>
      <c r="Q69" s="68" t="s">
        <v>11</v>
      </c>
      <c r="R69" s="68" t="s">
        <v>10</v>
      </c>
      <c r="S69" s="68" t="s">
        <v>11</v>
      </c>
      <c r="T69" s="68" t="s">
        <v>10</v>
      </c>
      <c r="U69" s="68" t="s">
        <v>11</v>
      </c>
      <c r="V69" s="68" t="s">
        <v>10</v>
      </c>
      <c r="W69" s="68" t="s">
        <v>11</v>
      </c>
      <c r="X69" s="68" t="s">
        <v>10</v>
      </c>
      <c r="Y69" s="68" t="s">
        <v>11</v>
      </c>
      <c r="Z69" s="68" t="s">
        <v>10</v>
      </c>
      <c r="AA69" s="336" t="s">
        <v>11</v>
      </c>
      <c r="AB69" s="350"/>
      <c r="AC69" s="337"/>
      <c r="AD69" s="337"/>
      <c r="AE69" s="337"/>
      <c r="AF69" s="337"/>
      <c r="AG69" s="337"/>
      <c r="AH69" s="337"/>
      <c r="AI69" s="351"/>
      <c r="AJ69" s="1392"/>
      <c r="AK69" s="1310"/>
      <c r="AL69" s="1453"/>
      <c r="AM69" s="1237"/>
      <c r="AN69" s="1254"/>
      <c r="AO69" s="13">
        <v>99</v>
      </c>
      <c r="AP69" s="74"/>
      <c r="AQ69" s="75"/>
    </row>
    <row r="70" spans="1:43" s="83" customFormat="1" ht="25.5" hidden="1" customHeight="1" x14ac:dyDescent="0.4">
      <c r="A70" s="1383" t="s">
        <v>927</v>
      </c>
      <c r="B70" s="1" t="s">
        <v>1078</v>
      </c>
      <c r="C70" s="529" t="s">
        <v>915</v>
      </c>
      <c r="D70" s="132"/>
      <c r="E70" s="99"/>
      <c r="F70" s="99"/>
      <c r="G70" s="99"/>
      <c r="H70" s="99"/>
      <c r="I70" s="99"/>
      <c r="J70" s="99"/>
      <c r="K70" s="342"/>
      <c r="L70" s="222"/>
      <c r="M70" s="222"/>
      <c r="N70" s="222"/>
      <c r="O70" s="222"/>
      <c r="P70" s="222"/>
      <c r="Q70" s="222"/>
      <c r="R70" s="222"/>
      <c r="S70" s="222"/>
      <c r="T70" s="222"/>
      <c r="U70" s="222"/>
      <c r="V70" s="222"/>
      <c r="W70" s="222"/>
      <c r="X70" s="222"/>
      <c r="Y70" s="222"/>
      <c r="Z70" s="222"/>
      <c r="AA70" s="222"/>
      <c r="AB70" s="352"/>
      <c r="AC70" s="353"/>
      <c r="AD70" s="353"/>
      <c r="AE70" s="353"/>
      <c r="AF70" s="353"/>
      <c r="AG70" s="353"/>
      <c r="AH70" s="353"/>
      <c r="AI70" s="288"/>
      <c r="AJ70" s="183">
        <f t="shared" ref="AJ70:AJ111" si="51">SUM(D70:AA70)</f>
        <v>0</v>
      </c>
      <c r="AK70" s="30" t="str">
        <f>CONCATENATE(IF(D72&gt;D70," * RITA RECENT Index Testing"&amp;$D$20&amp;" "&amp;$D$21&amp;" is more than RTRI RECENT Index Testing"&amp;CHAR(10),""),IF(E72&gt;E70," * RITA RECENT Index Testing"&amp;$D$20&amp;" "&amp;$E$21&amp;" is more than RTRI RECENT Index Testing"&amp;CHAR(10),""),IF(F72&gt;F70," * RITA RECENT Index Testing"&amp;$F$20&amp;" "&amp;$F$21&amp;" is more than RTRI RECENT Index Testing"&amp;CHAR(10),""),IF(G72&gt;G70," * RITA RECENT Index Testing"&amp;$F$20&amp;" "&amp;$G$21&amp;" is more than RTRI RECENT Index Testing"&amp;CHAR(10),""),IF(H72&gt;H70," * RITA RECENT Index Testing"&amp;$H$20&amp;" "&amp;$H$21&amp;" is more than RTRI RECENT Index Testing"&amp;CHAR(10),""),IF(I72&gt;I70," * RITA RECENT Index Testing"&amp;$H$20&amp;" "&amp;$I$21&amp;" is more than RTRI RECENT Index Testing"&amp;CHAR(10),""),IF(J72&gt;J70," * RITA RECENT Index Testing"&amp;$J$20&amp;" "&amp;$J$21&amp;" is more than RTRI RECENT Index Testing"&amp;CHAR(10),""),IF(K72&gt;K70," * RITA RECENT Index Testing"&amp;$J$20&amp;" "&amp;$K$21&amp;" is more than RTRI RECENT Index Testing"&amp;CHAR(10),""),IF(L72&gt;L70," * RITA RECENT Index Testing"&amp;$L$20&amp;" "&amp;$L$21&amp;" is more than RTRI RECENT Index Testing"&amp;CHAR(10),""),IF(M72&gt;M70," * RITA RECENT Index Testing"&amp;$L$20&amp;" "&amp;$M$21&amp;" is more than RTRI RECENT Index Testing"&amp;CHAR(10),""),IF(N72&gt;N70," * RITA RECENT Index Testing"&amp;$N$20&amp;" "&amp;$N$21&amp;" is more than RTRI RECENT Index Testing"&amp;CHAR(10),""),IF(O72&gt;O70," * RITA RECENT Index Testing"&amp;$N$20&amp;" "&amp;$O$21&amp;" is more than RTRI RECENT Index Testing"&amp;CHAR(10),""),IF(P72&gt;P70," * RITA RECENT Index Testing"&amp;$P$20&amp;" "&amp;$P$21&amp;" is more than RTRI RECENT Index Testing"&amp;CHAR(10),""),IF(Q72&gt;Q70," * RITA RECENT Index Testing"&amp;$P$20&amp;" "&amp;$Q$21&amp;" is more than RTRI RECENT Index Testing"&amp;CHAR(10),""),IF(R72&gt;R70," * RITA RECENT Index Testing"&amp;$R$20&amp;" "&amp;$R$21&amp;" is more than RTRI RECENT Index Testing"&amp;CHAR(10),""),IF(S72&gt;S70," * RITA RECENT Index Testing"&amp;$R$20&amp;" "&amp;$S$21&amp;" is more than RTRI RECENT Index Testing"&amp;CHAR(10),""),IF(T72&gt;T70," * RITA RECENT Index Testing"&amp;$T$20&amp;" "&amp;$T$21&amp;" is more than RTRI RECENT Index Testing"&amp;CHAR(10),""),IF(U72&gt;U70," * RITA RECENT Index Testing"&amp;$T$20&amp;" "&amp;$U$21&amp;" is more than RTRI RECENT Index Testing"&amp;CHAR(10),""),IF(V72&gt;V70," * RITA RECENT Index Testing"&amp;$V$20&amp;" "&amp;$V$21&amp;" is more than RTRI RECENT Index Testing"&amp;CHAR(10),""),IF(W72&gt;W70," * RITA RECENT Index Testing"&amp;$V$20&amp;" "&amp;$W$21&amp;" is more than RTRI RECENT Index Testing"&amp;CHAR(10),""),IF(X72&gt;X70," * RITA RECENT Index Testing"&amp;$X$20&amp;" "&amp;$X$21&amp;" is more than RTRI RECENT Index Testing"&amp;CHAR(10),""),IF(Y72&gt;Y70," * RITA RECENT Index Testing"&amp;$X$20&amp;" "&amp;$Y$21&amp;" is more than RTRI RECENT Index Testing"&amp;CHAR(10),""),IF(Z72&gt;Z70," * RITA RECENT Index Testing"&amp;$Z$20&amp;" "&amp;$Z$21&amp;" is more than RTRI RECENT Index Testing"&amp;CHAR(10),""),IF(AA72&gt;AA70," * RITA RECENT Index Testing"&amp;$Z$20&amp;" "&amp;$AA$21&amp;" is more than RTRI RECENT Index Testing"&amp;CHAR(10),""))</f>
        <v/>
      </c>
      <c r="AL70" s="1425" t="str">
        <f>CONCATENATE(AK70,AK71,AK72,AK73,AK74,AK75,AK76,AK77,AK78,AK79,AK80,AK81,AK82,AK83,AK84,AK85,AK86,AK87,AK88,AK89,AK90,AK91,AK92,AK93,AK94,AK95,AK96,AK97,AK98,AK99,AK100,AK101,AK102,AK103,AK104,AK105,AK106,AK107,AK108,AK109)</f>
        <v/>
      </c>
      <c r="AM70" s="31"/>
      <c r="AN70" s="334"/>
      <c r="AO70" s="13">
        <v>30</v>
      </c>
      <c r="AP70" s="81"/>
      <c r="AQ70" s="82"/>
    </row>
    <row r="71" spans="1:43" s="83" customFormat="1" ht="27" hidden="1" thickBot="1" x14ac:dyDescent="0.45">
      <c r="A71" s="1384"/>
      <c r="B71" s="335" t="s">
        <v>1079</v>
      </c>
      <c r="C71" s="530" t="s">
        <v>916</v>
      </c>
      <c r="D71" s="119"/>
      <c r="E71" s="102"/>
      <c r="F71" s="102"/>
      <c r="G71" s="102"/>
      <c r="H71" s="102"/>
      <c r="I71" s="102"/>
      <c r="J71" s="102"/>
      <c r="K71" s="343"/>
      <c r="L71" s="139"/>
      <c r="M71" s="139"/>
      <c r="N71" s="139"/>
      <c r="O71" s="139"/>
      <c r="P71" s="139"/>
      <c r="Q71" s="139"/>
      <c r="R71" s="139"/>
      <c r="S71" s="139"/>
      <c r="T71" s="139"/>
      <c r="U71" s="139"/>
      <c r="V71" s="139"/>
      <c r="W71" s="139"/>
      <c r="X71" s="139"/>
      <c r="Y71" s="139"/>
      <c r="Z71" s="139"/>
      <c r="AA71" s="139"/>
      <c r="AB71" s="354"/>
      <c r="AC71" s="325"/>
      <c r="AD71" s="325"/>
      <c r="AE71" s="325"/>
      <c r="AF71" s="325"/>
      <c r="AG71" s="325"/>
      <c r="AH71" s="325"/>
      <c r="AI71" s="285"/>
      <c r="AJ71" s="184">
        <f t="shared" si="51"/>
        <v>0</v>
      </c>
      <c r="AK71" s="30" t="str">
        <f>CONCATENATE(IF(D73&gt;D71," * RITA Long-Term Index Testing"&amp;$D$20&amp;" "&amp;$D$21&amp;" is more than RTRI Long-Term Index Testing"&amp;CHAR(10),""),IF(E73&gt;E71," * RITA Long-Term Index Testing"&amp;$D$20&amp;" "&amp;$E$21&amp;" is more than RTRI Long-Term Index Testing"&amp;CHAR(10),""),IF(F73&gt;F71," * RITA Long-Term Index Testing"&amp;$F$20&amp;" "&amp;$F$21&amp;" is more than RTRI Long-Term Index Testing"&amp;CHAR(10),""),IF(G73&gt;G71," * RITA Long-Term Index Testing"&amp;$F$20&amp;" "&amp;$G$21&amp;" is more than RTRI Long-Term Index Testing"&amp;CHAR(10),""),IF(H73&gt;H71," * RITA Long-Term Index Testing"&amp;$H$20&amp;" "&amp;$H$21&amp;" is more than RTRI Long-Term Index Testing"&amp;CHAR(10),""),IF(I73&gt;I71," * RITA Long-Term Index Testing"&amp;$H$20&amp;" "&amp;$I$21&amp;" is more than RTRI Long-Term Index Testing"&amp;CHAR(10),""),IF(J73&gt;J71," * RITA Long-Term Index Testing"&amp;$J$20&amp;" "&amp;$J$21&amp;" is more than RTRI Long-Term Index Testing"&amp;CHAR(10),""),IF(K73&gt;K71," * RITA Long-Term Index Testing"&amp;$J$20&amp;" "&amp;$K$21&amp;" is more than RTRI Long-Term Index Testing"&amp;CHAR(10),""),IF(L73&gt;L71," * RITA Long-Term Index Testing"&amp;$L$20&amp;" "&amp;$L$21&amp;" is more than RTRI Long-Term Index Testing"&amp;CHAR(10),""),IF(M73&gt;M71," * RITA Long-Term Index Testing"&amp;$L$20&amp;" "&amp;$M$21&amp;" is more than RTRI Long-Term Index Testing"&amp;CHAR(10),""),IF(N73&gt;N71," * RITA Long-Term Index Testing"&amp;$N$20&amp;" "&amp;$N$21&amp;" is more than RTRI Long-Term Index Testing"&amp;CHAR(10),""),IF(O73&gt;O71," * RITA Long-Term Index Testing"&amp;$N$20&amp;" "&amp;$O$21&amp;" is more than RTRI Long-Term Index Testing"&amp;CHAR(10),""),IF(P73&gt;P71," * RITA Long-Term Index Testing"&amp;$P$20&amp;" "&amp;$P$21&amp;" is more than RTRI Long-Term Index Testing"&amp;CHAR(10),""),IF(Q73&gt;Q71," * RITA Long-Term Index Testing"&amp;$P$20&amp;" "&amp;$Q$21&amp;" is more than RTRI Long-Term Index Testing"&amp;CHAR(10),""),IF(R73&gt;R71," * RITA Long-Term Index Testing"&amp;$R$20&amp;" "&amp;$R$21&amp;" is more than RTRI Long-Term Index Testing"&amp;CHAR(10),""),IF(S73&gt;S71," * RITA Long-Term Index Testing"&amp;$R$20&amp;" "&amp;$S$21&amp;" is more than RTRI Long-Term Index Testing"&amp;CHAR(10),""),IF(T73&gt;T71," * RITA Long-Term Index Testing"&amp;$T$20&amp;" "&amp;$T$21&amp;" is more than RTRI Long-Term Index Testing"&amp;CHAR(10),""),IF(U73&gt;U71," * RITA Long-Term Index Testing"&amp;$T$20&amp;" "&amp;$U$21&amp;" is more than RTRI Long-Term Index Testing"&amp;CHAR(10),""),IF(V73&gt;V71," * RITA Long-Term Index Testing"&amp;$V$20&amp;" "&amp;$V$21&amp;" is more than RTRI Long-Term Index Testing"&amp;CHAR(10),""),IF(W73&gt;W71," * RITA Long-Term Index Testing"&amp;$V$20&amp;" "&amp;$W$21&amp;" is more than RTRI Long-Term Index Testing"&amp;CHAR(10),""),IF(X73&gt;X71," * RITA Long-Term Index Testing"&amp;$X$20&amp;" "&amp;$X$21&amp;" is more than RTRI Long-Term Index Testing"&amp;CHAR(10),""),IF(Y73&gt;Y71," * RITA Long-Term Index Testing"&amp;$X$20&amp;" "&amp;$Y$21&amp;" is more than RTRI Long-Term Index Testing"&amp;CHAR(10),""),IF(Z73&gt;Z71," * RITA Long-Term Index Testing"&amp;$Z$20&amp;" "&amp;$Z$21&amp;" is more than RTRI Long-Term Index Testing"&amp;CHAR(10),""),IF(AA73&gt;AA71," * RITA Long-Term Index Testing"&amp;$Z$20&amp;" "&amp;$AA$21&amp;" is more than RTRI Long-Term Index Testing"&amp;CHAR(10),""))</f>
        <v/>
      </c>
      <c r="AL71" s="1426"/>
      <c r="AM71" s="31"/>
      <c r="AN71" s="334"/>
      <c r="AO71" s="13">
        <v>31</v>
      </c>
      <c r="AP71" s="81"/>
      <c r="AQ71" s="82"/>
    </row>
    <row r="72" spans="1:43" s="83" customFormat="1" ht="25.5" hidden="1" customHeight="1" x14ac:dyDescent="0.4">
      <c r="A72" s="1384"/>
      <c r="B72" s="1" t="s">
        <v>1080</v>
      </c>
      <c r="C72" s="529" t="s">
        <v>1082</v>
      </c>
      <c r="D72" s="132"/>
      <c r="E72" s="99"/>
      <c r="F72" s="99"/>
      <c r="G72" s="99"/>
      <c r="H72" s="99"/>
      <c r="I72" s="99"/>
      <c r="J72" s="99"/>
      <c r="K72" s="342"/>
      <c r="L72" s="222"/>
      <c r="M72" s="222"/>
      <c r="N72" s="222"/>
      <c r="O72" s="222"/>
      <c r="P72" s="222"/>
      <c r="Q72" s="222"/>
      <c r="R72" s="222"/>
      <c r="S72" s="222"/>
      <c r="T72" s="222"/>
      <c r="U72" s="222"/>
      <c r="V72" s="222"/>
      <c r="W72" s="222"/>
      <c r="X72" s="222"/>
      <c r="Y72" s="222"/>
      <c r="Z72" s="222"/>
      <c r="AA72" s="222"/>
      <c r="AB72" s="352"/>
      <c r="AC72" s="353"/>
      <c r="AD72" s="353"/>
      <c r="AE72" s="353"/>
      <c r="AF72" s="353"/>
      <c r="AG72" s="353"/>
      <c r="AH72" s="353"/>
      <c r="AI72" s="288"/>
      <c r="AJ72" s="183">
        <f>SUM(D72:AA72)</f>
        <v>0</v>
      </c>
      <c r="AK72" s="30"/>
      <c r="AL72" s="1426"/>
      <c r="AM72" s="31"/>
      <c r="AN72" s="334"/>
      <c r="AO72" s="13">
        <v>30</v>
      </c>
      <c r="AP72" s="81"/>
      <c r="AQ72" s="82"/>
    </row>
    <row r="73" spans="1:43" s="83" customFormat="1" ht="27" hidden="1" thickBot="1" x14ac:dyDescent="0.45">
      <c r="A73" s="1385"/>
      <c r="B73" s="335" t="s">
        <v>1081</v>
      </c>
      <c r="C73" s="531" t="s">
        <v>1083</v>
      </c>
      <c r="D73" s="466"/>
      <c r="E73" s="120"/>
      <c r="F73" s="120"/>
      <c r="G73" s="120"/>
      <c r="H73" s="120"/>
      <c r="I73" s="120"/>
      <c r="J73" s="120"/>
      <c r="K73" s="370"/>
      <c r="L73" s="233"/>
      <c r="M73" s="233"/>
      <c r="N73" s="233"/>
      <c r="O73" s="233"/>
      <c r="P73" s="233"/>
      <c r="Q73" s="233"/>
      <c r="R73" s="233"/>
      <c r="S73" s="233"/>
      <c r="T73" s="233"/>
      <c r="U73" s="233"/>
      <c r="V73" s="233"/>
      <c r="W73" s="233"/>
      <c r="X73" s="233"/>
      <c r="Y73" s="233"/>
      <c r="Z73" s="233"/>
      <c r="AA73" s="233"/>
      <c r="AB73" s="354"/>
      <c r="AC73" s="325"/>
      <c r="AD73" s="325"/>
      <c r="AE73" s="325"/>
      <c r="AF73" s="325"/>
      <c r="AG73" s="325"/>
      <c r="AH73" s="325"/>
      <c r="AI73" s="285"/>
      <c r="AJ73" s="184">
        <f>SUM(D73:AA73)</f>
        <v>0</v>
      </c>
      <c r="AK73" s="30"/>
      <c r="AL73" s="1426"/>
      <c r="AM73" s="31"/>
      <c r="AN73" s="334"/>
      <c r="AO73" s="13">
        <v>31</v>
      </c>
      <c r="AP73" s="81"/>
      <c r="AQ73" s="82"/>
    </row>
    <row r="74" spans="1:43" s="83" customFormat="1" ht="25.5" hidden="1" customHeight="1" x14ac:dyDescent="0.4">
      <c r="A74" s="1223" t="s">
        <v>928</v>
      </c>
      <c r="B74" s="1" t="s">
        <v>1078</v>
      </c>
      <c r="C74" s="529" t="s">
        <v>917</v>
      </c>
      <c r="D74" s="132"/>
      <c r="E74" s="99"/>
      <c r="F74" s="99"/>
      <c r="G74" s="99"/>
      <c r="H74" s="99"/>
      <c r="I74" s="99"/>
      <c r="J74" s="99"/>
      <c r="K74" s="342"/>
      <c r="L74" s="222"/>
      <c r="M74" s="222"/>
      <c r="N74" s="222"/>
      <c r="O74" s="222"/>
      <c r="P74" s="222"/>
      <c r="Q74" s="222"/>
      <c r="R74" s="222"/>
      <c r="S74" s="222"/>
      <c r="T74" s="222"/>
      <c r="U74" s="222"/>
      <c r="V74" s="222"/>
      <c r="W74" s="222"/>
      <c r="X74" s="222"/>
      <c r="Y74" s="222"/>
      <c r="Z74" s="222"/>
      <c r="AA74" s="222"/>
      <c r="AB74" s="354"/>
      <c r="AC74" s="325"/>
      <c r="AD74" s="325"/>
      <c r="AE74" s="325"/>
      <c r="AF74" s="325"/>
      <c r="AG74" s="325"/>
      <c r="AH74" s="325"/>
      <c r="AI74" s="285"/>
      <c r="AJ74" s="183">
        <f t="shared" si="51"/>
        <v>0</v>
      </c>
      <c r="AK74" s="30" t="str">
        <f>CONCATENATE(IF(D76&gt;D74," * RITA RECENT Emergency Ward"&amp;$D$20&amp;" "&amp;$D$21&amp;" is more than RTRI RECENT Emergency Ward"&amp;CHAR(10),""),IF(E76&gt;E74," * RITA RECENT Emergency Ward"&amp;$D$20&amp;" "&amp;$E$21&amp;" is more than RTRI RECENT Emergency Ward"&amp;CHAR(10),""),IF(F76&gt;F74," * RITA RECENT Emergency Ward"&amp;$F$20&amp;" "&amp;$F$21&amp;" is more than RTRI RECENT Emergency Ward"&amp;CHAR(10),""),IF(G76&gt;G74," * RITA RECENT Emergency Ward"&amp;$F$20&amp;" "&amp;$G$21&amp;" is more than RTRI RECENT Emergency Ward"&amp;CHAR(10),""),IF(H76&gt;H74," * RITA RECENT Emergency Ward"&amp;$H$20&amp;" "&amp;$H$21&amp;" is more than RTRI RECENT Emergency Ward"&amp;CHAR(10),""),IF(I76&gt;I74," * RITA RECENT Emergency Ward"&amp;$H$20&amp;" "&amp;$I$21&amp;" is more than RTRI RECENT Emergency Ward"&amp;CHAR(10),""),IF(J76&gt;J74," * RITA RECENT Emergency Ward"&amp;$J$20&amp;" "&amp;$J$21&amp;" is more than RTRI RECENT Emergency Ward"&amp;CHAR(10),""),IF(K76&gt;K74," * RITA RECENT Emergency Ward"&amp;$J$20&amp;" "&amp;$K$21&amp;" is more than RTRI RECENT Emergency Ward"&amp;CHAR(10),""),IF(L76&gt;L74," * RITA RECENT Emergency Ward"&amp;$L$20&amp;" "&amp;$L$21&amp;" is more than RTRI RECENT Emergency Ward"&amp;CHAR(10),""),IF(M76&gt;M74," * RITA RECENT Emergency Ward"&amp;$L$20&amp;" "&amp;$M$21&amp;" is more than RTRI RECENT Emergency Ward"&amp;CHAR(10),""),IF(N76&gt;N74," * RITA RECENT Emergency Ward"&amp;$N$20&amp;" "&amp;$N$21&amp;" is more than RTRI RECENT Emergency Ward"&amp;CHAR(10),""),IF(O76&gt;O74," * RITA RECENT Emergency Ward"&amp;$N$20&amp;" "&amp;$O$21&amp;" is more than RTRI RECENT Emergency Ward"&amp;CHAR(10),""),IF(P76&gt;P74," * RITA RECENT Emergency Ward"&amp;$P$20&amp;" "&amp;$P$21&amp;" is more than RTRI RECENT Emergency Ward"&amp;CHAR(10),""),IF(Q76&gt;Q74," * RITA RECENT Emergency Ward"&amp;$P$20&amp;" "&amp;$Q$21&amp;" is more than RTRI RECENT Emergency Ward"&amp;CHAR(10),""),IF(R76&gt;R74," * RITA RECENT Emergency Ward"&amp;$R$20&amp;" "&amp;$R$21&amp;" is more than RTRI RECENT Emergency Ward"&amp;CHAR(10),""),IF(S76&gt;S74," * RITA RECENT Emergency Ward"&amp;$R$20&amp;" "&amp;$S$21&amp;" is more than RTRI RECENT Emergency Ward"&amp;CHAR(10),""),IF(T76&gt;T74," * RITA RECENT Emergency Ward"&amp;$T$20&amp;" "&amp;$T$21&amp;" is more than RTRI RECENT Emergency Ward"&amp;CHAR(10),""),IF(U76&gt;U74," * RITA RECENT Emergency Ward"&amp;$T$20&amp;" "&amp;$U$21&amp;" is more than RTRI RECENT Emergency Ward"&amp;CHAR(10),""),IF(V76&gt;V74," * RITA RECENT Emergency Ward"&amp;$V$20&amp;" "&amp;$V$21&amp;" is more than RTRI RECENT Emergency Ward"&amp;CHAR(10),""),IF(W76&gt;W74," * RITA RECENT Emergency Ward"&amp;$V$20&amp;" "&amp;$W$21&amp;" is more than RTRI RECENT Emergency Ward"&amp;CHAR(10),""),IF(X76&gt;X74," * RITA RECENT Emergency Ward"&amp;$X$20&amp;" "&amp;$X$21&amp;" is more than RTRI RECENT Emergency Ward"&amp;CHAR(10),""),IF(Y76&gt;Y74," * RITA RECENT Emergency Ward"&amp;$X$20&amp;" "&amp;$Y$21&amp;" is more than RTRI RECENT Emergency Ward"&amp;CHAR(10),""),IF(Z76&gt;Z74," * RITA RECENT Emergency Ward"&amp;$Z$20&amp;" "&amp;$Z$21&amp;" is more than RTRI RECENT Emergency Ward"&amp;CHAR(10),""),IF(AA76&gt;AA74," * RITA RECENT Emergency Ward"&amp;$Z$20&amp;" "&amp;$AA$21&amp;" is more than RTRI RECENT Emergency Ward"&amp;CHAR(10),""))</f>
        <v/>
      </c>
      <c r="AL74" s="1426"/>
      <c r="AM74" s="31"/>
      <c r="AN74" s="334"/>
      <c r="AO74" s="13">
        <v>32</v>
      </c>
      <c r="AP74" s="81"/>
      <c r="AQ74" s="82"/>
    </row>
    <row r="75" spans="1:43" s="83" customFormat="1" ht="27" hidden="1" thickBot="1" x14ac:dyDescent="0.45">
      <c r="A75" s="1224"/>
      <c r="B75" s="335" t="s">
        <v>1079</v>
      </c>
      <c r="C75" s="530" t="s">
        <v>918</v>
      </c>
      <c r="D75" s="133"/>
      <c r="E75" s="78"/>
      <c r="F75" s="78"/>
      <c r="G75" s="78"/>
      <c r="H75" s="78"/>
      <c r="I75" s="78"/>
      <c r="J75" s="78"/>
      <c r="K75" s="349"/>
      <c r="L75" s="139"/>
      <c r="M75" s="139"/>
      <c r="N75" s="139"/>
      <c r="O75" s="139"/>
      <c r="P75" s="139"/>
      <c r="Q75" s="139"/>
      <c r="R75" s="139"/>
      <c r="S75" s="139"/>
      <c r="T75" s="139"/>
      <c r="U75" s="139"/>
      <c r="V75" s="139"/>
      <c r="W75" s="139"/>
      <c r="X75" s="139"/>
      <c r="Y75" s="139"/>
      <c r="Z75" s="139"/>
      <c r="AA75" s="139"/>
      <c r="AB75" s="354"/>
      <c r="AC75" s="325"/>
      <c r="AD75" s="325"/>
      <c r="AE75" s="325"/>
      <c r="AF75" s="325"/>
      <c r="AG75" s="325"/>
      <c r="AH75" s="325"/>
      <c r="AI75" s="285"/>
      <c r="AJ75" s="184">
        <f t="shared" si="51"/>
        <v>0</v>
      </c>
      <c r="AK75" s="30" t="str">
        <f>CONCATENATE(IF(D77&gt;D75," * RITA Long-Term Emergency Ward "&amp;$D$20&amp;" "&amp;$D$21&amp;" is more than RTRI Long-Term Emergency Ward "&amp;CHAR(10),""),IF(E77&gt;E75," * RITA Long-Term Emergency Ward "&amp;$D$20&amp;" "&amp;$E$21&amp;" is more than RTRI Long-Term Emergency Ward "&amp;CHAR(10),""),IF(F77&gt;F75," * RITA Long-Term Emergency Ward "&amp;$F$20&amp;" "&amp;$F$21&amp;" is more than RTRI Long-Term Emergency Ward "&amp;CHAR(10),""),IF(G77&gt;G75," * RITA Long-Term Emergency Ward "&amp;$F$20&amp;" "&amp;$G$21&amp;" is more than RTRI Long-Term Emergency Ward "&amp;CHAR(10),""),IF(H77&gt;H75," * RITA Long-Term Emergency Ward "&amp;$H$20&amp;" "&amp;$H$21&amp;" is more than RTRI Long-Term Emergency Ward "&amp;CHAR(10),""),IF(I77&gt;I75," * RITA Long-Term Emergency Ward "&amp;$H$20&amp;" "&amp;$I$21&amp;" is more than RTRI Long-Term Emergency Ward "&amp;CHAR(10),""),IF(J77&gt;J75," * RITA Long-Term Emergency Ward "&amp;$J$20&amp;" "&amp;$J$21&amp;" is more than RTRI Long-Term Emergency Ward "&amp;CHAR(10),""),IF(K77&gt;K75," * RITA Long-Term Emergency Ward "&amp;$J$20&amp;" "&amp;$K$21&amp;" is more than RTRI Long-Term Emergency Ward "&amp;CHAR(10),""),IF(L77&gt;L75," * RITA Long-Term Emergency Ward "&amp;$L$20&amp;" "&amp;$L$21&amp;" is more than RTRI Long-Term Emergency Ward "&amp;CHAR(10),""),IF(M77&gt;M75," * RITA Long-Term Emergency Ward "&amp;$L$20&amp;" "&amp;$M$21&amp;" is more than RTRI Long-Term Emergency Ward "&amp;CHAR(10),""),IF(N77&gt;N75," * RITA Long-Term Emergency Ward "&amp;$N$20&amp;" "&amp;$N$21&amp;" is more than RTRI Long-Term Emergency Ward "&amp;CHAR(10),""),IF(O77&gt;O75," * RITA Long-Term Emergency Ward "&amp;$N$20&amp;" "&amp;$O$21&amp;" is more than RTRI Long-Term Emergency Ward "&amp;CHAR(10),""),IF(P77&gt;P75," * RITA Long-Term Emergency Ward "&amp;$P$20&amp;" "&amp;$P$21&amp;" is more than RTRI Long-Term Emergency Ward "&amp;CHAR(10),""),IF(Q77&gt;Q75," * RITA Long-Term Emergency Ward "&amp;$P$20&amp;" "&amp;$Q$21&amp;" is more than RTRI Long-Term Emergency Ward "&amp;CHAR(10),""),IF(R77&gt;R75," * RITA Long-Term Emergency Ward "&amp;$R$20&amp;" "&amp;$R$21&amp;" is more than RTRI Long-Term Emergency Ward "&amp;CHAR(10),""),IF(S77&gt;S75," * RITA Long-Term Emergency Ward "&amp;$R$20&amp;" "&amp;$S$21&amp;" is more than RTRI Long-Term Emergency Ward "&amp;CHAR(10),""),IF(T77&gt;T75," * RITA Long-Term Emergency Ward "&amp;$T$20&amp;" "&amp;$T$21&amp;" is more than RTRI Long-Term Emergency Ward "&amp;CHAR(10),""),IF(U77&gt;U75," * RITA Long-Term Emergency Ward "&amp;$T$20&amp;" "&amp;$U$21&amp;" is more than RTRI Long-Term Emergency Ward "&amp;CHAR(10),""),IF(V77&gt;V75," * RITA Long-Term Emergency Ward "&amp;$V$20&amp;" "&amp;$V$21&amp;" is more than RTRI Long-Term Emergency Ward "&amp;CHAR(10),""),IF(W77&gt;W75," * RITA Long-Term Emergency Ward "&amp;$V$20&amp;" "&amp;$W$21&amp;" is more than RTRI Long-Term Emergency Ward "&amp;CHAR(10),""),IF(X77&gt;X75," * RITA Long-Term Emergency Ward "&amp;$X$20&amp;" "&amp;$X$21&amp;" is more than RTRI Long-Term Emergency Ward "&amp;CHAR(10),""),IF(Y77&gt;Y75," * RITA Long-Term Emergency Ward "&amp;$X$20&amp;" "&amp;$Y$21&amp;" is more than RTRI Long-Term Emergency Ward "&amp;CHAR(10),""),IF(Z77&gt;Z75," * RITA Long-Term Emergency Ward "&amp;$Z$20&amp;" "&amp;$Z$21&amp;" is more than RTRI Long-Term Emergency Ward "&amp;CHAR(10),""),IF(AA77&gt;AA75," * RITA Long-Term Emergency Ward "&amp;$Z$20&amp;" "&amp;$AA$21&amp;" is more than RTRI Long-Term Emergency Ward "&amp;CHAR(10),""))</f>
        <v/>
      </c>
      <c r="AL75" s="1426"/>
      <c r="AM75" s="31"/>
      <c r="AN75" s="334"/>
      <c r="AO75" s="13">
        <v>33</v>
      </c>
      <c r="AP75" s="81"/>
      <c r="AQ75" s="82"/>
    </row>
    <row r="76" spans="1:43" s="83" customFormat="1" ht="25.5" hidden="1" customHeight="1" x14ac:dyDescent="0.4">
      <c r="A76" s="1224"/>
      <c r="B76" s="1" t="s">
        <v>1080</v>
      </c>
      <c r="C76" s="530" t="s">
        <v>1084</v>
      </c>
      <c r="D76" s="133"/>
      <c r="E76" s="78"/>
      <c r="F76" s="78"/>
      <c r="G76" s="78"/>
      <c r="H76" s="78"/>
      <c r="I76" s="78"/>
      <c r="J76" s="78"/>
      <c r="K76" s="349"/>
      <c r="L76" s="222"/>
      <c r="M76" s="222"/>
      <c r="N76" s="222"/>
      <c r="O76" s="222"/>
      <c r="P76" s="222"/>
      <c r="Q76" s="222"/>
      <c r="R76" s="222"/>
      <c r="S76" s="222"/>
      <c r="T76" s="222"/>
      <c r="U76" s="222"/>
      <c r="V76" s="222"/>
      <c r="W76" s="222"/>
      <c r="X76" s="222"/>
      <c r="Y76" s="222"/>
      <c r="Z76" s="222"/>
      <c r="AA76" s="222"/>
      <c r="AB76" s="354"/>
      <c r="AC76" s="325"/>
      <c r="AD76" s="325"/>
      <c r="AE76" s="325"/>
      <c r="AF76" s="325"/>
      <c r="AG76" s="325"/>
      <c r="AH76" s="325"/>
      <c r="AI76" s="285"/>
      <c r="AJ76" s="183">
        <f>SUM(D76:AA76)</f>
        <v>0</v>
      </c>
      <c r="AK76" s="30"/>
      <c r="AL76" s="1426"/>
      <c r="AM76" s="31"/>
      <c r="AN76" s="334"/>
      <c r="AO76" s="13">
        <v>32</v>
      </c>
      <c r="AP76" s="81"/>
      <c r="AQ76" s="82"/>
    </row>
    <row r="77" spans="1:43" s="83" customFormat="1" ht="27" hidden="1" thickBot="1" x14ac:dyDescent="0.45">
      <c r="A77" s="1225"/>
      <c r="B77" s="335" t="s">
        <v>1081</v>
      </c>
      <c r="C77" s="532" t="s">
        <v>1085</v>
      </c>
      <c r="D77" s="119"/>
      <c r="E77" s="102"/>
      <c r="F77" s="102"/>
      <c r="G77" s="102"/>
      <c r="H77" s="102"/>
      <c r="I77" s="102"/>
      <c r="J77" s="102"/>
      <c r="K77" s="343"/>
      <c r="L77" s="233"/>
      <c r="M77" s="233"/>
      <c r="N77" s="233"/>
      <c r="O77" s="233"/>
      <c r="P77" s="233"/>
      <c r="Q77" s="233"/>
      <c r="R77" s="233"/>
      <c r="S77" s="233"/>
      <c r="T77" s="233"/>
      <c r="U77" s="233"/>
      <c r="V77" s="233"/>
      <c r="W77" s="233"/>
      <c r="X77" s="233"/>
      <c r="Y77" s="233"/>
      <c r="Z77" s="233"/>
      <c r="AA77" s="233"/>
      <c r="AB77" s="354"/>
      <c r="AC77" s="325"/>
      <c r="AD77" s="325"/>
      <c r="AE77" s="325"/>
      <c r="AF77" s="325"/>
      <c r="AG77" s="325"/>
      <c r="AH77" s="325"/>
      <c r="AI77" s="285"/>
      <c r="AJ77" s="184">
        <f>SUM(D77:AA77)</f>
        <v>0</v>
      </c>
      <c r="AK77" s="30"/>
      <c r="AL77" s="1426"/>
      <c r="AM77" s="31"/>
      <c r="AN77" s="334"/>
      <c r="AO77" s="13">
        <v>33</v>
      </c>
      <c r="AP77" s="81"/>
      <c r="AQ77" s="82"/>
    </row>
    <row r="78" spans="1:43" s="83" customFormat="1" ht="25.5" hidden="1" customHeight="1" x14ac:dyDescent="0.4">
      <c r="A78" s="1383" t="s">
        <v>929</v>
      </c>
      <c r="B78" s="1" t="s">
        <v>1078</v>
      </c>
      <c r="C78" s="529" t="s">
        <v>919</v>
      </c>
      <c r="D78" s="132"/>
      <c r="E78" s="99"/>
      <c r="F78" s="99"/>
      <c r="G78" s="99"/>
      <c r="H78" s="99"/>
      <c r="I78" s="99"/>
      <c r="J78" s="99"/>
      <c r="K78" s="342"/>
      <c r="L78" s="222"/>
      <c r="M78" s="222"/>
      <c r="N78" s="222"/>
      <c r="O78" s="222"/>
      <c r="P78" s="222"/>
      <c r="Q78" s="222"/>
      <c r="R78" s="222"/>
      <c r="S78" s="222"/>
      <c r="T78" s="222"/>
      <c r="U78" s="222"/>
      <c r="V78" s="222"/>
      <c r="W78" s="222"/>
      <c r="X78" s="222"/>
      <c r="Y78" s="222"/>
      <c r="Z78" s="222"/>
      <c r="AA78" s="222"/>
      <c r="AB78" s="354"/>
      <c r="AC78" s="325"/>
      <c r="AD78" s="325"/>
      <c r="AE78" s="325"/>
      <c r="AF78" s="325"/>
      <c r="AG78" s="325"/>
      <c r="AH78" s="325"/>
      <c r="AI78" s="285"/>
      <c r="AJ78" s="183">
        <f t="shared" si="51"/>
        <v>0</v>
      </c>
      <c r="AK78" s="30" t="str">
        <f>CONCATENATE(IF(D80&gt;D78," * RITA RECENT Inpatient Services "&amp;$D$20&amp;" "&amp;$D$21&amp;" is more than RTRI RECENT Inpatient Services "&amp;CHAR(10),""),IF(E80&gt;E78," * RITA RECENT Inpatient Services "&amp;$D$20&amp;" "&amp;$E$21&amp;" is more than RTRI RECENT Inpatient Services "&amp;CHAR(10),""),IF(F80&gt;F78," * RITA RECENT Inpatient Services "&amp;$F$20&amp;" "&amp;$F$21&amp;" is more than RTRI RECENT Inpatient Services "&amp;CHAR(10),""),IF(G80&gt;G78," * RITA RECENT Inpatient Services "&amp;$F$20&amp;" "&amp;$G$21&amp;" is more than RTRI RECENT Inpatient Services "&amp;CHAR(10),""),IF(H80&gt;H78," * RITA RECENT Inpatient Services "&amp;$H$20&amp;" "&amp;$H$21&amp;" is more than RTRI RECENT Inpatient Services "&amp;CHAR(10),""),IF(I80&gt;I78," * RITA RECENT Inpatient Services "&amp;$H$20&amp;" "&amp;$I$21&amp;" is more than RTRI RECENT Inpatient Services "&amp;CHAR(10),""),IF(J80&gt;J78," * RITA RECENT Inpatient Services "&amp;$J$20&amp;" "&amp;$J$21&amp;" is more than RTRI RECENT Inpatient Services "&amp;CHAR(10),""),IF(K80&gt;K78," * RITA RECENT Inpatient Services "&amp;$J$20&amp;" "&amp;$K$21&amp;" is more than RTRI RECENT Inpatient Services "&amp;CHAR(10),""),IF(L80&gt;L78," * RITA RECENT Inpatient Services "&amp;$L$20&amp;" "&amp;$L$21&amp;" is more than RTRI RECENT Inpatient Services "&amp;CHAR(10),""),IF(M80&gt;M78," * RITA RECENT Inpatient Services "&amp;$L$20&amp;" "&amp;$M$21&amp;" is more than RTRI RECENT Inpatient Services "&amp;CHAR(10),""),IF(N80&gt;N78," * RITA RECENT Inpatient Services "&amp;$N$20&amp;" "&amp;$N$21&amp;" is more than RTRI RECENT Inpatient Services "&amp;CHAR(10),""),IF(O80&gt;O78," * RITA RECENT Inpatient Services "&amp;$N$20&amp;" "&amp;$O$21&amp;" is more than RTRI RECENT Inpatient Services "&amp;CHAR(10),""),IF(P80&gt;P78," * RITA RECENT Inpatient Services "&amp;$P$20&amp;" "&amp;$P$21&amp;" is more than RTRI RECENT Inpatient Services "&amp;CHAR(10),""),IF(Q80&gt;Q78," * RITA RECENT Inpatient Services "&amp;$P$20&amp;" "&amp;$Q$21&amp;" is more than RTRI RECENT Inpatient Services "&amp;CHAR(10),""),IF(R80&gt;R78," * RITA RECENT Inpatient Services "&amp;$R$20&amp;" "&amp;$R$21&amp;" is more than RTRI RECENT Inpatient Services "&amp;CHAR(10),""),IF(S80&gt;S78," * RITA RECENT Inpatient Services "&amp;$R$20&amp;" "&amp;$S$21&amp;" is more than RTRI RECENT Inpatient Services "&amp;CHAR(10),""),IF(T80&gt;T78," * RITA RECENT Inpatient Services "&amp;$T$20&amp;" "&amp;$T$21&amp;" is more than RTRI RECENT Inpatient Services "&amp;CHAR(10),""),IF(U80&gt;U78," * RITA RECENT Inpatient Services "&amp;$T$20&amp;" "&amp;$U$21&amp;" is more than RTRI RECENT Inpatient Services "&amp;CHAR(10),""),IF(V80&gt;V78," * RITA RECENT Inpatient Services "&amp;$V$20&amp;" "&amp;$V$21&amp;" is more than RTRI RECENT Inpatient Services "&amp;CHAR(10),""),IF(W80&gt;W78," * RITA RECENT Inpatient Services "&amp;$V$20&amp;" "&amp;$W$21&amp;" is more than RTRI RECENT Inpatient Services "&amp;CHAR(10),""),IF(X80&gt;X78," * RITA RECENT Inpatient Services "&amp;$X$20&amp;" "&amp;$X$21&amp;" is more than RTRI RECENT Inpatient Services "&amp;CHAR(10),""),IF(Y80&gt;Y78," * RITA RECENT Inpatient Services "&amp;$X$20&amp;" "&amp;$Y$21&amp;" is more than RTRI RECENT Inpatient Services "&amp;CHAR(10),""),IF(Z80&gt;Z78," * RITA RECENT Inpatient Services "&amp;$Z$20&amp;" "&amp;$Z$21&amp;" is more than RTRI RECENT Inpatient Services "&amp;CHAR(10),""),IF(AA80&gt;AA78," * RITA RECENT Inpatient Services "&amp;$Z$20&amp;" "&amp;$AA$21&amp;" is more than RTRI RECENT Inpatient Services "&amp;CHAR(10),""))</f>
        <v/>
      </c>
      <c r="AL78" s="1426"/>
      <c r="AM78" s="31"/>
      <c r="AN78" s="334"/>
      <c r="AO78" s="13">
        <v>32</v>
      </c>
      <c r="AP78" s="81"/>
      <c r="AQ78" s="82"/>
    </row>
    <row r="79" spans="1:43" s="83" customFormat="1" ht="27" hidden="1" thickBot="1" x14ac:dyDescent="0.45">
      <c r="A79" s="1384"/>
      <c r="B79" s="335" t="s">
        <v>1079</v>
      </c>
      <c r="C79" s="530" t="s">
        <v>920</v>
      </c>
      <c r="D79" s="133"/>
      <c r="E79" s="78"/>
      <c r="F79" s="78"/>
      <c r="G79" s="78"/>
      <c r="H79" s="78"/>
      <c r="I79" s="78"/>
      <c r="J79" s="78"/>
      <c r="K79" s="349"/>
      <c r="L79" s="139"/>
      <c r="M79" s="139"/>
      <c r="N79" s="139"/>
      <c r="O79" s="139"/>
      <c r="P79" s="139"/>
      <c r="Q79" s="139"/>
      <c r="R79" s="139"/>
      <c r="S79" s="139"/>
      <c r="T79" s="139"/>
      <c r="U79" s="139"/>
      <c r="V79" s="139"/>
      <c r="W79" s="139"/>
      <c r="X79" s="139"/>
      <c r="Y79" s="139"/>
      <c r="Z79" s="139"/>
      <c r="AA79" s="139"/>
      <c r="AB79" s="354"/>
      <c r="AC79" s="325"/>
      <c r="AD79" s="325"/>
      <c r="AE79" s="325"/>
      <c r="AF79" s="325"/>
      <c r="AG79" s="325"/>
      <c r="AH79" s="325"/>
      <c r="AI79" s="285"/>
      <c r="AJ79" s="184">
        <f t="shared" si="51"/>
        <v>0</v>
      </c>
      <c r="AK79" s="30" t="str">
        <f>CONCATENATE(IF(D81&gt;D79," * RITA Long-Term Inpatient Services  "&amp;$D$20&amp;" "&amp;$D$21&amp;" is more than RTRI Long-Term Inpatient Services  "&amp;CHAR(10),""),IF(E81&gt;E79," * RITA Long-Term Inpatient Services  "&amp;$D$20&amp;" "&amp;$E$21&amp;" is more than RTRI Long-Term Inpatient Services  "&amp;CHAR(10),""),IF(F81&gt;F79," * RITA Long-Term Inpatient Services  "&amp;$F$20&amp;" "&amp;$F$21&amp;" is more than RTRI Long-Term Inpatient Services  "&amp;CHAR(10),""),IF(G81&gt;G79," * RITA Long-Term Inpatient Services  "&amp;$F$20&amp;" "&amp;$G$21&amp;" is more than RTRI Long-Term Inpatient Services  "&amp;CHAR(10),""),IF(H81&gt;H79," * RITA Long-Term Inpatient Services  "&amp;$H$20&amp;" "&amp;$H$21&amp;" is more than RTRI Long-Term Inpatient Services  "&amp;CHAR(10),""),IF(I81&gt;I79," * RITA Long-Term Inpatient Services  "&amp;$H$20&amp;" "&amp;$I$21&amp;" is more than RTRI Long-Term Inpatient Services  "&amp;CHAR(10),""),IF(J81&gt;J79," * RITA Long-Term Inpatient Services  "&amp;$J$20&amp;" "&amp;$J$21&amp;" is more than RTRI Long-Term Inpatient Services  "&amp;CHAR(10),""),IF(K81&gt;K79," * RITA Long-Term Inpatient Services  "&amp;$J$20&amp;" "&amp;$K$21&amp;" is more than RTRI Long-Term Inpatient Services  "&amp;CHAR(10),""),IF(L81&gt;L79," * RITA Long-Term Inpatient Services  "&amp;$L$20&amp;" "&amp;$L$21&amp;" is more than RTRI Long-Term Inpatient Services  "&amp;CHAR(10),""),IF(M81&gt;M79," * RITA Long-Term Inpatient Services  "&amp;$L$20&amp;" "&amp;$M$21&amp;" is more than RTRI Long-Term Inpatient Services  "&amp;CHAR(10),""),IF(N81&gt;N79," * RITA Long-Term Inpatient Services  "&amp;$N$20&amp;" "&amp;$N$21&amp;" is more than RTRI Long-Term Inpatient Services  "&amp;CHAR(10),""),IF(O81&gt;O79," * RITA Long-Term Inpatient Services  "&amp;$N$20&amp;" "&amp;$O$21&amp;" is more than RTRI Long-Term Inpatient Services  "&amp;CHAR(10),""),IF(P81&gt;P79," * RITA Long-Term Inpatient Services  "&amp;$P$20&amp;" "&amp;$P$21&amp;" is more than RTRI Long-Term Inpatient Services  "&amp;CHAR(10),""),IF(Q81&gt;Q79," * RITA Long-Term Inpatient Services  "&amp;$P$20&amp;" "&amp;$Q$21&amp;" is more than RTRI Long-Term Inpatient Services  "&amp;CHAR(10),""),IF(R81&gt;R79," * RITA Long-Term Inpatient Services  "&amp;$R$20&amp;" "&amp;$R$21&amp;" is more than RTRI Long-Term Inpatient Services  "&amp;CHAR(10),""),IF(S81&gt;S79," * RITA Long-Term Inpatient Services  "&amp;$R$20&amp;" "&amp;$S$21&amp;" is more than RTRI Long-Term Inpatient Services  "&amp;CHAR(10),""),IF(T81&gt;T79," * RITA Long-Term Inpatient Services  "&amp;$T$20&amp;" "&amp;$T$21&amp;" is more than RTRI Long-Term Inpatient Services  "&amp;CHAR(10),""),IF(U81&gt;U79," * RITA Long-Term Inpatient Services  "&amp;$T$20&amp;" "&amp;$U$21&amp;" is more than RTRI Long-Term Inpatient Services  "&amp;CHAR(10),""),IF(V81&gt;V79," * RITA Long-Term Inpatient Services  "&amp;$V$20&amp;" "&amp;$V$21&amp;" is more than RTRI Long-Term Inpatient Services  "&amp;CHAR(10),""),IF(W81&gt;W79," * RITA Long-Term Inpatient Services  "&amp;$V$20&amp;" "&amp;$W$21&amp;" is more than RTRI Long-Term Inpatient Services  "&amp;CHAR(10),""),IF(X81&gt;X79," * RITA Long-Term Inpatient Services  "&amp;$X$20&amp;" "&amp;$X$21&amp;" is more than RTRI Long-Term Inpatient Services  "&amp;CHAR(10),""),IF(Y81&gt;Y79," * RITA Long-Term Inpatient Services  "&amp;$X$20&amp;" "&amp;$Y$21&amp;" is more than RTRI Long-Term Inpatient Services  "&amp;CHAR(10),""),IF(Z81&gt;Z79," * RITA Long-Term Inpatient Services  "&amp;$Z$20&amp;" "&amp;$Z$21&amp;" is more than RTRI Long-Term Inpatient Services  "&amp;CHAR(10),""),IF(AA81&gt;AA79," * RITA Long-Term Inpatient Services  "&amp;$Z$20&amp;" "&amp;$AA$21&amp;" is more than RTRI Long-Term Inpatient Services  "&amp;CHAR(10),""))</f>
        <v/>
      </c>
      <c r="AL79" s="1426"/>
      <c r="AM79" s="31"/>
      <c r="AN79" s="334"/>
      <c r="AO79" s="13">
        <v>33</v>
      </c>
      <c r="AP79" s="81"/>
      <c r="AQ79" s="82"/>
    </row>
    <row r="80" spans="1:43" s="83" customFormat="1" ht="25.5" hidden="1" customHeight="1" x14ac:dyDescent="0.4">
      <c r="A80" s="1384"/>
      <c r="B80" s="1" t="s">
        <v>1080</v>
      </c>
      <c r="C80" s="530" t="s">
        <v>1121</v>
      </c>
      <c r="D80" s="133"/>
      <c r="E80" s="78"/>
      <c r="F80" s="78"/>
      <c r="G80" s="78"/>
      <c r="H80" s="78"/>
      <c r="I80" s="78"/>
      <c r="J80" s="78"/>
      <c r="K80" s="349"/>
      <c r="L80" s="222"/>
      <c r="M80" s="222"/>
      <c r="N80" s="222"/>
      <c r="O80" s="222"/>
      <c r="P80" s="222"/>
      <c r="Q80" s="222"/>
      <c r="R80" s="222"/>
      <c r="S80" s="222"/>
      <c r="T80" s="222"/>
      <c r="U80" s="222"/>
      <c r="V80" s="222"/>
      <c r="W80" s="222"/>
      <c r="X80" s="222"/>
      <c r="Y80" s="222"/>
      <c r="Z80" s="222"/>
      <c r="AA80" s="222"/>
      <c r="AB80" s="354"/>
      <c r="AC80" s="325"/>
      <c r="AD80" s="325"/>
      <c r="AE80" s="325"/>
      <c r="AF80" s="325"/>
      <c r="AG80" s="325"/>
      <c r="AH80" s="325"/>
      <c r="AI80" s="285"/>
      <c r="AJ80" s="182"/>
      <c r="AK80" s="30"/>
      <c r="AL80" s="1426"/>
      <c r="AM80" s="31"/>
      <c r="AN80" s="334"/>
      <c r="AO80" s="13"/>
      <c r="AP80" s="81"/>
      <c r="AQ80" s="82"/>
    </row>
    <row r="81" spans="1:43" s="83" customFormat="1" ht="27" hidden="1" thickBot="1" x14ac:dyDescent="0.45">
      <c r="A81" s="1385"/>
      <c r="B81" s="335" t="s">
        <v>1081</v>
      </c>
      <c r="C81" s="532" t="s">
        <v>1122</v>
      </c>
      <c r="D81" s="119"/>
      <c r="E81" s="102"/>
      <c r="F81" s="102"/>
      <c r="G81" s="102"/>
      <c r="H81" s="102"/>
      <c r="I81" s="102"/>
      <c r="J81" s="102"/>
      <c r="K81" s="343"/>
      <c r="L81" s="233"/>
      <c r="M81" s="233"/>
      <c r="N81" s="233"/>
      <c r="O81" s="233"/>
      <c r="P81" s="233"/>
      <c r="Q81" s="233"/>
      <c r="R81" s="233"/>
      <c r="S81" s="233"/>
      <c r="T81" s="233"/>
      <c r="U81" s="233"/>
      <c r="V81" s="233"/>
      <c r="W81" s="233"/>
      <c r="X81" s="233"/>
      <c r="Y81" s="233"/>
      <c r="Z81" s="233"/>
      <c r="AA81" s="233"/>
      <c r="AB81" s="354"/>
      <c r="AC81" s="325"/>
      <c r="AD81" s="325"/>
      <c r="AE81" s="325"/>
      <c r="AF81" s="325"/>
      <c r="AG81" s="325"/>
      <c r="AH81" s="325"/>
      <c r="AI81" s="285"/>
      <c r="AJ81" s="182"/>
      <c r="AK81" s="30"/>
      <c r="AL81" s="1426"/>
      <c r="AM81" s="31"/>
      <c r="AN81" s="334"/>
      <c r="AO81" s="13"/>
      <c r="AP81" s="81"/>
      <c r="AQ81" s="82"/>
    </row>
    <row r="82" spans="1:43" s="83" customFormat="1" ht="25.5" hidden="1" customHeight="1" x14ac:dyDescent="0.4">
      <c r="A82" s="1223" t="s">
        <v>930</v>
      </c>
      <c r="B82" s="1" t="s">
        <v>1078</v>
      </c>
      <c r="C82" s="529" t="s">
        <v>921</v>
      </c>
      <c r="D82" s="132"/>
      <c r="E82" s="99"/>
      <c r="F82" s="99"/>
      <c r="G82" s="99"/>
      <c r="H82" s="99"/>
      <c r="I82" s="99"/>
      <c r="J82" s="99"/>
      <c r="K82" s="342"/>
      <c r="L82" s="98"/>
      <c r="M82" s="222"/>
      <c r="N82" s="99"/>
      <c r="O82" s="222"/>
      <c r="P82" s="99"/>
      <c r="Q82" s="222"/>
      <c r="R82" s="99"/>
      <c r="S82" s="222"/>
      <c r="T82" s="99"/>
      <c r="U82" s="222"/>
      <c r="V82" s="99"/>
      <c r="W82" s="222"/>
      <c r="X82" s="99"/>
      <c r="Y82" s="222"/>
      <c r="Z82" s="99"/>
      <c r="AA82" s="469"/>
      <c r="AB82" s="354"/>
      <c r="AC82" s="325"/>
      <c r="AD82" s="325"/>
      <c r="AE82" s="325"/>
      <c r="AF82" s="325"/>
      <c r="AG82" s="325"/>
      <c r="AH82" s="325"/>
      <c r="AI82" s="285"/>
      <c r="AJ82" s="183">
        <f t="shared" si="51"/>
        <v>0</v>
      </c>
      <c r="AK82" s="30" t="str">
        <f>CONCATENATE(IF(D84&gt;D82," * RITA RECENT PMTCT ANC1 ONLY "&amp;$D$20&amp;" "&amp;$D$21&amp;" is more than RTRI RECENT PMTCT ANC1 ONLY "&amp;CHAR(10),""),IF(E84&gt;E82," * RITA RECENT PMTCT ANC1 ONLY "&amp;$D$20&amp;" "&amp;$E$21&amp;" is more than RTRI RECENT PMTCT ANC1 ONLY "&amp;CHAR(10),""),IF(F84&gt;F82," * RITA RECENT PMTCT ANC1 ONLY "&amp;$F$20&amp;" "&amp;$F$21&amp;" is more than RTRI RECENT PMTCT ANC1 ONLY "&amp;CHAR(10),""),IF(G84&gt;G82," * RITA RECENT PMTCT ANC1 ONLY "&amp;$F$20&amp;" "&amp;$G$21&amp;" is more than RTRI RECENT PMTCT ANC1 ONLY "&amp;CHAR(10),""),IF(H84&gt;H82," * RITA RECENT PMTCT ANC1 ONLY "&amp;$H$20&amp;" "&amp;$H$21&amp;" is more than RTRI RECENT PMTCT ANC1 ONLY "&amp;CHAR(10),""),IF(I84&gt;I82," * RITA RECENT PMTCT ANC1 ONLY "&amp;$H$20&amp;" "&amp;$I$21&amp;" is more than RTRI RECENT PMTCT ANC1 ONLY "&amp;CHAR(10),""),IF(J84&gt;J82," * RITA RECENT PMTCT ANC1 ONLY "&amp;$J$20&amp;" "&amp;$J$21&amp;" is more than RTRI RECENT PMTCT ANC1 ONLY "&amp;CHAR(10),""),IF(K84&gt;K82," * RITA RECENT PMTCT ANC1 ONLY "&amp;$J$20&amp;" "&amp;$K$21&amp;" is more than RTRI RECENT PMTCT ANC1 ONLY "&amp;CHAR(10),""),IF(L84&gt;L82," * RITA RECENT PMTCT ANC1 ONLY "&amp;$L$20&amp;" "&amp;$L$21&amp;" is more than RTRI RECENT PMTCT ANC1 ONLY "&amp;CHAR(10),""),IF(M84&gt;M82," * RITA RECENT PMTCT ANC1 ONLY "&amp;$L$20&amp;" "&amp;$M$21&amp;" is more than RTRI RECENT PMTCT ANC1 ONLY "&amp;CHAR(10),""),IF(N84&gt;N82," * RITA RECENT PMTCT ANC1 ONLY "&amp;$N$20&amp;" "&amp;$N$21&amp;" is more than RTRI RECENT PMTCT ANC1 ONLY "&amp;CHAR(10),""),IF(O84&gt;O82," * RITA RECENT PMTCT ANC1 ONLY "&amp;$N$20&amp;" "&amp;$O$21&amp;" is more than RTRI RECENT PMTCT ANC1 ONLY "&amp;CHAR(10),""),IF(P84&gt;P82," * RITA RECENT PMTCT ANC1 ONLY "&amp;$P$20&amp;" "&amp;$P$21&amp;" is more than RTRI RECENT PMTCT ANC1 ONLY "&amp;CHAR(10),""),IF(Q84&gt;Q82," * RITA RECENT PMTCT ANC1 ONLY "&amp;$P$20&amp;" "&amp;$Q$21&amp;" is more than RTRI RECENT PMTCT ANC1 ONLY "&amp;CHAR(10),""),IF(R84&gt;R82," * RITA RECENT PMTCT ANC1 ONLY "&amp;$R$20&amp;" "&amp;$R$21&amp;" is more than RTRI RECENT PMTCT ANC1 ONLY "&amp;CHAR(10),""),IF(S84&gt;S82," * RITA RECENT PMTCT ANC1 ONLY "&amp;$R$20&amp;" "&amp;$S$21&amp;" is more than RTRI RECENT PMTCT ANC1 ONLY "&amp;CHAR(10),""),IF(T84&gt;T82," * RITA RECENT PMTCT ANC1 ONLY "&amp;$T$20&amp;" "&amp;$T$21&amp;" is more than RTRI RECENT PMTCT ANC1 ONLY "&amp;CHAR(10),""),IF(U84&gt;U82," * RITA RECENT PMTCT ANC1 ONLY "&amp;$T$20&amp;" "&amp;$U$21&amp;" is more than RTRI RECENT PMTCT ANC1 ONLY "&amp;CHAR(10),""),IF(V84&gt;V82," * RITA RECENT PMTCT ANC1 ONLY "&amp;$V$20&amp;" "&amp;$V$21&amp;" is more than RTRI RECENT PMTCT ANC1 ONLY "&amp;CHAR(10),""),IF(W84&gt;W82," * RITA RECENT PMTCT ANC1 ONLY "&amp;$V$20&amp;" "&amp;$W$21&amp;" is more than RTRI RECENT PMTCT ANC1 ONLY "&amp;CHAR(10),""),IF(X84&gt;X82," * RITA RECENT PMTCT ANC1 ONLY "&amp;$X$20&amp;" "&amp;$X$21&amp;" is more than RTRI RECENT PMTCT ANC1 ONLY "&amp;CHAR(10),""),IF(Y84&gt;Y82," * RITA RECENT PMTCT ANC1 ONLY "&amp;$X$20&amp;" "&amp;$Y$21&amp;" is more than RTRI RECENT PMTCT ANC1 ONLY "&amp;CHAR(10),""),IF(Z84&gt;Z82," * RITA RECENT PMTCT ANC1 ONLY "&amp;$Z$20&amp;" "&amp;$Z$21&amp;" is more than RTRI RECENT PMTCT ANC1 ONLY "&amp;CHAR(10),""),IF(AA84&gt;AA82," * RITA RECENT PMTCT ANC1 ONLY "&amp;$Z$20&amp;" "&amp;$AA$21&amp;" is more than RTRI RECENT PMTCT ANC1 ONLY "&amp;CHAR(10),""))</f>
        <v/>
      </c>
      <c r="AL82" s="1426"/>
      <c r="AM82" s="31"/>
      <c r="AN82" s="334"/>
      <c r="AO82" s="13">
        <v>32</v>
      </c>
      <c r="AP82" s="81"/>
      <c r="AQ82" s="82"/>
    </row>
    <row r="83" spans="1:43" s="83" customFormat="1" ht="27" hidden="1" thickBot="1" x14ac:dyDescent="0.45">
      <c r="A83" s="1224"/>
      <c r="B83" s="335" t="s">
        <v>1079</v>
      </c>
      <c r="C83" s="530" t="s">
        <v>922</v>
      </c>
      <c r="D83" s="133"/>
      <c r="E83" s="78"/>
      <c r="F83" s="78"/>
      <c r="G83" s="78"/>
      <c r="H83" s="78"/>
      <c r="I83" s="78"/>
      <c r="J83" s="78"/>
      <c r="K83" s="349"/>
      <c r="L83" s="77"/>
      <c r="M83" s="139"/>
      <c r="N83" s="78"/>
      <c r="O83" s="139"/>
      <c r="P83" s="78"/>
      <c r="Q83" s="139"/>
      <c r="R83" s="78"/>
      <c r="S83" s="139"/>
      <c r="T83" s="78"/>
      <c r="U83" s="139"/>
      <c r="V83" s="78"/>
      <c r="W83" s="139"/>
      <c r="X83" s="78"/>
      <c r="Y83" s="139"/>
      <c r="Z83" s="78"/>
      <c r="AA83" s="470"/>
      <c r="AB83" s="354"/>
      <c r="AC83" s="325"/>
      <c r="AD83" s="325"/>
      <c r="AE83" s="325"/>
      <c r="AF83" s="325"/>
      <c r="AG83" s="325"/>
      <c r="AH83" s="325"/>
      <c r="AI83" s="285"/>
      <c r="AJ83" s="184">
        <f t="shared" si="51"/>
        <v>0</v>
      </c>
      <c r="AK83" s="30" t="str">
        <f>CONCATENATE(IF(D85&gt;D83," * RITA Long-Term PMTCT ANC1 ONLY  "&amp;$D$20&amp;" "&amp;$D$21&amp;" is more than RTRI Long-Term PMTCT ANC1 ONLY  "&amp;CHAR(10),""),IF(E85&gt;E83," * RITA Long-Term PMTCT ANC1 ONLY  "&amp;$D$20&amp;" "&amp;$E$21&amp;" is more than RTRI Long-Term PMTCT ANC1 ONLY  "&amp;CHAR(10),""),IF(F85&gt;F83," * RITA Long-Term PMTCT ANC1 ONLY  "&amp;$F$20&amp;" "&amp;$F$21&amp;" is more than RTRI Long-Term PMTCT ANC1 ONLY  "&amp;CHAR(10),""),IF(G85&gt;G83," * RITA Long-Term PMTCT ANC1 ONLY  "&amp;$F$20&amp;" "&amp;$G$21&amp;" is more than RTRI Long-Term PMTCT ANC1 ONLY  "&amp;CHAR(10),""),IF(H85&gt;H83," * RITA Long-Term PMTCT ANC1 ONLY  "&amp;$H$20&amp;" "&amp;$H$21&amp;" is more than RTRI Long-Term PMTCT ANC1 ONLY  "&amp;CHAR(10),""),IF(I85&gt;I83," * RITA Long-Term PMTCT ANC1 ONLY  "&amp;$H$20&amp;" "&amp;$I$21&amp;" is more than RTRI Long-Term PMTCT ANC1 ONLY  "&amp;CHAR(10),""),IF(J85&gt;J83," * RITA Long-Term PMTCT ANC1 ONLY  "&amp;$J$20&amp;" "&amp;$J$21&amp;" is more than RTRI Long-Term PMTCT ANC1 ONLY  "&amp;CHAR(10),""),IF(K85&gt;K83," * RITA Long-Term PMTCT ANC1 ONLY  "&amp;$J$20&amp;" "&amp;$K$21&amp;" is more than RTRI Long-Term PMTCT ANC1 ONLY  "&amp;CHAR(10),""),IF(L85&gt;L83," * RITA Long-Term PMTCT ANC1 ONLY  "&amp;$L$20&amp;" "&amp;$L$21&amp;" is more than RTRI Long-Term PMTCT ANC1 ONLY  "&amp;CHAR(10),""),IF(M85&gt;M83," * RITA Long-Term PMTCT ANC1 ONLY  "&amp;$L$20&amp;" "&amp;$M$21&amp;" is more than RTRI Long-Term PMTCT ANC1 ONLY  "&amp;CHAR(10),""),IF(N85&gt;N83," * RITA Long-Term PMTCT ANC1 ONLY  "&amp;$N$20&amp;" "&amp;$N$21&amp;" is more than RTRI Long-Term PMTCT ANC1 ONLY  "&amp;CHAR(10),""),IF(O85&gt;O83," * RITA Long-Term PMTCT ANC1 ONLY  "&amp;$N$20&amp;" "&amp;$O$21&amp;" is more than RTRI Long-Term PMTCT ANC1 ONLY  "&amp;CHAR(10),""),IF(P85&gt;P83," * RITA Long-Term PMTCT ANC1 ONLY  "&amp;$P$20&amp;" "&amp;$P$21&amp;" is more than RTRI Long-Term PMTCT ANC1 ONLY  "&amp;CHAR(10),""),IF(Q85&gt;Q83," * RITA Long-Term PMTCT ANC1 ONLY  "&amp;$P$20&amp;" "&amp;$Q$21&amp;" is more than RTRI Long-Term PMTCT ANC1 ONLY  "&amp;CHAR(10),""),IF(R85&gt;R83," * RITA Long-Term PMTCT ANC1 ONLY  "&amp;$R$20&amp;" "&amp;$R$21&amp;" is more than RTRI Long-Term PMTCT ANC1 ONLY  "&amp;CHAR(10),""),IF(S85&gt;S83," * RITA Long-Term PMTCT ANC1 ONLY  "&amp;$R$20&amp;" "&amp;$S$21&amp;" is more than RTRI Long-Term PMTCT ANC1 ONLY  "&amp;CHAR(10),""),IF(T85&gt;T83," * RITA Long-Term PMTCT ANC1 ONLY  "&amp;$T$20&amp;" "&amp;$T$21&amp;" is more than RTRI Long-Term PMTCT ANC1 ONLY  "&amp;CHAR(10),""),IF(U85&gt;U83," * RITA Long-Term PMTCT ANC1 ONLY  "&amp;$T$20&amp;" "&amp;$U$21&amp;" is more than RTRI Long-Term PMTCT ANC1 ONLY  "&amp;CHAR(10),""),IF(V85&gt;V83," * RITA Long-Term PMTCT ANC1 ONLY  "&amp;$V$20&amp;" "&amp;$V$21&amp;" is more than RTRI Long-Term PMTCT ANC1 ONLY  "&amp;CHAR(10),""),IF(W85&gt;W83," * RITA Long-Term PMTCT ANC1 ONLY  "&amp;$V$20&amp;" "&amp;$W$21&amp;" is more than RTRI Long-Term PMTCT ANC1 ONLY  "&amp;CHAR(10),""),IF(X85&gt;X83," * RITA Long-Term PMTCT ANC1 ONLY  "&amp;$X$20&amp;" "&amp;$X$21&amp;" is more than RTRI Long-Term PMTCT ANC1 ONLY  "&amp;CHAR(10),""),IF(Y85&gt;Y83," * RITA Long-Term PMTCT ANC1 ONLY  "&amp;$X$20&amp;" "&amp;$Y$21&amp;" is more than RTRI Long-Term PMTCT ANC1 ONLY  "&amp;CHAR(10),""),IF(Z85&gt;Z83," * RITA Long-Term PMTCT ANC1 ONLY  "&amp;$Z$20&amp;" "&amp;$Z$21&amp;" is more than RTRI Long-Term PMTCT ANC1 ONLY  "&amp;CHAR(10),""),IF(AA85&gt;AA83," * RITA Long-Term PMTCT ANC1 ONLY  "&amp;$Z$20&amp;" "&amp;$AA$21&amp;" is more than RTRI Long-Term PMTCT ANC1 ONLY  "&amp;CHAR(10),""))</f>
        <v/>
      </c>
      <c r="AL83" s="1426"/>
      <c r="AM83" s="31"/>
      <c r="AN83" s="334"/>
      <c r="AO83" s="13">
        <v>33</v>
      </c>
      <c r="AP83" s="81"/>
      <c r="AQ83" s="82"/>
    </row>
    <row r="84" spans="1:43" s="83" customFormat="1" ht="26.25" hidden="1" x14ac:dyDescent="0.4">
      <c r="A84" s="1224"/>
      <c r="B84" s="1" t="s">
        <v>1080</v>
      </c>
      <c r="C84" s="530" t="s">
        <v>1086</v>
      </c>
      <c r="D84" s="133"/>
      <c r="E84" s="78"/>
      <c r="F84" s="78"/>
      <c r="G84" s="78"/>
      <c r="H84" s="78"/>
      <c r="I84" s="78"/>
      <c r="J84" s="78"/>
      <c r="K84" s="349"/>
      <c r="L84" s="77"/>
      <c r="M84" s="222"/>
      <c r="N84" s="78"/>
      <c r="O84" s="222"/>
      <c r="P84" s="78"/>
      <c r="Q84" s="222"/>
      <c r="R84" s="78"/>
      <c r="S84" s="222"/>
      <c r="T84" s="78"/>
      <c r="U84" s="222"/>
      <c r="V84" s="78"/>
      <c r="W84" s="222"/>
      <c r="X84" s="78"/>
      <c r="Y84" s="222"/>
      <c r="Z84" s="78"/>
      <c r="AA84" s="469"/>
      <c r="AB84" s="354"/>
      <c r="AC84" s="325"/>
      <c r="AD84" s="325"/>
      <c r="AE84" s="325"/>
      <c r="AF84" s="325"/>
      <c r="AG84" s="325"/>
      <c r="AH84" s="325"/>
      <c r="AI84" s="285"/>
      <c r="AJ84" s="182"/>
      <c r="AK84" s="30"/>
      <c r="AL84" s="1426"/>
      <c r="AM84" s="31"/>
      <c r="AN84" s="334"/>
      <c r="AO84" s="13"/>
      <c r="AP84" s="81"/>
      <c r="AQ84" s="82"/>
    </row>
    <row r="85" spans="1:43" s="83" customFormat="1" ht="27" hidden="1" thickBot="1" x14ac:dyDescent="0.45">
      <c r="A85" s="1225"/>
      <c r="B85" s="335" t="s">
        <v>1081</v>
      </c>
      <c r="C85" s="532" t="s">
        <v>1087</v>
      </c>
      <c r="D85" s="119"/>
      <c r="E85" s="102"/>
      <c r="F85" s="102"/>
      <c r="G85" s="102"/>
      <c r="H85" s="102"/>
      <c r="I85" s="102"/>
      <c r="J85" s="102"/>
      <c r="K85" s="343"/>
      <c r="L85" s="103"/>
      <c r="M85" s="139"/>
      <c r="N85" s="102"/>
      <c r="O85" s="139"/>
      <c r="P85" s="102"/>
      <c r="Q85" s="139"/>
      <c r="R85" s="102"/>
      <c r="S85" s="139"/>
      <c r="T85" s="102"/>
      <c r="U85" s="139"/>
      <c r="V85" s="102"/>
      <c r="W85" s="139"/>
      <c r="X85" s="102"/>
      <c r="Y85" s="139"/>
      <c r="Z85" s="102"/>
      <c r="AA85" s="470"/>
      <c r="AB85" s="354"/>
      <c r="AC85" s="325"/>
      <c r="AD85" s="325"/>
      <c r="AE85" s="325"/>
      <c r="AF85" s="325"/>
      <c r="AG85" s="325"/>
      <c r="AH85" s="325"/>
      <c r="AI85" s="285"/>
      <c r="AJ85" s="182"/>
      <c r="AK85" s="30"/>
      <c r="AL85" s="1426"/>
      <c r="AM85" s="31"/>
      <c r="AN85" s="334"/>
      <c r="AO85" s="13"/>
      <c r="AP85" s="81"/>
      <c r="AQ85" s="82"/>
    </row>
    <row r="86" spans="1:43" s="83" customFormat="1" ht="25.5" hidden="1" customHeight="1" x14ac:dyDescent="0.4">
      <c r="A86" s="1223" t="s">
        <v>938</v>
      </c>
      <c r="B86" s="1" t="s">
        <v>1078</v>
      </c>
      <c r="C86" s="533" t="s">
        <v>923</v>
      </c>
      <c r="D86" s="467"/>
      <c r="E86" s="71"/>
      <c r="F86" s="71"/>
      <c r="G86" s="71"/>
      <c r="H86" s="71"/>
      <c r="I86" s="71"/>
      <c r="J86" s="71"/>
      <c r="K86" s="468"/>
      <c r="L86" s="98"/>
      <c r="M86" s="222"/>
      <c r="N86" s="99"/>
      <c r="O86" s="222"/>
      <c r="P86" s="99"/>
      <c r="Q86" s="222"/>
      <c r="R86" s="99"/>
      <c r="S86" s="222"/>
      <c r="T86" s="99"/>
      <c r="U86" s="222"/>
      <c r="V86" s="99"/>
      <c r="W86" s="222"/>
      <c r="X86" s="99"/>
      <c r="Y86" s="222"/>
      <c r="Z86" s="99"/>
      <c r="AA86" s="469"/>
      <c r="AB86" s="354"/>
      <c r="AC86" s="325"/>
      <c r="AD86" s="325"/>
      <c r="AE86" s="325"/>
      <c r="AF86" s="325"/>
      <c r="AG86" s="325"/>
      <c r="AH86" s="325"/>
      <c r="AI86" s="285"/>
      <c r="AJ86" s="183">
        <f t="shared" si="51"/>
        <v>0</v>
      </c>
      <c r="AK86" s="30" t="str">
        <f>CONCATENATE(IF(D88&gt;D86," * RITA RECENT PMTCT POST ANC1 "&amp;$D$20&amp;" "&amp;$D$21&amp;" is more than RTRI RECENT PMTCT POST ANC1 "&amp;CHAR(10),""),IF(E88&gt;E86," * RITA RECENT PMTCT POST ANC1 "&amp;$D$20&amp;" "&amp;$E$21&amp;" is more than RTRI RECENT PMTCT POST ANC1 "&amp;CHAR(10),""),IF(F88&gt;F86," * RITA RECENT PMTCT POST ANC1 "&amp;$F$20&amp;" "&amp;$F$21&amp;" is more than RTRI RECENT PMTCT POST ANC1 "&amp;CHAR(10),""),IF(G88&gt;G86," * RITA RECENT PMTCT POST ANC1 "&amp;$F$20&amp;" "&amp;$G$21&amp;" is more than RTRI RECENT PMTCT POST ANC1 "&amp;CHAR(10),""),IF(H88&gt;H86," * RITA RECENT PMTCT POST ANC1 "&amp;$H$20&amp;" "&amp;$H$21&amp;" is more than RTRI RECENT PMTCT POST ANC1 "&amp;CHAR(10),""),IF(I88&gt;I86," * RITA RECENT PMTCT POST ANC1 "&amp;$H$20&amp;" "&amp;$I$21&amp;" is more than RTRI RECENT PMTCT POST ANC1 "&amp;CHAR(10),""),IF(J88&gt;J86," * RITA RECENT PMTCT POST ANC1 "&amp;$J$20&amp;" "&amp;$J$21&amp;" is more than RTRI RECENT PMTCT POST ANC1 "&amp;CHAR(10),""),IF(K88&gt;K86," * RITA RECENT PMTCT POST ANC1 "&amp;$J$20&amp;" "&amp;$K$21&amp;" is more than RTRI RECENT PMTCT POST ANC1 "&amp;CHAR(10),""),IF(L88&gt;L86," * RITA RECENT PMTCT POST ANC1 "&amp;$L$20&amp;" "&amp;$L$21&amp;" is more than RTRI RECENT PMTCT POST ANC1 "&amp;CHAR(10),""),IF(M88&gt;M86," * RITA RECENT PMTCT POST ANC1 "&amp;$L$20&amp;" "&amp;$M$21&amp;" is more than RTRI RECENT PMTCT POST ANC1 "&amp;CHAR(10),""),IF(N88&gt;N86," * RITA RECENT PMTCT POST ANC1 "&amp;$N$20&amp;" "&amp;$N$21&amp;" is more than RTRI RECENT PMTCT POST ANC1 "&amp;CHAR(10),""),IF(O88&gt;O86," * RITA RECENT PMTCT POST ANC1 "&amp;$N$20&amp;" "&amp;$O$21&amp;" is more than RTRI RECENT PMTCT POST ANC1 "&amp;CHAR(10),""),IF(P88&gt;P86," * RITA RECENT PMTCT POST ANC1 "&amp;$P$20&amp;" "&amp;$P$21&amp;" is more than RTRI RECENT PMTCT POST ANC1 "&amp;CHAR(10),""),IF(Q88&gt;Q86," * RITA RECENT PMTCT POST ANC1 "&amp;$P$20&amp;" "&amp;$Q$21&amp;" is more than RTRI RECENT PMTCT POST ANC1 "&amp;CHAR(10),""),IF(R88&gt;R86," * RITA RECENT PMTCT POST ANC1 "&amp;$R$20&amp;" "&amp;$R$21&amp;" is more than RTRI RECENT PMTCT POST ANC1 "&amp;CHAR(10),""),IF(S88&gt;S86," * RITA RECENT PMTCT POST ANC1 "&amp;$R$20&amp;" "&amp;$S$21&amp;" is more than RTRI RECENT PMTCT POST ANC1 "&amp;CHAR(10),""),IF(T88&gt;T86," * RITA RECENT PMTCT POST ANC1 "&amp;$T$20&amp;" "&amp;$T$21&amp;" is more than RTRI RECENT PMTCT POST ANC1 "&amp;CHAR(10),""),IF(U88&gt;U86," * RITA RECENT PMTCT POST ANC1 "&amp;$T$20&amp;" "&amp;$U$21&amp;" is more than RTRI RECENT PMTCT POST ANC1 "&amp;CHAR(10),""),IF(V88&gt;V86," * RITA RECENT PMTCT POST ANC1 "&amp;$V$20&amp;" "&amp;$V$21&amp;" is more than RTRI RECENT PMTCT POST ANC1 "&amp;CHAR(10),""),IF(W88&gt;W86," * RITA RECENT PMTCT POST ANC1 "&amp;$V$20&amp;" "&amp;$W$21&amp;" is more than RTRI RECENT PMTCT POST ANC1 "&amp;CHAR(10),""),IF(X88&gt;X86," * RITA RECENT PMTCT POST ANC1 "&amp;$X$20&amp;" "&amp;$X$21&amp;" is more than RTRI RECENT PMTCT POST ANC1 "&amp;CHAR(10),""),IF(Y88&gt;Y86," * RITA RECENT PMTCT POST ANC1 "&amp;$X$20&amp;" "&amp;$Y$21&amp;" is more than RTRI RECENT PMTCT POST ANC1 "&amp;CHAR(10),""),IF(Z88&gt;Z86," * RITA RECENT PMTCT POST ANC1 "&amp;$Z$20&amp;" "&amp;$Z$21&amp;" is more than RTRI RECENT PMTCT POST ANC1 "&amp;CHAR(10),""),IF(AA88&gt;AA86," * RITA RECENT PMTCT POST ANC1 "&amp;$Z$20&amp;" "&amp;$AA$21&amp;" is more than RTRI RECENT PMTCT POST ANC1 "&amp;CHAR(10),""))</f>
        <v/>
      </c>
      <c r="AL86" s="1426"/>
      <c r="AM86" s="31"/>
      <c r="AN86" s="334"/>
      <c r="AO86" s="13">
        <v>32</v>
      </c>
      <c r="AP86" s="81"/>
      <c r="AQ86" s="82"/>
    </row>
    <row r="87" spans="1:43" s="83" customFormat="1" ht="27" hidden="1" thickBot="1" x14ac:dyDescent="0.45">
      <c r="A87" s="1224"/>
      <c r="B87" s="335" t="s">
        <v>1079</v>
      </c>
      <c r="C87" s="530" t="s">
        <v>924</v>
      </c>
      <c r="D87" s="133"/>
      <c r="E87" s="78"/>
      <c r="F87" s="78"/>
      <c r="G87" s="78"/>
      <c r="H87" s="78"/>
      <c r="I87" s="78"/>
      <c r="J87" s="78"/>
      <c r="K87" s="349"/>
      <c r="L87" s="77"/>
      <c r="M87" s="139"/>
      <c r="N87" s="78"/>
      <c r="O87" s="139"/>
      <c r="P87" s="78"/>
      <c r="Q87" s="139"/>
      <c r="R87" s="78"/>
      <c r="S87" s="139"/>
      <c r="T87" s="78"/>
      <c r="U87" s="139"/>
      <c r="V87" s="78"/>
      <c r="W87" s="139"/>
      <c r="X87" s="78"/>
      <c r="Y87" s="139"/>
      <c r="Z87" s="78"/>
      <c r="AA87" s="470"/>
      <c r="AB87" s="354"/>
      <c r="AC87" s="325"/>
      <c r="AD87" s="325"/>
      <c r="AE87" s="325"/>
      <c r="AF87" s="325"/>
      <c r="AG87" s="325"/>
      <c r="AH87" s="325"/>
      <c r="AI87" s="285"/>
      <c r="AJ87" s="184">
        <f t="shared" si="51"/>
        <v>0</v>
      </c>
      <c r="AK87" s="30" t="str">
        <f>CONCATENATE(IF(D89&gt;D87," * RITA Long-Term PMTCT POST ANC1  "&amp;$D$20&amp;" "&amp;$D$21&amp;" is more than RTRI Long-Term PMTCT POST ANC1  "&amp;CHAR(10),""),IF(E89&gt;E87," * RITA Long-Term PMTCT POST ANC1  "&amp;$D$20&amp;" "&amp;$E$21&amp;" is more than RTRI Long-Term PMTCT POST ANC1  "&amp;CHAR(10),""),IF(F89&gt;F87," * RITA Long-Term PMTCT POST ANC1  "&amp;$F$20&amp;" "&amp;$F$21&amp;" is more than RTRI Long-Term PMTCT POST ANC1  "&amp;CHAR(10),""),IF(G89&gt;G87," * RITA Long-Term PMTCT POST ANC1  "&amp;$F$20&amp;" "&amp;$G$21&amp;" is more than RTRI Long-Term PMTCT POST ANC1  "&amp;CHAR(10),""),IF(H89&gt;H87," * RITA Long-Term PMTCT POST ANC1  "&amp;$H$20&amp;" "&amp;$H$21&amp;" is more than RTRI Long-Term PMTCT POST ANC1  "&amp;CHAR(10),""),IF(I89&gt;I87," * RITA Long-Term PMTCT POST ANC1  "&amp;$H$20&amp;" "&amp;$I$21&amp;" is more than RTRI Long-Term PMTCT POST ANC1  "&amp;CHAR(10),""),IF(J89&gt;J87," * RITA Long-Term PMTCT POST ANC1  "&amp;$J$20&amp;" "&amp;$J$21&amp;" is more than RTRI Long-Term PMTCT POST ANC1  "&amp;CHAR(10),""),IF(K89&gt;K87," * RITA Long-Term PMTCT POST ANC1  "&amp;$J$20&amp;" "&amp;$K$21&amp;" is more than RTRI Long-Term PMTCT POST ANC1  "&amp;CHAR(10),""),IF(L89&gt;L87," * RITA Long-Term PMTCT POST ANC1  "&amp;$L$20&amp;" "&amp;$L$21&amp;" is more than RTRI Long-Term PMTCT POST ANC1  "&amp;CHAR(10),""),IF(M89&gt;M87," * RITA Long-Term PMTCT POST ANC1  "&amp;$L$20&amp;" "&amp;$M$21&amp;" is more than RTRI Long-Term PMTCT POST ANC1  "&amp;CHAR(10),""),IF(N89&gt;N87," * RITA Long-Term PMTCT POST ANC1  "&amp;$N$20&amp;" "&amp;$N$21&amp;" is more than RTRI Long-Term PMTCT POST ANC1  "&amp;CHAR(10),""),IF(O89&gt;O87," * RITA Long-Term PMTCT POST ANC1  "&amp;$N$20&amp;" "&amp;$O$21&amp;" is more than RTRI Long-Term PMTCT POST ANC1  "&amp;CHAR(10),""),IF(P89&gt;P87," * RITA Long-Term PMTCT POST ANC1  "&amp;$P$20&amp;" "&amp;$P$21&amp;" is more than RTRI Long-Term PMTCT POST ANC1  "&amp;CHAR(10),""),IF(Q89&gt;Q87," * RITA Long-Term PMTCT POST ANC1  "&amp;$P$20&amp;" "&amp;$Q$21&amp;" is more than RTRI Long-Term PMTCT POST ANC1  "&amp;CHAR(10),""),IF(R89&gt;R87," * RITA Long-Term PMTCT POST ANC1  "&amp;$R$20&amp;" "&amp;$R$21&amp;" is more than RTRI Long-Term PMTCT POST ANC1  "&amp;CHAR(10),""),IF(S89&gt;S87," * RITA Long-Term PMTCT POST ANC1  "&amp;$R$20&amp;" "&amp;$S$21&amp;" is more than RTRI Long-Term PMTCT POST ANC1  "&amp;CHAR(10),""),IF(T89&gt;T87," * RITA Long-Term PMTCT POST ANC1  "&amp;$T$20&amp;" "&amp;$T$21&amp;" is more than RTRI Long-Term PMTCT POST ANC1  "&amp;CHAR(10),""),IF(U89&gt;U87," * RITA Long-Term PMTCT POST ANC1  "&amp;$T$20&amp;" "&amp;$U$21&amp;" is more than RTRI Long-Term PMTCT POST ANC1  "&amp;CHAR(10),""),IF(V89&gt;V87," * RITA Long-Term PMTCT POST ANC1  "&amp;$V$20&amp;" "&amp;$V$21&amp;" is more than RTRI Long-Term PMTCT POST ANC1  "&amp;CHAR(10),""),IF(W89&gt;W87," * RITA Long-Term PMTCT POST ANC1  "&amp;$V$20&amp;" "&amp;$W$21&amp;" is more than RTRI Long-Term PMTCT POST ANC1  "&amp;CHAR(10),""),IF(X89&gt;X87," * RITA Long-Term PMTCT POST ANC1  "&amp;$X$20&amp;" "&amp;$X$21&amp;" is more than RTRI Long-Term PMTCT POST ANC1  "&amp;CHAR(10),""),IF(Y89&gt;Y87," * RITA Long-Term PMTCT POST ANC1  "&amp;$X$20&amp;" "&amp;$Y$21&amp;" is more than RTRI Long-Term PMTCT POST ANC1  "&amp;CHAR(10),""),IF(Z89&gt;Z87," * RITA Long-Term PMTCT POST ANC1  "&amp;$Z$20&amp;" "&amp;$Z$21&amp;" is more than RTRI Long-Term PMTCT POST ANC1  "&amp;CHAR(10),""),IF(AA89&gt;AA87," * RITA Long-Term PMTCT POST ANC1  "&amp;$Z$20&amp;" "&amp;$AA$21&amp;" is more than RTRI Long-Term PMTCT POST ANC1  "&amp;CHAR(10),""))</f>
        <v/>
      </c>
      <c r="AL87" s="1426"/>
      <c r="AM87" s="31"/>
      <c r="AN87" s="334"/>
      <c r="AO87" s="13">
        <v>33</v>
      </c>
      <c r="AP87" s="81"/>
      <c r="AQ87" s="82"/>
    </row>
    <row r="88" spans="1:43" s="83" customFormat="1" ht="26.25" hidden="1" x14ac:dyDescent="0.4">
      <c r="A88" s="1224"/>
      <c r="B88" s="1" t="s">
        <v>1080</v>
      </c>
      <c r="C88" s="530" t="s">
        <v>1088</v>
      </c>
      <c r="D88" s="133"/>
      <c r="E88" s="78"/>
      <c r="F88" s="78"/>
      <c r="G88" s="78"/>
      <c r="H88" s="78"/>
      <c r="I88" s="78"/>
      <c r="J88" s="78"/>
      <c r="K88" s="349"/>
      <c r="L88" s="77"/>
      <c r="M88" s="222"/>
      <c r="N88" s="78"/>
      <c r="O88" s="222"/>
      <c r="P88" s="78"/>
      <c r="Q88" s="222"/>
      <c r="R88" s="78"/>
      <c r="S88" s="222"/>
      <c r="T88" s="78"/>
      <c r="U88" s="222"/>
      <c r="V88" s="78"/>
      <c r="W88" s="222"/>
      <c r="X88" s="78"/>
      <c r="Y88" s="222"/>
      <c r="Z88" s="78"/>
      <c r="AA88" s="469"/>
      <c r="AB88" s="354"/>
      <c r="AC88" s="325"/>
      <c r="AD88" s="325"/>
      <c r="AE88" s="325"/>
      <c r="AF88" s="325"/>
      <c r="AG88" s="325"/>
      <c r="AH88" s="325"/>
      <c r="AI88" s="285"/>
      <c r="AJ88" s="182"/>
      <c r="AK88" s="30"/>
      <c r="AL88" s="1426"/>
      <c r="AM88" s="31"/>
      <c r="AN88" s="334"/>
      <c r="AO88" s="13"/>
      <c r="AP88" s="81"/>
      <c r="AQ88" s="82"/>
    </row>
    <row r="89" spans="1:43" s="83" customFormat="1" ht="27" hidden="1" thickBot="1" x14ac:dyDescent="0.45">
      <c r="A89" s="1225"/>
      <c r="B89" s="335" t="s">
        <v>1081</v>
      </c>
      <c r="C89" s="530" t="s">
        <v>1089</v>
      </c>
      <c r="D89" s="466"/>
      <c r="E89" s="120"/>
      <c r="F89" s="120"/>
      <c r="G89" s="120"/>
      <c r="H89" s="120"/>
      <c r="I89" s="120"/>
      <c r="J89" s="120"/>
      <c r="K89" s="370"/>
      <c r="L89" s="103"/>
      <c r="M89" s="139"/>
      <c r="N89" s="102"/>
      <c r="O89" s="139"/>
      <c r="P89" s="102"/>
      <c r="Q89" s="139"/>
      <c r="R89" s="102"/>
      <c r="S89" s="139"/>
      <c r="T89" s="102"/>
      <c r="U89" s="139"/>
      <c r="V89" s="102"/>
      <c r="W89" s="139"/>
      <c r="X89" s="102"/>
      <c r="Y89" s="139"/>
      <c r="Z89" s="102"/>
      <c r="AA89" s="470"/>
      <c r="AB89" s="354"/>
      <c r="AC89" s="325"/>
      <c r="AD89" s="325"/>
      <c r="AE89" s="325"/>
      <c r="AF89" s="325"/>
      <c r="AG89" s="325"/>
      <c r="AH89" s="325"/>
      <c r="AI89" s="285"/>
      <c r="AJ89" s="182"/>
      <c r="AK89" s="30"/>
      <c r="AL89" s="1426"/>
      <c r="AM89" s="31"/>
      <c r="AN89" s="334"/>
      <c r="AO89" s="13"/>
      <c r="AP89" s="81"/>
      <c r="AQ89" s="82"/>
    </row>
    <row r="90" spans="1:43" s="83" customFormat="1" ht="25.5" hidden="1" customHeight="1" x14ac:dyDescent="0.4">
      <c r="A90" s="1223" t="s">
        <v>931</v>
      </c>
      <c r="B90" s="1" t="s">
        <v>1078</v>
      </c>
      <c r="C90" s="530" t="s">
        <v>925</v>
      </c>
      <c r="D90" s="132"/>
      <c r="E90" s="99"/>
      <c r="F90" s="99"/>
      <c r="G90" s="99"/>
      <c r="H90" s="99"/>
      <c r="I90" s="99"/>
      <c r="J90" s="99"/>
      <c r="K90" s="342"/>
      <c r="L90" s="222"/>
      <c r="M90" s="222"/>
      <c r="N90" s="222"/>
      <c r="O90" s="222"/>
      <c r="P90" s="222"/>
      <c r="Q90" s="222"/>
      <c r="R90" s="222"/>
      <c r="S90" s="222"/>
      <c r="T90" s="222"/>
      <c r="U90" s="222"/>
      <c r="V90" s="222"/>
      <c r="W90" s="222"/>
      <c r="X90" s="222"/>
      <c r="Y90" s="222"/>
      <c r="Z90" s="222"/>
      <c r="AA90" s="222"/>
      <c r="AB90" s="354"/>
      <c r="AC90" s="325"/>
      <c r="AD90" s="325"/>
      <c r="AE90" s="325"/>
      <c r="AF90" s="325"/>
      <c r="AG90" s="325"/>
      <c r="AH90" s="325"/>
      <c r="AI90" s="285"/>
      <c r="AJ90" s="183">
        <f t="shared" si="51"/>
        <v>0</v>
      </c>
      <c r="AK90" s="30" t="str">
        <f>CONCATENATE(IF(D92&gt;D90," * RITA RECENT STI Clinic "&amp;$D$20&amp;" "&amp;$D$21&amp;" is more than RTRI RECENT STI Clinic "&amp;CHAR(10),""),IF(E92&gt;E90," * RITA RECENT STI Clinic "&amp;$D$20&amp;" "&amp;$E$21&amp;" is more than RTRI RECENT STI Clinic "&amp;CHAR(10),""),IF(F92&gt;F90," * RITA RECENT STI Clinic "&amp;$F$20&amp;" "&amp;$F$21&amp;" is more than RTRI RECENT STI Clinic "&amp;CHAR(10),""),IF(G92&gt;G90," * RITA RECENT STI Clinic "&amp;$F$20&amp;" "&amp;$G$21&amp;" is more than RTRI RECENT STI Clinic "&amp;CHAR(10),""),IF(H92&gt;H90," * RITA RECENT STI Clinic "&amp;$H$20&amp;" "&amp;$H$21&amp;" is more than RTRI RECENT STI Clinic "&amp;CHAR(10),""),IF(I92&gt;I90," * RITA RECENT STI Clinic "&amp;$H$20&amp;" "&amp;$I$21&amp;" is more than RTRI RECENT STI Clinic "&amp;CHAR(10),""),IF(J92&gt;J90," * RITA RECENT STI Clinic "&amp;$J$20&amp;" "&amp;$J$21&amp;" is more than RTRI RECENT STI Clinic "&amp;CHAR(10),""),IF(K92&gt;K90," * RITA RECENT STI Clinic "&amp;$J$20&amp;" "&amp;$K$21&amp;" is more than RTRI RECENT STI Clinic "&amp;CHAR(10),""),IF(L92&gt;L90," * RITA RECENT STI Clinic "&amp;$L$20&amp;" "&amp;$L$21&amp;" is more than RTRI RECENT STI Clinic "&amp;CHAR(10),""),IF(M92&gt;M90," * RITA RECENT STI Clinic "&amp;$L$20&amp;" "&amp;$M$21&amp;" is more than RTRI RECENT STI Clinic "&amp;CHAR(10),""),IF(N92&gt;N90," * RITA RECENT STI Clinic "&amp;$N$20&amp;" "&amp;$N$21&amp;" is more than RTRI RECENT STI Clinic "&amp;CHAR(10),""),IF(O92&gt;O90," * RITA RECENT STI Clinic "&amp;$N$20&amp;" "&amp;$O$21&amp;" is more than RTRI RECENT STI Clinic "&amp;CHAR(10),""),IF(P92&gt;P90," * RITA RECENT STI Clinic "&amp;$P$20&amp;" "&amp;$P$21&amp;" is more than RTRI RECENT STI Clinic "&amp;CHAR(10),""),IF(Q92&gt;Q90," * RITA RECENT STI Clinic "&amp;$P$20&amp;" "&amp;$Q$21&amp;" is more than RTRI RECENT STI Clinic "&amp;CHAR(10),""),IF(R92&gt;R90," * RITA RECENT STI Clinic "&amp;$R$20&amp;" "&amp;$R$21&amp;" is more than RTRI RECENT STI Clinic "&amp;CHAR(10),""),IF(S92&gt;S90," * RITA RECENT STI Clinic "&amp;$R$20&amp;" "&amp;$S$21&amp;" is more than RTRI RECENT STI Clinic "&amp;CHAR(10),""),IF(T92&gt;T90," * RITA RECENT STI Clinic "&amp;$T$20&amp;" "&amp;$T$21&amp;" is more than RTRI RECENT STI Clinic "&amp;CHAR(10),""),IF(U92&gt;U90," * RITA RECENT STI Clinic "&amp;$T$20&amp;" "&amp;$U$21&amp;" is more than RTRI RECENT STI Clinic "&amp;CHAR(10),""),IF(V92&gt;V90," * RITA RECENT STI Clinic "&amp;$V$20&amp;" "&amp;$V$21&amp;" is more than RTRI RECENT STI Clinic "&amp;CHAR(10),""),IF(W92&gt;W90," * RITA RECENT STI Clinic "&amp;$V$20&amp;" "&amp;$W$21&amp;" is more than RTRI RECENT STI Clinic "&amp;CHAR(10),""),IF(X92&gt;X90," * RITA RECENT STI Clinic "&amp;$X$20&amp;" "&amp;$X$21&amp;" is more than RTRI RECENT STI Clinic "&amp;CHAR(10),""),IF(Y92&gt;Y90," * RITA RECENT STI Clinic "&amp;$X$20&amp;" "&amp;$Y$21&amp;" is more than RTRI RECENT STI Clinic "&amp;CHAR(10),""),IF(Z92&gt;Z90," * RITA RECENT STI Clinic "&amp;$Z$20&amp;" "&amp;$Z$21&amp;" is more than RTRI RECENT STI Clinic "&amp;CHAR(10),""),IF(AA92&gt;AA90," * RITA RECENT STI Clinic "&amp;$Z$20&amp;" "&amp;$AA$21&amp;" is more than RTRI RECENT STI Clinic "&amp;CHAR(10),""))</f>
        <v/>
      </c>
      <c r="AL90" s="1426"/>
      <c r="AM90" s="31"/>
      <c r="AN90" s="334"/>
      <c r="AO90" s="13">
        <v>32</v>
      </c>
      <c r="AP90" s="81"/>
      <c r="AQ90" s="82"/>
    </row>
    <row r="91" spans="1:43" s="83" customFormat="1" ht="27" hidden="1" thickBot="1" x14ac:dyDescent="0.45">
      <c r="A91" s="1224"/>
      <c r="B91" s="335" t="s">
        <v>1079</v>
      </c>
      <c r="C91" s="530" t="s">
        <v>926</v>
      </c>
      <c r="D91" s="133"/>
      <c r="E91" s="78"/>
      <c r="F91" s="78"/>
      <c r="G91" s="78"/>
      <c r="H91" s="78"/>
      <c r="I91" s="78"/>
      <c r="J91" s="78"/>
      <c r="K91" s="349"/>
      <c r="L91" s="139"/>
      <c r="M91" s="139"/>
      <c r="N91" s="139"/>
      <c r="O91" s="139"/>
      <c r="P91" s="139"/>
      <c r="Q91" s="139"/>
      <c r="R91" s="139"/>
      <c r="S91" s="139"/>
      <c r="T91" s="139"/>
      <c r="U91" s="139"/>
      <c r="V91" s="139"/>
      <c r="W91" s="139"/>
      <c r="X91" s="139"/>
      <c r="Y91" s="139"/>
      <c r="Z91" s="139"/>
      <c r="AA91" s="139"/>
      <c r="AB91" s="354"/>
      <c r="AC91" s="325"/>
      <c r="AD91" s="325"/>
      <c r="AE91" s="325"/>
      <c r="AF91" s="325"/>
      <c r="AG91" s="325"/>
      <c r="AH91" s="325"/>
      <c r="AI91" s="285"/>
      <c r="AJ91" s="184">
        <f t="shared" si="51"/>
        <v>0</v>
      </c>
      <c r="AK91" s="30" t="str">
        <f>CONCATENATE(IF(D93&gt;D91," * RITA Long-Term STI Clinic  "&amp;$D$20&amp;" "&amp;$D$21&amp;" is more than RTRI Long-Term STI Clinic  "&amp;CHAR(10),""),IF(E93&gt;E91," * RITA Long-Term STI Clinic  "&amp;$D$20&amp;" "&amp;$E$21&amp;" is more than RTRI Long-Term STI Clinic  "&amp;CHAR(10),""),IF(F93&gt;F91," * RITA Long-Term STI Clinic  "&amp;$F$20&amp;" "&amp;$F$21&amp;" is more than RTRI Long-Term STI Clinic  "&amp;CHAR(10),""),IF(G93&gt;G91," * RITA Long-Term STI Clinic  "&amp;$F$20&amp;" "&amp;$G$21&amp;" is more than RTRI Long-Term STI Clinic  "&amp;CHAR(10),""),IF(H93&gt;H91," * RITA Long-Term STI Clinic  "&amp;$H$20&amp;" "&amp;$H$21&amp;" is more than RTRI Long-Term STI Clinic  "&amp;CHAR(10),""),IF(I93&gt;I91," * RITA Long-Term STI Clinic  "&amp;$H$20&amp;" "&amp;$I$21&amp;" is more than RTRI Long-Term STI Clinic  "&amp;CHAR(10),""),IF(J93&gt;J91," * RITA Long-Term STI Clinic  "&amp;$J$20&amp;" "&amp;$J$21&amp;" is more than RTRI Long-Term STI Clinic  "&amp;CHAR(10),""),IF(K93&gt;K91," * RITA Long-Term STI Clinic  "&amp;$J$20&amp;" "&amp;$K$21&amp;" is more than RTRI Long-Term STI Clinic  "&amp;CHAR(10),""),IF(L93&gt;L91," * RITA Long-Term STI Clinic  "&amp;$L$20&amp;" "&amp;$L$21&amp;" is more than RTRI Long-Term STI Clinic  "&amp;CHAR(10),""),IF(M93&gt;M91," * RITA Long-Term STI Clinic  "&amp;$L$20&amp;" "&amp;$M$21&amp;" is more than RTRI Long-Term STI Clinic  "&amp;CHAR(10),""),IF(N93&gt;N91," * RITA Long-Term STI Clinic  "&amp;$N$20&amp;" "&amp;$N$21&amp;" is more than RTRI Long-Term STI Clinic  "&amp;CHAR(10),""),IF(O93&gt;O91," * RITA Long-Term STI Clinic  "&amp;$N$20&amp;" "&amp;$O$21&amp;" is more than RTRI Long-Term STI Clinic  "&amp;CHAR(10),""),IF(P93&gt;P91," * RITA Long-Term STI Clinic  "&amp;$P$20&amp;" "&amp;$P$21&amp;" is more than RTRI Long-Term STI Clinic  "&amp;CHAR(10),""),IF(Q93&gt;Q91," * RITA Long-Term STI Clinic  "&amp;$P$20&amp;" "&amp;$Q$21&amp;" is more than RTRI Long-Term STI Clinic  "&amp;CHAR(10),""),IF(R93&gt;R91," * RITA Long-Term STI Clinic  "&amp;$R$20&amp;" "&amp;$R$21&amp;" is more than RTRI Long-Term STI Clinic  "&amp;CHAR(10),""),IF(S93&gt;S91," * RITA Long-Term STI Clinic  "&amp;$R$20&amp;" "&amp;$S$21&amp;" is more than RTRI Long-Term STI Clinic  "&amp;CHAR(10),""),IF(T93&gt;T91," * RITA Long-Term STI Clinic  "&amp;$T$20&amp;" "&amp;$T$21&amp;" is more than RTRI Long-Term STI Clinic  "&amp;CHAR(10),""),IF(U93&gt;U91," * RITA Long-Term STI Clinic  "&amp;$T$20&amp;" "&amp;$U$21&amp;" is more than RTRI Long-Term STI Clinic  "&amp;CHAR(10),""),IF(V93&gt;V91," * RITA Long-Term STI Clinic  "&amp;$V$20&amp;" "&amp;$V$21&amp;" is more than RTRI Long-Term STI Clinic  "&amp;CHAR(10),""),IF(W93&gt;W91," * RITA Long-Term STI Clinic  "&amp;$V$20&amp;" "&amp;$W$21&amp;" is more than RTRI Long-Term STI Clinic  "&amp;CHAR(10),""),IF(X93&gt;X91," * RITA Long-Term STI Clinic  "&amp;$X$20&amp;" "&amp;$X$21&amp;" is more than RTRI Long-Term STI Clinic  "&amp;CHAR(10),""),IF(Y93&gt;Y91," * RITA Long-Term STI Clinic  "&amp;$X$20&amp;" "&amp;$Y$21&amp;" is more than RTRI Long-Term STI Clinic  "&amp;CHAR(10),""),IF(Z93&gt;Z91," * RITA Long-Term STI Clinic  "&amp;$Z$20&amp;" "&amp;$Z$21&amp;" is more than RTRI Long-Term STI Clinic  "&amp;CHAR(10),""),IF(AA93&gt;AA91," * RITA Long-Term STI Clinic  "&amp;$Z$20&amp;" "&amp;$AA$21&amp;" is more than RTRI Long-Term STI Clinic  "&amp;CHAR(10),""))</f>
        <v/>
      </c>
      <c r="AL91" s="1426"/>
      <c r="AM91" s="31"/>
      <c r="AN91" s="334"/>
      <c r="AO91" s="13">
        <v>33</v>
      </c>
      <c r="AP91" s="81"/>
      <c r="AQ91" s="82"/>
    </row>
    <row r="92" spans="1:43" s="83" customFormat="1" ht="26.25" hidden="1" x14ac:dyDescent="0.4">
      <c r="A92" s="1224"/>
      <c r="B92" s="1" t="s">
        <v>1080</v>
      </c>
      <c r="C92" s="530" t="s">
        <v>1090</v>
      </c>
      <c r="D92" s="133"/>
      <c r="E92" s="78"/>
      <c r="F92" s="78"/>
      <c r="G92" s="78"/>
      <c r="H92" s="78"/>
      <c r="I92" s="78"/>
      <c r="J92" s="78"/>
      <c r="K92" s="349"/>
      <c r="L92" s="222"/>
      <c r="M92" s="222"/>
      <c r="N92" s="222"/>
      <c r="O92" s="222"/>
      <c r="P92" s="222"/>
      <c r="Q92" s="222"/>
      <c r="R92" s="222"/>
      <c r="S92" s="222"/>
      <c r="T92" s="222"/>
      <c r="U92" s="222"/>
      <c r="V92" s="222"/>
      <c r="W92" s="222"/>
      <c r="X92" s="222"/>
      <c r="Y92" s="222"/>
      <c r="Z92" s="222"/>
      <c r="AA92" s="222"/>
      <c r="AB92" s="354"/>
      <c r="AC92" s="325"/>
      <c r="AD92" s="325"/>
      <c r="AE92" s="325"/>
      <c r="AF92" s="325"/>
      <c r="AG92" s="325"/>
      <c r="AH92" s="325"/>
      <c r="AI92" s="285"/>
      <c r="AJ92" s="182"/>
      <c r="AK92" s="30"/>
      <c r="AL92" s="1426"/>
      <c r="AM92" s="31"/>
      <c r="AN92" s="334"/>
      <c r="AO92" s="13"/>
      <c r="AP92" s="81"/>
      <c r="AQ92" s="82"/>
    </row>
    <row r="93" spans="1:43" s="83" customFormat="1" ht="27" hidden="1" thickBot="1" x14ac:dyDescent="0.45">
      <c r="A93" s="1225"/>
      <c r="B93" s="335" t="s">
        <v>1081</v>
      </c>
      <c r="C93" s="530" t="s">
        <v>1091</v>
      </c>
      <c r="D93" s="119"/>
      <c r="E93" s="102"/>
      <c r="F93" s="102"/>
      <c r="G93" s="102"/>
      <c r="H93" s="102"/>
      <c r="I93" s="102"/>
      <c r="J93" s="102"/>
      <c r="K93" s="343"/>
      <c r="L93" s="233"/>
      <c r="M93" s="233"/>
      <c r="N93" s="233"/>
      <c r="O93" s="233"/>
      <c r="P93" s="233"/>
      <c r="Q93" s="233"/>
      <c r="R93" s="233"/>
      <c r="S93" s="233"/>
      <c r="T93" s="233"/>
      <c r="U93" s="233"/>
      <c r="V93" s="233"/>
      <c r="W93" s="233"/>
      <c r="X93" s="233"/>
      <c r="Y93" s="233"/>
      <c r="Z93" s="233"/>
      <c r="AA93" s="233"/>
      <c r="AB93" s="354"/>
      <c r="AC93" s="325"/>
      <c r="AD93" s="325"/>
      <c r="AE93" s="325"/>
      <c r="AF93" s="325"/>
      <c r="AG93" s="325"/>
      <c r="AH93" s="325"/>
      <c r="AI93" s="285"/>
      <c r="AJ93" s="182"/>
      <c r="AK93" s="30"/>
      <c r="AL93" s="1426"/>
      <c r="AM93" s="31"/>
      <c r="AN93" s="334"/>
      <c r="AO93" s="13"/>
      <c r="AP93" s="81"/>
      <c r="AQ93" s="82"/>
    </row>
    <row r="94" spans="1:43" s="83" customFormat="1" ht="25.5" hidden="1" customHeight="1" x14ac:dyDescent="0.4">
      <c r="A94" s="1223" t="s">
        <v>932</v>
      </c>
      <c r="B94" s="1" t="s">
        <v>1078</v>
      </c>
      <c r="C94" s="530" t="s">
        <v>939</v>
      </c>
      <c r="D94" s="132"/>
      <c r="E94" s="99"/>
      <c r="F94" s="99"/>
      <c r="G94" s="99"/>
      <c r="H94" s="99"/>
      <c r="I94" s="99"/>
      <c r="J94" s="99"/>
      <c r="K94" s="342"/>
      <c r="L94" s="222"/>
      <c r="M94" s="222"/>
      <c r="N94" s="222"/>
      <c r="O94" s="222"/>
      <c r="P94" s="222"/>
      <c r="Q94" s="222"/>
      <c r="R94" s="222"/>
      <c r="S94" s="222"/>
      <c r="T94" s="222"/>
      <c r="U94" s="222"/>
      <c r="V94" s="222"/>
      <c r="W94" s="222"/>
      <c r="X94" s="222"/>
      <c r="Y94" s="222"/>
      <c r="Z94" s="222"/>
      <c r="AA94" s="222"/>
      <c r="AB94" s="354"/>
      <c r="AC94" s="325"/>
      <c r="AD94" s="325"/>
      <c r="AE94" s="325"/>
      <c r="AF94" s="325"/>
      <c r="AG94" s="325"/>
      <c r="AH94" s="325"/>
      <c r="AI94" s="285"/>
      <c r="AJ94" s="183">
        <f t="shared" si="51"/>
        <v>0</v>
      </c>
      <c r="AK94" s="30" t="str">
        <f>CONCATENATE(IF(D96&gt;D94," * RITA RECENT TB Clinics "&amp;$D$20&amp;" "&amp;$D$21&amp;" is more than RTRI RECENT TB Clinics "&amp;CHAR(10),""),IF(E96&gt;E94," * RITA RECENT TB Clinics "&amp;$D$20&amp;" "&amp;$E$21&amp;" is more than RTRI RECENT TB Clinics "&amp;CHAR(10),""),IF(F96&gt;F94," * RITA RECENT TB Clinics "&amp;$F$20&amp;" "&amp;$F$21&amp;" is more than RTRI RECENT TB Clinics "&amp;CHAR(10),""),IF(G96&gt;G94," * RITA RECENT TB Clinics "&amp;$F$20&amp;" "&amp;$G$21&amp;" is more than RTRI RECENT TB Clinics "&amp;CHAR(10),""),IF(H96&gt;H94," * RITA RECENT TB Clinics "&amp;$H$20&amp;" "&amp;$H$21&amp;" is more than RTRI RECENT TB Clinics "&amp;CHAR(10),""),IF(I96&gt;I94," * RITA RECENT TB Clinics "&amp;$H$20&amp;" "&amp;$I$21&amp;" is more than RTRI RECENT TB Clinics "&amp;CHAR(10),""),IF(J96&gt;J94," * RITA RECENT TB Clinics "&amp;$J$20&amp;" "&amp;$J$21&amp;" is more than RTRI RECENT TB Clinics "&amp;CHAR(10),""),IF(K96&gt;K94," * RITA RECENT TB Clinics "&amp;$J$20&amp;" "&amp;$K$21&amp;" is more than RTRI RECENT TB Clinics "&amp;CHAR(10),""),IF(L96&gt;L94," * RITA RECENT TB Clinics "&amp;$L$20&amp;" "&amp;$L$21&amp;" is more than RTRI RECENT TB Clinics "&amp;CHAR(10),""),IF(M96&gt;M94," * RITA RECENT TB Clinics "&amp;$L$20&amp;" "&amp;$M$21&amp;" is more than RTRI RECENT TB Clinics "&amp;CHAR(10),""),IF(N96&gt;N94," * RITA RECENT TB Clinics "&amp;$N$20&amp;" "&amp;$N$21&amp;" is more than RTRI RECENT TB Clinics "&amp;CHAR(10),""),IF(O96&gt;O94," * RITA RECENT TB Clinics "&amp;$N$20&amp;" "&amp;$O$21&amp;" is more than RTRI RECENT TB Clinics "&amp;CHAR(10),""),IF(P96&gt;P94," * RITA RECENT TB Clinics "&amp;$P$20&amp;" "&amp;$P$21&amp;" is more than RTRI RECENT TB Clinics "&amp;CHAR(10),""),IF(Q96&gt;Q94," * RITA RECENT TB Clinics "&amp;$P$20&amp;" "&amp;$Q$21&amp;" is more than RTRI RECENT TB Clinics "&amp;CHAR(10),""),IF(R96&gt;R94," * RITA RECENT TB Clinics "&amp;$R$20&amp;" "&amp;$R$21&amp;" is more than RTRI RECENT TB Clinics "&amp;CHAR(10),""),IF(S96&gt;S94," * RITA RECENT TB Clinics "&amp;$R$20&amp;" "&amp;$S$21&amp;" is more than RTRI RECENT TB Clinics "&amp;CHAR(10),""),IF(T96&gt;T94," * RITA RECENT TB Clinics "&amp;$T$20&amp;" "&amp;$T$21&amp;" is more than RTRI RECENT TB Clinics "&amp;CHAR(10),""),IF(U96&gt;U94," * RITA RECENT TB Clinics "&amp;$T$20&amp;" "&amp;$U$21&amp;" is more than RTRI RECENT TB Clinics "&amp;CHAR(10),""),IF(V96&gt;V94," * RITA RECENT TB Clinics "&amp;$V$20&amp;" "&amp;$V$21&amp;" is more than RTRI RECENT TB Clinics "&amp;CHAR(10),""),IF(W96&gt;W94," * RITA RECENT TB Clinics "&amp;$V$20&amp;" "&amp;$W$21&amp;" is more than RTRI RECENT TB Clinics "&amp;CHAR(10),""),IF(X96&gt;X94," * RITA RECENT TB Clinics "&amp;$X$20&amp;" "&amp;$X$21&amp;" is more than RTRI RECENT TB Clinics "&amp;CHAR(10),""),IF(Y96&gt;Y94," * RITA RECENT TB Clinics "&amp;$X$20&amp;" "&amp;$Y$21&amp;" is more than RTRI RECENT TB Clinics "&amp;CHAR(10),""),IF(Z96&gt;Z94," * RITA RECENT TB Clinics "&amp;$Z$20&amp;" "&amp;$Z$21&amp;" is more than RTRI RECENT TB Clinics "&amp;CHAR(10),""),IF(AA96&gt;AA94," * RITA RECENT TB Clinics "&amp;$Z$20&amp;" "&amp;$AA$21&amp;" is more than RTRI RECENT TB Clinics "&amp;CHAR(10),""))</f>
        <v/>
      </c>
      <c r="AL94" s="1426"/>
      <c r="AM94" s="31"/>
      <c r="AN94" s="334"/>
      <c r="AO94" s="13">
        <v>32</v>
      </c>
      <c r="AP94" s="81"/>
      <c r="AQ94" s="82"/>
    </row>
    <row r="95" spans="1:43" s="83" customFormat="1" ht="27" hidden="1" thickBot="1" x14ac:dyDescent="0.45">
      <c r="A95" s="1224"/>
      <c r="B95" s="335" t="s">
        <v>1079</v>
      </c>
      <c r="C95" s="532" t="s">
        <v>940</v>
      </c>
      <c r="D95" s="133"/>
      <c r="E95" s="78"/>
      <c r="F95" s="78"/>
      <c r="G95" s="78"/>
      <c r="H95" s="78"/>
      <c r="I95" s="78"/>
      <c r="J95" s="78"/>
      <c r="K95" s="349"/>
      <c r="L95" s="139"/>
      <c r="M95" s="139"/>
      <c r="N95" s="139"/>
      <c r="O95" s="139"/>
      <c r="P95" s="139"/>
      <c r="Q95" s="139"/>
      <c r="R95" s="139"/>
      <c r="S95" s="139"/>
      <c r="T95" s="139"/>
      <c r="U95" s="139"/>
      <c r="V95" s="139"/>
      <c r="W95" s="139"/>
      <c r="X95" s="139"/>
      <c r="Y95" s="139"/>
      <c r="Z95" s="139"/>
      <c r="AA95" s="139"/>
      <c r="AB95" s="354"/>
      <c r="AC95" s="325"/>
      <c r="AD95" s="325"/>
      <c r="AE95" s="325"/>
      <c r="AF95" s="325"/>
      <c r="AG95" s="325"/>
      <c r="AH95" s="325"/>
      <c r="AI95" s="285"/>
      <c r="AJ95" s="184">
        <f t="shared" si="51"/>
        <v>0</v>
      </c>
      <c r="AK95" s="30" t="str">
        <f>CONCATENATE(IF(D97&gt;D95," * RITA Long-Term TB Clinics  "&amp;$D$20&amp;" "&amp;$D$21&amp;" is more than RTRI Long-Term TB Clinics  "&amp;CHAR(10),""),IF(E97&gt;E95," * RITA Long-Term TB Clinics  "&amp;$D$20&amp;" "&amp;$E$21&amp;" is more than RTRI Long-Term TB Clinics  "&amp;CHAR(10),""),IF(F97&gt;F95," * RITA Long-Term TB Clinics  "&amp;$F$20&amp;" "&amp;$F$21&amp;" is more than RTRI Long-Term TB Clinics  "&amp;CHAR(10),""),IF(G97&gt;G95," * RITA Long-Term TB Clinics  "&amp;$F$20&amp;" "&amp;$G$21&amp;" is more than RTRI Long-Term TB Clinics  "&amp;CHAR(10),""),IF(H97&gt;H95," * RITA Long-Term TB Clinics  "&amp;$H$20&amp;" "&amp;$H$21&amp;" is more than RTRI Long-Term TB Clinics  "&amp;CHAR(10),""),IF(I97&gt;I95," * RITA Long-Term TB Clinics  "&amp;$H$20&amp;" "&amp;$I$21&amp;" is more than RTRI Long-Term TB Clinics  "&amp;CHAR(10),""),IF(J97&gt;J95," * RITA Long-Term TB Clinics  "&amp;$J$20&amp;" "&amp;$J$21&amp;" is more than RTRI Long-Term TB Clinics  "&amp;CHAR(10),""),IF(K97&gt;K95," * RITA Long-Term TB Clinics  "&amp;$J$20&amp;" "&amp;$K$21&amp;" is more than RTRI Long-Term TB Clinics  "&amp;CHAR(10),""),IF(L97&gt;L95," * RITA Long-Term TB Clinics  "&amp;$L$20&amp;" "&amp;$L$21&amp;" is more than RTRI Long-Term TB Clinics  "&amp;CHAR(10),""),IF(M97&gt;M95," * RITA Long-Term TB Clinics  "&amp;$L$20&amp;" "&amp;$M$21&amp;" is more than RTRI Long-Term TB Clinics  "&amp;CHAR(10),""),IF(N97&gt;N95," * RITA Long-Term TB Clinics  "&amp;$N$20&amp;" "&amp;$N$21&amp;" is more than RTRI Long-Term TB Clinics  "&amp;CHAR(10),""),IF(O97&gt;O95," * RITA Long-Term TB Clinics  "&amp;$N$20&amp;" "&amp;$O$21&amp;" is more than RTRI Long-Term TB Clinics  "&amp;CHAR(10),""),IF(P97&gt;P95," * RITA Long-Term TB Clinics  "&amp;$P$20&amp;" "&amp;$P$21&amp;" is more than RTRI Long-Term TB Clinics  "&amp;CHAR(10),""),IF(Q97&gt;Q95," * RITA Long-Term TB Clinics  "&amp;$P$20&amp;" "&amp;$Q$21&amp;" is more than RTRI Long-Term TB Clinics  "&amp;CHAR(10),""),IF(R97&gt;R95," * RITA Long-Term TB Clinics  "&amp;$R$20&amp;" "&amp;$R$21&amp;" is more than RTRI Long-Term TB Clinics  "&amp;CHAR(10),""),IF(S97&gt;S95," * RITA Long-Term TB Clinics  "&amp;$R$20&amp;" "&amp;$S$21&amp;" is more than RTRI Long-Term TB Clinics  "&amp;CHAR(10),""),IF(T97&gt;T95," * RITA Long-Term TB Clinics  "&amp;$T$20&amp;" "&amp;$T$21&amp;" is more than RTRI Long-Term TB Clinics  "&amp;CHAR(10),""),IF(U97&gt;U95," * RITA Long-Term TB Clinics  "&amp;$T$20&amp;" "&amp;$U$21&amp;" is more than RTRI Long-Term TB Clinics  "&amp;CHAR(10),""),IF(V97&gt;V95," * RITA Long-Term TB Clinics  "&amp;$V$20&amp;" "&amp;$V$21&amp;" is more than RTRI Long-Term TB Clinics  "&amp;CHAR(10),""),IF(W97&gt;W95," * RITA Long-Term TB Clinics  "&amp;$V$20&amp;" "&amp;$W$21&amp;" is more than RTRI Long-Term TB Clinics  "&amp;CHAR(10),""),IF(X97&gt;X95," * RITA Long-Term TB Clinics  "&amp;$X$20&amp;" "&amp;$X$21&amp;" is more than RTRI Long-Term TB Clinics  "&amp;CHAR(10),""),IF(Y97&gt;Y95," * RITA Long-Term TB Clinics  "&amp;$X$20&amp;" "&amp;$Y$21&amp;" is more than RTRI Long-Term TB Clinics  "&amp;CHAR(10),""),IF(Z97&gt;Z95," * RITA Long-Term TB Clinics  "&amp;$Z$20&amp;" "&amp;$Z$21&amp;" is more than RTRI Long-Term TB Clinics  "&amp;CHAR(10),""),IF(AA97&gt;AA95," * RITA Long-Term TB Clinics  "&amp;$Z$20&amp;" "&amp;$AA$21&amp;" is more than RTRI Long-Term TB Clinics  "&amp;CHAR(10),""))</f>
        <v/>
      </c>
      <c r="AL95" s="1426"/>
      <c r="AM95" s="31"/>
      <c r="AN95" s="334"/>
      <c r="AO95" s="13">
        <v>33</v>
      </c>
      <c r="AP95" s="81"/>
      <c r="AQ95" s="82"/>
    </row>
    <row r="96" spans="1:43" s="83" customFormat="1" ht="26.25" hidden="1" x14ac:dyDescent="0.4">
      <c r="A96" s="1224"/>
      <c r="B96" s="1" t="s">
        <v>1080</v>
      </c>
      <c r="C96" s="530" t="s">
        <v>1092</v>
      </c>
      <c r="D96" s="133"/>
      <c r="E96" s="78"/>
      <c r="F96" s="78"/>
      <c r="G96" s="78"/>
      <c r="H96" s="78"/>
      <c r="I96" s="78"/>
      <c r="J96" s="78"/>
      <c r="K96" s="349"/>
      <c r="L96" s="222"/>
      <c r="M96" s="222"/>
      <c r="N96" s="222"/>
      <c r="O96" s="222"/>
      <c r="P96" s="222"/>
      <c r="Q96" s="222"/>
      <c r="R96" s="222"/>
      <c r="S96" s="222"/>
      <c r="T96" s="222"/>
      <c r="U96" s="222"/>
      <c r="V96" s="222"/>
      <c r="W96" s="222"/>
      <c r="X96" s="222"/>
      <c r="Y96" s="222"/>
      <c r="Z96" s="222"/>
      <c r="AA96" s="222"/>
      <c r="AB96" s="354"/>
      <c r="AC96" s="325"/>
      <c r="AD96" s="325"/>
      <c r="AE96" s="325"/>
      <c r="AF96" s="325"/>
      <c r="AG96" s="325"/>
      <c r="AH96" s="325"/>
      <c r="AI96" s="285"/>
      <c r="AJ96" s="182"/>
      <c r="AK96" s="30"/>
      <c r="AL96" s="1426"/>
      <c r="AM96" s="31"/>
      <c r="AN96" s="334"/>
      <c r="AO96" s="13"/>
      <c r="AP96" s="81"/>
      <c r="AQ96" s="82"/>
    </row>
    <row r="97" spans="1:43" s="83" customFormat="1" ht="27" hidden="1" thickBot="1" x14ac:dyDescent="0.45">
      <c r="A97" s="1225"/>
      <c r="B97" s="335" t="s">
        <v>1081</v>
      </c>
      <c r="C97" s="532" t="s">
        <v>1093</v>
      </c>
      <c r="D97" s="119"/>
      <c r="E97" s="102"/>
      <c r="F97" s="102"/>
      <c r="G97" s="102"/>
      <c r="H97" s="102"/>
      <c r="I97" s="102"/>
      <c r="J97" s="102"/>
      <c r="K97" s="343"/>
      <c r="L97" s="233"/>
      <c r="M97" s="233"/>
      <c r="N97" s="233"/>
      <c r="O97" s="233"/>
      <c r="P97" s="233"/>
      <c r="Q97" s="233"/>
      <c r="R97" s="233"/>
      <c r="S97" s="233"/>
      <c r="T97" s="233"/>
      <c r="U97" s="233"/>
      <c r="V97" s="233"/>
      <c r="W97" s="233"/>
      <c r="X97" s="233"/>
      <c r="Y97" s="233"/>
      <c r="Z97" s="233"/>
      <c r="AA97" s="233"/>
      <c r="AB97" s="354"/>
      <c r="AC97" s="325"/>
      <c r="AD97" s="325"/>
      <c r="AE97" s="325"/>
      <c r="AF97" s="325"/>
      <c r="AG97" s="325"/>
      <c r="AH97" s="325"/>
      <c r="AI97" s="285"/>
      <c r="AJ97" s="182"/>
      <c r="AK97" s="30"/>
      <c r="AL97" s="1426"/>
      <c r="AM97" s="31"/>
      <c r="AN97" s="334"/>
      <c r="AO97" s="13"/>
      <c r="AP97" s="81"/>
      <c r="AQ97" s="82"/>
    </row>
    <row r="98" spans="1:43" s="83" customFormat="1" ht="25.5" hidden="1" customHeight="1" x14ac:dyDescent="0.4">
      <c r="A98" s="1223" t="s">
        <v>933</v>
      </c>
      <c r="B98" s="1" t="s">
        <v>1078</v>
      </c>
      <c r="C98" s="530" t="s">
        <v>941</v>
      </c>
      <c r="D98" s="132"/>
      <c r="E98" s="99"/>
      <c r="F98" s="99"/>
      <c r="G98" s="99"/>
      <c r="H98" s="99"/>
      <c r="I98" s="99"/>
      <c r="J98" s="99"/>
      <c r="K98" s="342"/>
      <c r="L98" s="222"/>
      <c r="M98" s="222"/>
      <c r="N98" s="222"/>
      <c r="O98" s="222"/>
      <c r="P98" s="222"/>
      <c r="Q98" s="222"/>
      <c r="R98" s="222"/>
      <c r="S98" s="222"/>
      <c r="T98" s="222"/>
      <c r="U98" s="222"/>
      <c r="V98" s="222"/>
      <c r="W98" s="222"/>
      <c r="X98" s="222"/>
      <c r="Y98" s="222"/>
      <c r="Z98" s="222"/>
      <c r="AA98" s="222"/>
      <c r="AB98" s="354"/>
      <c r="AC98" s="325"/>
      <c r="AD98" s="325"/>
      <c r="AE98" s="325"/>
      <c r="AF98" s="325"/>
      <c r="AG98" s="325"/>
      <c r="AH98" s="325"/>
      <c r="AI98" s="285"/>
      <c r="AJ98" s="183">
        <f t="shared" si="51"/>
        <v>0</v>
      </c>
      <c r="AK98" s="30" t="str">
        <f>CONCATENATE(IF(D100&gt;D98," * RITA RECENT VCT "&amp;$D$20&amp;" "&amp;$D$21&amp;" is more than RTRI RECENT VCT "&amp;CHAR(10),""),IF(E100&gt;E98," * RITA RECENT VCT "&amp;$D$20&amp;" "&amp;$E$21&amp;" is more than RTRI RECENT VCT "&amp;CHAR(10),""),IF(F100&gt;F98," * RITA RECENT VCT "&amp;$F$20&amp;" "&amp;$F$21&amp;" is more than RTRI RECENT VCT "&amp;CHAR(10),""),IF(G100&gt;G98," * RITA RECENT VCT "&amp;$F$20&amp;" "&amp;$G$21&amp;" is more than RTRI RECENT VCT "&amp;CHAR(10),""),IF(H100&gt;H98," * RITA RECENT VCT "&amp;$H$20&amp;" "&amp;$H$21&amp;" is more than RTRI RECENT VCT "&amp;CHAR(10),""),IF(I100&gt;I98," * RITA RECENT VCT "&amp;$H$20&amp;" "&amp;$I$21&amp;" is more than RTRI RECENT VCT "&amp;CHAR(10),""),IF(J100&gt;J98," * RITA RECENT VCT "&amp;$J$20&amp;" "&amp;$J$21&amp;" is more than RTRI RECENT VCT "&amp;CHAR(10),""),IF(K100&gt;K98," * RITA RECENT VCT "&amp;$J$20&amp;" "&amp;$K$21&amp;" is more than RTRI RECENT VCT "&amp;CHAR(10),""),IF(L100&gt;L98," * RITA RECENT VCT "&amp;$L$20&amp;" "&amp;$L$21&amp;" is more than RTRI RECENT VCT "&amp;CHAR(10),""),IF(M100&gt;M98," * RITA RECENT VCT "&amp;$L$20&amp;" "&amp;$M$21&amp;" is more than RTRI RECENT VCT "&amp;CHAR(10),""),IF(N100&gt;N98," * RITA RECENT VCT "&amp;$N$20&amp;" "&amp;$N$21&amp;" is more than RTRI RECENT VCT "&amp;CHAR(10),""),IF(O100&gt;O98," * RITA RECENT VCT "&amp;$N$20&amp;" "&amp;$O$21&amp;" is more than RTRI RECENT VCT "&amp;CHAR(10),""),IF(P100&gt;P98," * RITA RECENT VCT "&amp;$P$20&amp;" "&amp;$P$21&amp;" is more than RTRI RECENT VCT "&amp;CHAR(10),""),IF(Q100&gt;Q98," * RITA RECENT VCT "&amp;$P$20&amp;" "&amp;$Q$21&amp;" is more than RTRI RECENT VCT "&amp;CHAR(10),""),IF(R100&gt;R98," * RITA RECENT VCT "&amp;$R$20&amp;" "&amp;$R$21&amp;" is more than RTRI RECENT VCT "&amp;CHAR(10),""),IF(S100&gt;S98," * RITA RECENT VCT "&amp;$R$20&amp;" "&amp;$S$21&amp;" is more than RTRI RECENT VCT "&amp;CHAR(10),""),IF(T100&gt;T98," * RITA RECENT VCT "&amp;$T$20&amp;" "&amp;$T$21&amp;" is more than RTRI RECENT VCT "&amp;CHAR(10),""),IF(U100&gt;U98," * RITA RECENT VCT "&amp;$T$20&amp;" "&amp;$U$21&amp;" is more than RTRI RECENT VCT "&amp;CHAR(10),""),IF(V100&gt;V98," * RITA RECENT VCT "&amp;$V$20&amp;" "&amp;$V$21&amp;" is more than RTRI RECENT VCT "&amp;CHAR(10),""),IF(W100&gt;W98," * RITA RECENT VCT "&amp;$V$20&amp;" "&amp;$W$21&amp;" is more than RTRI RECENT VCT "&amp;CHAR(10),""),IF(X100&gt;X98," * RITA RECENT VCT "&amp;$X$20&amp;" "&amp;$X$21&amp;" is more than RTRI RECENT VCT "&amp;CHAR(10),""),IF(Y100&gt;Y98," * RITA RECENT VCT "&amp;$X$20&amp;" "&amp;$Y$21&amp;" is more than RTRI RECENT VCT "&amp;CHAR(10),""),IF(Z100&gt;Z98," * RITA RECENT VCT "&amp;$Z$20&amp;" "&amp;$Z$21&amp;" is more than RTRI RECENT VCT "&amp;CHAR(10),""),IF(AA100&gt;AA98," * RITA RECENT VCT "&amp;$Z$20&amp;" "&amp;$AA$21&amp;" is more than RTRI RECENT VCT "&amp;CHAR(10),""))</f>
        <v/>
      </c>
      <c r="AL98" s="1426"/>
      <c r="AM98" s="31"/>
      <c r="AN98" s="334"/>
      <c r="AO98" s="13">
        <v>32</v>
      </c>
      <c r="AP98" s="81"/>
      <c r="AQ98" s="82"/>
    </row>
    <row r="99" spans="1:43" s="83" customFormat="1" ht="27" hidden="1" thickBot="1" x14ac:dyDescent="0.45">
      <c r="A99" s="1224"/>
      <c r="B99" s="335" t="s">
        <v>1079</v>
      </c>
      <c r="C99" s="532" t="s">
        <v>942</v>
      </c>
      <c r="D99" s="133"/>
      <c r="E99" s="78"/>
      <c r="F99" s="78"/>
      <c r="G99" s="78"/>
      <c r="H99" s="78"/>
      <c r="I99" s="78"/>
      <c r="J99" s="78"/>
      <c r="K99" s="349"/>
      <c r="L99" s="139"/>
      <c r="M99" s="139"/>
      <c r="N99" s="139"/>
      <c r="O99" s="139"/>
      <c r="P99" s="139"/>
      <c r="Q99" s="139"/>
      <c r="R99" s="139"/>
      <c r="S99" s="139"/>
      <c r="T99" s="139"/>
      <c r="U99" s="139"/>
      <c r="V99" s="139"/>
      <c r="W99" s="139"/>
      <c r="X99" s="139"/>
      <c r="Y99" s="139"/>
      <c r="Z99" s="139"/>
      <c r="AA99" s="139"/>
      <c r="AB99" s="354"/>
      <c r="AC99" s="325"/>
      <c r="AD99" s="325"/>
      <c r="AE99" s="325"/>
      <c r="AF99" s="325"/>
      <c r="AG99" s="325"/>
      <c r="AH99" s="325"/>
      <c r="AI99" s="285"/>
      <c r="AJ99" s="184">
        <f t="shared" si="51"/>
        <v>0</v>
      </c>
      <c r="AK99" s="30" t="str">
        <f>CONCATENATE(IF(D101&gt;D99," * RITA Long-Term VCT  "&amp;$D$20&amp;" "&amp;$D$21&amp;" is more than RTRI Long-Term VCT  "&amp;CHAR(10),""),IF(E101&gt;E99," * RITA Long-Term VCT  "&amp;$D$20&amp;" "&amp;$E$21&amp;" is more than RTRI Long-Term VCT  "&amp;CHAR(10),""),IF(F101&gt;F99," * RITA Long-Term VCT  "&amp;$F$20&amp;" "&amp;$F$21&amp;" is more than RTRI Long-Term VCT  "&amp;CHAR(10),""),IF(G101&gt;G99," * RITA Long-Term VCT  "&amp;$F$20&amp;" "&amp;$G$21&amp;" is more than RTRI Long-Term VCT  "&amp;CHAR(10),""),IF(H101&gt;H99," * RITA Long-Term VCT  "&amp;$H$20&amp;" "&amp;$H$21&amp;" is more than RTRI Long-Term VCT  "&amp;CHAR(10),""),IF(I101&gt;I99," * RITA Long-Term VCT  "&amp;$H$20&amp;" "&amp;$I$21&amp;" is more than RTRI Long-Term VCT  "&amp;CHAR(10),""),IF(J101&gt;J99," * RITA Long-Term VCT  "&amp;$J$20&amp;" "&amp;$J$21&amp;" is more than RTRI Long-Term VCT  "&amp;CHAR(10),""),IF(K101&gt;K99," * RITA Long-Term VCT  "&amp;$J$20&amp;" "&amp;$K$21&amp;" is more than RTRI Long-Term VCT  "&amp;CHAR(10),""),IF(L101&gt;L99," * RITA Long-Term VCT  "&amp;$L$20&amp;" "&amp;$L$21&amp;" is more than RTRI Long-Term VCT  "&amp;CHAR(10),""),IF(M101&gt;M99," * RITA Long-Term VCT  "&amp;$L$20&amp;" "&amp;$M$21&amp;" is more than RTRI Long-Term VCT  "&amp;CHAR(10),""),IF(N101&gt;N99," * RITA Long-Term VCT  "&amp;$N$20&amp;" "&amp;$N$21&amp;" is more than RTRI Long-Term VCT  "&amp;CHAR(10),""),IF(O101&gt;O99," * RITA Long-Term VCT  "&amp;$N$20&amp;" "&amp;$O$21&amp;" is more than RTRI Long-Term VCT  "&amp;CHAR(10),""),IF(P101&gt;P99," * RITA Long-Term VCT  "&amp;$P$20&amp;" "&amp;$P$21&amp;" is more than RTRI Long-Term VCT  "&amp;CHAR(10),""),IF(Q101&gt;Q99," * RITA Long-Term VCT  "&amp;$P$20&amp;" "&amp;$Q$21&amp;" is more than RTRI Long-Term VCT  "&amp;CHAR(10),""),IF(R101&gt;R99," * RITA Long-Term VCT  "&amp;$R$20&amp;" "&amp;$R$21&amp;" is more than RTRI Long-Term VCT  "&amp;CHAR(10),""),IF(S101&gt;S99," * RITA Long-Term VCT  "&amp;$R$20&amp;" "&amp;$S$21&amp;" is more than RTRI Long-Term VCT  "&amp;CHAR(10),""),IF(T101&gt;T99," * RITA Long-Term VCT  "&amp;$T$20&amp;" "&amp;$T$21&amp;" is more than RTRI Long-Term VCT  "&amp;CHAR(10),""),IF(U101&gt;U99," * RITA Long-Term VCT  "&amp;$T$20&amp;" "&amp;$U$21&amp;" is more than RTRI Long-Term VCT  "&amp;CHAR(10),""),IF(V101&gt;V99," * RITA Long-Term VCT  "&amp;$V$20&amp;" "&amp;$V$21&amp;" is more than RTRI Long-Term VCT  "&amp;CHAR(10),""),IF(W101&gt;W99," * RITA Long-Term VCT  "&amp;$V$20&amp;" "&amp;$W$21&amp;" is more than RTRI Long-Term VCT  "&amp;CHAR(10),""),IF(X101&gt;X99," * RITA Long-Term VCT  "&amp;$X$20&amp;" "&amp;$X$21&amp;" is more than RTRI Long-Term VCT  "&amp;CHAR(10),""),IF(Y101&gt;Y99," * RITA Long-Term VCT  "&amp;$X$20&amp;" "&amp;$Y$21&amp;" is more than RTRI Long-Term VCT  "&amp;CHAR(10),""),IF(Z101&gt;Z99," * RITA Long-Term VCT  "&amp;$Z$20&amp;" "&amp;$Z$21&amp;" is more than RTRI Long-Term VCT  "&amp;CHAR(10),""),IF(AA101&gt;AA99," * RITA Long-Term VCT  "&amp;$Z$20&amp;" "&amp;$AA$21&amp;" is more than RTRI Long-Term VCT  "&amp;CHAR(10),""))</f>
        <v/>
      </c>
      <c r="AL99" s="1426"/>
      <c r="AM99" s="31"/>
      <c r="AN99" s="334"/>
      <c r="AO99" s="13">
        <v>33</v>
      </c>
      <c r="AP99" s="81"/>
      <c r="AQ99" s="82"/>
    </row>
    <row r="100" spans="1:43" s="83" customFormat="1" ht="26.25" hidden="1" x14ac:dyDescent="0.4">
      <c r="A100" s="1224"/>
      <c r="B100" s="1" t="s">
        <v>1080</v>
      </c>
      <c r="C100" s="530" t="s">
        <v>1094</v>
      </c>
      <c r="D100" s="133"/>
      <c r="E100" s="78"/>
      <c r="F100" s="78"/>
      <c r="G100" s="78"/>
      <c r="H100" s="78"/>
      <c r="I100" s="78"/>
      <c r="J100" s="78"/>
      <c r="K100" s="349"/>
      <c r="L100" s="222"/>
      <c r="M100" s="222"/>
      <c r="N100" s="222"/>
      <c r="O100" s="222"/>
      <c r="P100" s="222"/>
      <c r="Q100" s="222"/>
      <c r="R100" s="222"/>
      <c r="S100" s="222"/>
      <c r="T100" s="222"/>
      <c r="U100" s="222"/>
      <c r="V100" s="222"/>
      <c r="W100" s="222"/>
      <c r="X100" s="222"/>
      <c r="Y100" s="222"/>
      <c r="Z100" s="222"/>
      <c r="AA100" s="222"/>
      <c r="AB100" s="354"/>
      <c r="AC100" s="325"/>
      <c r="AD100" s="325"/>
      <c r="AE100" s="325"/>
      <c r="AF100" s="325"/>
      <c r="AG100" s="325"/>
      <c r="AH100" s="325"/>
      <c r="AI100" s="285"/>
      <c r="AJ100" s="182"/>
      <c r="AK100" s="30"/>
      <c r="AL100" s="1426"/>
      <c r="AM100" s="31"/>
      <c r="AN100" s="334"/>
      <c r="AO100" s="13"/>
      <c r="AP100" s="81"/>
      <c r="AQ100" s="82"/>
    </row>
    <row r="101" spans="1:43" s="83" customFormat="1" ht="27" hidden="1" thickBot="1" x14ac:dyDescent="0.45">
      <c r="A101" s="1225"/>
      <c r="B101" s="335" t="s">
        <v>1081</v>
      </c>
      <c r="C101" s="532" t="s">
        <v>1095</v>
      </c>
      <c r="D101" s="119"/>
      <c r="E101" s="102"/>
      <c r="F101" s="102"/>
      <c r="G101" s="102"/>
      <c r="H101" s="102"/>
      <c r="I101" s="102"/>
      <c r="J101" s="102"/>
      <c r="K101" s="343"/>
      <c r="L101" s="233"/>
      <c r="M101" s="233"/>
      <c r="N101" s="233"/>
      <c r="O101" s="233"/>
      <c r="P101" s="233"/>
      <c r="Q101" s="233"/>
      <c r="R101" s="233"/>
      <c r="S101" s="233"/>
      <c r="T101" s="233"/>
      <c r="U101" s="233"/>
      <c r="V101" s="233"/>
      <c r="W101" s="233"/>
      <c r="X101" s="233"/>
      <c r="Y101" s="233"/>
      <c r="Z101" s="233"/>
      <c r="AA101" s="233"/>
      <c r="AB101" s="354"/>
      <c r="AC101" s="325"/>
      <c r="AD101" s="325"/>
      <c r="AE101" s="325"/>
      <c r="AF101" s="325"/>
      <c r="AG101" s="325"/>
      <c r="AH101" s="325"/>
      <c r="AI101" s="285"/>
      <c r="AJ101" s="182"/>
      <c r="AK101" s="30"/>
      <c r="AL101" s="1426"/>
      <c r="AM101" s="31"/>
      <c r="AN101" s="334"/>
      <c r="AO101" s="13"/>
      <c r="AP101" s="81"/>
      <c r="AQ101" s="82"/>
    </row>
    <row r="102" spans="1:43" s="83" customFormat="1" ht="25.5" hidden="1" customHeight="1" x14ac:dyDescent="0.4">
      <c r="A102" s="1223" t="s">
        <v>934</v>
      </c>
      <c r="B102" s="1" t="s">
        <v>1078</v>
      </c>
      <c r="C102" s="530" t="s">
        <v>943</v>
      </c>
      <c r="D102" s="132"/>
      <c r="E102" s="99"/>
      <c r="F102" s="99"/>
      <c r="G102" s="99"/>
      <c r="H102" s="99"/>
      <c r="I102" s="99"/>
      <c r="J102" s="99"/>
      <c r="K102" s="342"/>
      <c r="L102" s="222"/>
      <c r="M102" s="222"/>
      <c r="N102" s="222"/>
      <c r="O102" s="222"/>
      <c r="P102" s="222"/>
      <c r="Q102" s="222"/>
      <c r="R102" s="222"/>
      <c r="S102" s="222"/>
      <c r="T102" s="222"/>
      <c r="U102" s="222"/>
      <c r="V102" s="222"/>
      <c r="W102" s="222"/>
      <c r="X102" s="222"/>
      <c r="Y102" s="222"/>
      <c r="Z102" s="222"/>
      <c r="AA102" s="222"/>
      <c r="AB102" s="354"/>
      <c r="AC102" s="325"/>
      <c r="AD102" s="325"/>
      <c r="AE102" s="325"/>
      <c r="AF102" s="325"/>
      <c r="AG102" s="325"/>
      <c r="AH102" s="325"/>
      <c r="AI102" s="285"/>
      <c r="AJ102" s="183">
        <f t="shared" si="51"/>
        <v>0</v>
      </c>
      <c r="AK102" s="30" t="str">
        <f>CONCATENATE(IF(D104&gt;D102," * RITA RECENT Other PITC "&amp;$D$20&amp;" "&amp;$D$21&amp;" is more than RTRI RECENT Other PITC "&amp;CHAR(10),""),IF(E104&gt;E102," * RITA RECENT Other PITC "&amp;$D$20&amp;" "&amp;$E$21&amp;" is more than RTRI RECENT Other PITC "&amp;CHAR(10),""),IF(F104&gt;F102," * RITA RECENT Other PITC "&amp;$F$20&amp;" "&amp;$F$21&amp;" is more than RTRI RECENT Other PITC "&amp;CHAR(10),""),IF(G104&gt;G102," * RITA RECENT Other PITC "&amp;$F$20&amp;" "&amp;$G$21&amp;" is more than RTRI RECENT Other PITC "&amp;CHAR(10),""),IF(H104&gt;H102," * RITA RECENT Other PITC "&amp;$H$20&amp;" "&amp;$H$21&amp;" is more than RTRI RECENT Other PITC "&amp;CHAR(10),""),IF(I104&gt;I102," * RITA RECENT Other PITC "&amp;$H$20&amp;" "&amp;$I$21&amp;" is more than RTRI RECENT Other PITC "&amp;CHAR(10),""),IF(J104&gt;J102," * RITA RECENT Other PITC "&amp;$J$20&amp;" "&amp;$J$21&amp;" is more than RTRI RECENT Other PITC "&amp;CHAR(10),""),IF(K104&gt;K102," * RITA RECENT Other PITC "&amp;$J$20&amp;" "&amp;$K$21&amp;" is more than RTRI RECENT Other PITC "&amp;CHAR(10),""),IF(L104&gt;L102," * RITA RECENT Other PITC "&amp;$L$20&amp;" "&amp;$L$21&amp;" is more than RTRI RECENT Other PITC "&amp;CHAR(10),""),IF(M104&gt;M102," * RITA RECENT Other PITC "&amp;$L$20&amp;" "&amp;$M$21&amp;" is more than RTRI RECENT Other PITC "&amp;CHAR(10),""),IF(N104&gt;N102," * RITA RECENT Other PITC "&amp;$N$20&amp;" "&amp;$N$21&amp;" is more than RTRI RECENT Other PITC "&amp;CHAR(10),""),IF(O104&gt;O102," * RITA RECENT Other PITC "&amp;$N$20&amp;" "&amp;$O$21&amp;" is more than RTRI RECENT Other PITC "&amp;CHAR(10),""),IF(P104&gt;P102," * RITA RECENT Other PITC "&amp;$P$20&amp;" "&amp;$P$21&amp;" is more than RTRI RECENT Other PITC "&amp;CHAR(10),""),IF(Q104&gt;Q102," * RITA RECENT Other PITC "&amp;$P$20&amp;" "&amp;$Q$21&amp;" is more than RTRI RECENT Other PITC "&amp;CHAR(10),""),IF(R104&gt;R102," * RITA RECENT Other PITC "&amp;$R$20&amp;" "&amp;$R$21&amp;" is more than RTRI RECENT Other PITC "&amp;CHAR(10),""),IF(S104&gt;S102," * RITA RECENT Other PITC "&amp;$R$20&amp;" "&amp;$S$21&amp;" is more than RTRI RECENT Other PITC "&amp;CHAR(10),""),IF(T104&gt;T102," * RITA RECENT Other PITC "&amp;$T$20&amp;" "&amp;$T$21&amp;" is more than RTRI RECENT Other PITC "&amp;CHAR(10),""),IF(U104&gt;U102," * RITA RECENT Other PITC "&amp;$T$20&amp;" "&amp;$U$21&amp;" is more than RTRI RECENT Other PITC "&amp;CHAR(10),""),IF(V104&gt;V102," * RITA RECENT Other PITC "&amp;$V$20&amp;" "&amp;$V$21&amp;" is more than RTRI RECENT Other PITC "&amp;CHAR(10),""),IF(W104&gt;W102," * RITA RECENT Other PITC "&amp;$V$20&amp;" "&amp;$W$21&amp;" is more than RTRI RECENT Other PITC "&amp;CHAR(10),""),IF(X104&gt;X102," * RITA RECENT Other PITC "&amp;$X$20&amp;" "&amp;$X$21&amp;" is more than RTRI RECENT Other PITC "&amp;CHAR(10),""),IF(Y104&gt;Y102," * RITA RECENT Other PITC "&amp;$X$20&amp;" "&amp;$Y$21&amp;" is more than RTRI RECENT Other PITC "&amp;CHAR(10),""),IF(Z104&gt;Z102," * RITA RECENT Other PITC "&amp;$Z$20&amp;" "&amp;$Z$21&amp;" is more than RTRI RECENT Other PITC "&amp;CHAR(10),""),IF(AA104&gt;AA102," * RITA RECENT Other PITC "&amp;$Z$20&amp;" "&amp;$AA$21&amp;" is more than RTRI RECENT Other PITC "&amp;CHAR(10),""))</f>
        <v/>
      </c>
      <c r="AL102" s="1426"/>
      <c r="AM102" s="31"/>
      <c r="AN102" s="334"/>
      <c r="AO102" s="13">
        <v>32</v>
      </c>
      <c r="AP102" s="81"/>
      <c r="AQ102" s="82"/>
    </row>
    <row r="103" spans="1:43" s="83" customFormat="1" ht="27" hidden="1" thickBot="1" x14ac:dyDescent="0.45">
      <c r="A103" s="1224"/>
      <c r="B103" s="335" t="s">
        <v>1079</v>
      </c>
      <c r="C103" s="532" t="s">
        <v>944</v>
      </c>
      <c r="D103" s="133"/>
      <c r="E103" s="78"/>
      <c r="F103" s="78"/>
      <c r="G103" s="78"/>
      <c r="H103" s="78"/>
      <c r="I103" s="78"/>
      <c r="J103" s="78"/>
      <c r="K103" s="349"/>
      <c r="L103" s="139"/>
      <c r="M103" s="139"/>
      <c r="N103" s="139"/>
      <c r="O103" s="139"/>
      <c r="P103" s="139"/>
      <c r="Q103" s="139"/>
      <c r="R103" s="139"/>
      <c r="S103" s="139"/>
      <c r="T103" s="139"/>
      <c r="U103" s="139"/>
      <c r="V103" s="139"/>
      <c r="W103" s="139"/>
      <c r="X103" s="139"/>
      <c r="Y103" s="139"/>
      <c r="Z103" s="139"/>
      <c r="AA103" s="139"/>
      <c r="AB103" s="354"/>
      <c r="AC103" s="325"/>
      <c r="AD103" s="325"/>
      <c r="AE103" s="325"/>
      <c r="AF103" s="325"/>
      <c r="AG103" s="325"/>
      <c r="AH103" s="325"/>
      <c r="AI103" s="285"/>
      <c r="AJ103" s="184">
        <f t="shared" si="51"/>
        <v>0</v>
      </c>
      <c r="AK103" s="30" t="str">
        <f>CONCATENATE(IF(D105&gt;D103," * RITA Long-Term Other PITC  "&amp;$D$20&amp;" "&amp;$D$21&amp;" is more than RTRI Long-Term Other PITC  "&amp;CHAR(10),""),IF(E105&gt;E103," * RITA Long-Term Other PITC  "&amp;$D$20&amp;" "&amp;$E$21&amp;" is more than RTRI Long-Term Other PITC  "&amp;CHAR(10),""),IF(F105&gt;F103," * RITA Long-Term Other PITC  "&amp;$F$20&amp;" "&amp;$F$21&amp;" is more than RTRI Long-Term Other PITC  "&amp;CHAR(10),""),IF(G105&gt;G103," * RITA Long-Term Other PITC  "&amp;$F$20&amp;" "&amp;$G$21&amp;" is more than RTRI Long-Term Other PITC  "&amp;CHAR(10),""),IF(H105&gt;H103," * RITA Long-Term Other PITC  "&amp;$H$20&amp;" "&amp;$H$21&amp;" is more than RTRI Long-Term Other PITC  "&amp;CHAR(10),""),IF(I105&gt;I103," * RITA Long-Term Other PITC  "&amp;$H$20&amp;" "&amp;$I$21&amp;" is more than RTRI Long-Term Other PITC  "&amp;CHAR(10),""),IF(J105&gt;J103," * RITA Long-Term Other PITC  "&amp;$J$20&amp;" "&amp;$J$21&amp;" is more than RTRI Long-Term Other PITC  "&amp;CHAR(10),""),IF(K105&gt;K103," * RITA Long-Term Other PITC  "&amp;$J$20&amp;" "&amp;$K$21&amp;" is more than RTRI Long-Term Other PITC  "&amp;CHAR(10),""),IF(L105&gt;L103," * RITA Long-Term Other PITC  "&amp;$L$20&amp;" "&amp;$L$21&amp;" is more than RTRI Long-Term Other PITC  "&amp;CHAR(10),""),IF(M105&gt;M103," * RITA Long-Term Other PITC  "&amp;$L$20&amp;" "&amp;$M$21&amp;" is more than RTRI Long-Term Other PITC  "&amp;CHAR(10),""),IF(N105&gt;N103," * RITA Long-Term Other PITC  "&amp;$N$20&amp;" "&amp;$N$21&amp;" is more than RTRI Long-Term Other PITC  "&amp;CHAR(10),""),IF(O105&gt;O103," * RITA Long-Term Other PITC  "&amp;$N$20&amp;" "&amp;$O$21&amp;" is more than RTRI Long-Term Other PITC  "&amp;CHAR(10),""),IF(P105&gt;P103," * RITA Long-Term Other PITC  "&amp;$P$20&amp;" "&amp;$P$21&amp;" is more than RTRI Long-Term Other PITC  "&amp;CHAR(10),""),IF(Q105&gt;Q103," * RITA Long-Term Other PITC  "&amp;$P$20&amp;" "&amp;$Q$21&amp;" is more than RTRI Long-Term Other PITC  "&amp;CHAR(10),""),IF(R105&gt;R103," * RITA Long-Term Other PITC  "&amp;$R$20&amp;" "&amp;$R$21&amp;" is more than RTRI Long-Term Other PITC  "&amp;CHAR(10),""),IF(S105&gt;S103," * RITA Long-Term Other PITC  "&amp;$R$20&amp;" "&amp;$S$21&amp;" is more than RTRI Long-Term Other PITC  "&amp;CHAR(10),""),IF(T105&gt;T103," * RITA Long-Term Other PITC  "&amp;$T$20&amp;" "&amp;$T$21&amp;" is more than RTRI Long-Term Other PITC  "&amp;CHAR(10),""),IF(U105&gt;U103," * RITA Long-Term Other PITC  "&amp;$T$20&amp;" "&amp;$U$21&amp;" is more than RTRI Long-Term Other PITC  "&amp;CHAR(10),""),IF(V105&gt;V103," * RITA Long-Term Other PITC  "&amp;$V$20&amp;" "&amp;$V$21&amp;" is more than RTRI Long-Term Other PITC  "&amp;CHAR(10),""),IF(W105&gt;W103," * RITA Long-Term Other PITC  "&amp;$V$20&amp;" "&amp;$W$21&amp;" is more than RTRI Long-Term Other PITC  "&amp;CHAR(10),""),IF(X105&gt;X103," * RITA Long-Term Other PITC  "&amp;$X$20&amp;" "&amp;$X$21&amp;" is more than RTRI Long-Term Other PITC  "&amp;CHAR(10),""),IF(Y105&gt;Y103," * RITA Long-Term Other PITC  "&amp;$X$20&amp;" "&amp;$Y$21&amp;" is more than RTRI Long-Term Other PITC  "&amp;CHAR(10),""),IF(Z105&gt;Z103," * RITA Long-Term Other PITC  "&amp;$Z$20&amp;" "&amp;$Z$21&amp;" is more than RTRI Long-Term Other PITC  "&amp;CHAR(10),""),IF(AA105&gt;AA103," * RITA Long-Term Other PITC  "&amp;$Z$20&amp;" "&amp;$AA$21&amp;" is more than RTRI Long-Term Other PITC  "&amp;CHAR(10),""))</f>
        <v/>
      </c>
      <c r="AL103" s="1426"/>
      <c r="AM103" s="31"/>
      <c r="AN103" s="334"/>
      <c r="AO103" s="13">
        <v>33</v>
      </c>
      <c r="AP103" s="81"/>
      <c r="AQ103" s="82"/>
    </row>
    <row r="104" spans="1:43" s="83" customFormat="1" ht="26.25" hidden="1" x14ac:dyDescent="0.4">
      <c r="A104" s="1224"/>
      <c r="B104" s="1" t="s">
        <v>1080</v>
      </c>
      <c r="C104" s="530" t="s">
        <v>1096</v>
      </c>
      <c r="D104" s="133"/>
      <c r="E104" s="78"/>
      <c r="F104" s="78"/>
      <c r="G104" s="78"/>
      <c r="H104" s="78"/>
      <c r="I104" s="78"/>
      <c r="J104" s="78"/>
      <c r="K104" s="349"/>
      <c r="L104" s="222"/>
      <c r="M104" s="222"/>
      <c r="N104" s="222"/>
      <c r="O104" s="222"/>
      <c r="P104" s="222"/>
      <c r="Q104" s="222"/>
      <c r="R104" s="222"/>
      <c r="S104" s="222"/>
      <c r="T104" s="222"/>
      <c r="U104" s="222"/>
      <c r="V104" s="222"/>
      <c r="W104" s="222"/>
      <c r="X104" s="222"/>
      <c r="Y104" s="222"/>
      <c r="Z104" s="222"/>
      <c r="AA104" s="222"/>
      <c r="AB104" s="354"/>
      <c r="AC104" s="325"/>
      <c r="AD104" s="325"/>
      <c r="AE104" s="325"/>
      <c r="AF104" s="325"/>
      <c r="AG104" s="325"/>
      <c r="AH104" s="325"/>
      <c r="AI104" s="285"/>
      <c r="AJ104" s="182"/>
      <c r="AK104" s="30"/>
      <c r="AL104" s="1426"/>
      <c r="AM104" s="31"/>
      <c r="AN104" s="334"/>
      <c r="AO104" s="13"/>
      <c r="AP104" s="81"/>
      <c r="AQ104" s="82"/>
    </row>
    <row r="105" spans="1:43" s="83" customFormat="1" ht="27" hidden="1" thickBot="1" x14ac:dyDescent="0.45">
      <c r="A105" s="1225"/>
      <c r="B105" s="335" t="s">
        <v>1081</v>
      </c>
      <c r="C105" s="532" t="s">
        <v>1097</v>
      </c>
      <c r="D105" s="119"/>
      <c r="E105" s="102"/>
      <c r="F105" s="102"/>
      <c r="G105" s="102"/>
      <c r="H105" s="102"/>
      <c r="I105" s="102"/>
      <c r="J105" s="102"/>
      <c r="K105" s="343"/>
      <c r="L105" s="233"/>
      <c r="M105" s="233"/>
      <c r="N105" s="233"/>
      <c r="O105" s="233"/>
      <c r="P105" s="233"/>
      <c r="Q105" s="233"/>
      <c r="R105" s="233"/>
      <c r="S105" s="233"/>
      <c r="T105" s="233"/>
      <c r="U105" s="233"/>
      <c r="V105" s="233"/>
      <c r="W105" s="233"/>
      <c r="X105" s="233"/>
      <c r="Y105" s="233"/>
      <c r="Z105" s="233"/>
      <c r="AA105" s="233"/>
      <c r="AB105" s="354"/>
      <c r="AC105" s="325"/>
      <c r="AD105" s="325"/>
      <c r="AE105" s="325"/>
      <c r="AF105" s="325"/>
      <c r="AG105" s="325"/>
      <c r="AH105" s="325"/>
      <c r="AI105" s="285"/>
      <c r="AJ105" s="182"/>
      <c r="AK105" s="30"/>
      <c r="AL105" s="1426"/>
      <c r="AM105" s="31"/>
      <c r="AN105" s="334"/>
      <c r="AO105" s="13"/>
      <c r="AP105" s="81"/>
      <c r="AQ105" s="82"/>
    </row>
    <row r="106" spans="1:43" s="83" customFormat="1" ht="25.15" hidden="1" customHeight="1" x14ac:dyDescent="0.4">
      <c r="A106" s="1223" t="s">
        <v>952</v>
      </c>
      <c r="B106" s="1" t="s">
        <v>1078</v>
      </c>
      <c r="C106" s="530" t="s">
        <v>945</v>
      </c>
      <c r="D106" s="467"/>
      <c r="E106" s="71"/>
      <c r="F106" s="71"/>
      <c r="G106" s="71"/>
      <c r="H106" s="71"/>
      <c r="I106" s="71"/>
      <c r="J106" s="71"/>
      <c r="K106" s="468"/>
      <c r="L106" s="222"/>
      <c r="M106" s="222"/>
      <c r="N106" s="222"/>
      <c r="O106" s="222"/>
      <c r="P106" s="222"/>
      <c r="Q106" s="222"/>
      <c r="R106" s="222"/>
      <c r="S106" s="222"/>
      <c r="T106" s="222"/>
      <c r="U106" s="222"/>
      <c r="V106" s="222"/>
      <c r="W106" s="222"/>
      <c r="X106" s="222"/>
      <c r="Y106" s="222"/>
      <c r="Z106" s="222"/>
      <c r="AA106" s="222"/>
      <c r="AB106" s="354"/>
      <c r="AC106" s="325"/>
      <c r="AD106" s="325"/>
      <c r="AE106" s="325"/>
      <c r="AF106" s="325"/>
      <c r="AG106" s="325"/>
      <c r="AH106" s="325"/>
      <c r="AI106" s="285"/>
      <c r="AJ106" s="183">
        <f t="shared" si="51"/>
        <v>0</v>
      </c>
      <c r="AK106" s="30" t="str">
        <f>CONCATENATE(IF(D108&gt;D106," * RITA RECENT SNS "&amp;$D$20&amp;" "&amp;$D$21&amp;" is more than RTRI RECENT SNS "&amp;CHAR(10),""),IF(E108&gt;E106," * RITA RECENT SNS "&amp;$D$20&amp;" "&amp;$E$21&amp;" is more than RTRI RECENT SNS "&amp;CHAR(10),""),IF(F108&gt;F106," * RITA RECENT SNS "&amp;$F$20&amp;" "&amp;$F$21&amp;" is more than RTRI RECENT SNS "&amp;CHAR(10),""),IF(G108&gt;G106," * RITA RECENT SNS "&amp;$F$20&amp;" "&amp;$G$21&amp;" is more than RTRI RECENT SNS "&amp;CHAR(10),""),IF(H108&gt;H106," * RITA RECENT SNS "&amp;$H$20&amp;" "&amp;$H$21&amp;" is more than RTRI RECENT SNS "&amp;CHAR(10),""),IF(I108&gt;I106," * RITA RECENT SNS "&amp;$H$20&amp;" "&amp;$I$21&amp;" is more than RTRI RECENT SNS "&amp;CHAR(10),""),IF(J108&gt;J106," * RITA RECENT SNS "&amp;$J$20&amp;" "&amp;$J$21&amp;" is more than RTRI RECENT SNS "&amp;CHAR(10),""),IF(K108&gt;K106," * RITA RECENT SNS "&amp;$J$20&amp;" "&amp;$K$21&amp;" is more than RTRI RECENT SNS "&amp;CHAR(10),""),IF(L108&gt;L106," * RITA RECENT SNS "&amp;$L$20&amp;" "&amp;$L$21&amp;" is more than RTRI RECENT SNS "&amp;CHAR(10),""),IF(M108&gt;M106," * RITA RECENT SNS "&amp;$L$20&amp;" "&amp;$M$21&amp;" is more than RTRI RECENT SNS "&amp;CHAR(10),""),IF(N108&gt;N106," * RITA RECENT SNS "&amp;$N$20&amp;" "&amp;$N$21&amp;" is more than RTRI RECENT SNS "&amp;CHAR(10),""),IF(O108&gt;O106," * RITA RECENT SNS "&amp;$N$20&amp;" "&amp;$O$21&amp;" is more than RTRI RECENT SNS "&amp;CHAR(10),""),IF(P108&gt;P106," * RITA RECENT SNS "&amp;$P$20&amp;" "&amp;$P$21&amp;" is more than RTRI RECENT SNS "&amp;CHAR(10),""),IF(Q108&gt;Q106," * RITA RECENT SNS "&amp;$P$20&amp;" "&amp;$Q$21&amp;" is more than RTRI RECENT SNS "&amp;CHAR(10),""),IF(R108&gt;R106," * RITA RECENT SNS "&amp;$R$20&amp;" "&amp;$R$21&amp;" is more than RTRI RECENT SNS "&amp;CHAR(10),""),IF(S108&gt;S106," * RITA RECENT SNS "&amp;$R$20&amp;" "&amp;$S$21&amp;" is more than RTRI RECENT SNS "&amp;CHAR(10),""),IF(T108&gt;T106," * RITA RECENT SNS "&amp;$T$20&amp;" "&amp;$T$21&amp;" is more than RTRI RECENT SNS "&amp;CHAR(10),""),IF(U108&gt;U106," * RITA RECENT SNS "&amp;$T$20&amp;" "&amp;$U$21&amp;" is more than RTRI RECENT SNS "&amp;CHAR(10),""),IF(V108&gt;V106," * RITA RECENT SNS "&amp;$V$20&amp;" "&amp;$V$21&amp;" is more than RTRI RECENT SNS "&amp;CHAR(10),""),IF(W108&gt;W106," * RITA RECENT SNS "&amp;$V$20&amp;" "&amp;$W$21&amp;" is more than RTRI RECENT SNS "&amp;CHAR(10),""),IF(X108&gt;X106," * RITA RECENT SNS "&amp;$X$20&amp;" "&amp;$X$21&amp;" is more than RTRI RECENT SNS "&amp;CHAR(10),""),IF(Y108&gt;Y106," * RITA RECENT SNS "&amp;$X$20&amp;" "&amp;$Y$21&amp;" is more than RTRI RECENT SNS "&amp;CHAR(10),""),IF(Z108&gt;Z106," * RITA RECENT SNS "&amp;$Z$20&amp;" "&amp;$Z$21&amp;" is more than RTRI RECENT SNS "&amp;CHAR(10),""),IF(AA108&gt;AA106," * RITA RECENT SNS "&amp;$Z$20&amp;" "&amp;$AA$21&amp;" is more than RTRI RECENT SNS "&amp;CHAR(10),""))</f>
        <v/>
      </c>
      <c r="AL106" s="1426"/>
      <c r="AM106" s="31"/>
      <c r="AN106" s="334"/>
      <c r="AO106" s="13">
        <v>32</v>
      </c>
      <c r="AP106" s="81"/>
      <c r="AQ106" s="82"/>
    </row>
    <row r="107" spans="1:43" s="83" customFormat="1" ht="28.15" hidden="1" customHeight="1" thickBot="1" x14ac:dyDescent="0.45">
      <c r="A107" s="1224"/>
      <c r="B107" s="335" t="s">
        <v>1079</v>
      </c>
      <c r="C107" s="532" t="s">
        <v>946</v>
      </c>
      <c r="D107" s="119"/>
      <c r="E107" s="102"/>
      <c r="F107" s="102"/>
      <c r="G107" s="102"/>
      <c r="H107" s="102"/>
      <c r="I107" s="102"/>
      <c r="J107" s="102"/>
      <c r="K107" s="343"/>
      <c r="L107" s="139"/>
      <c r="M107" s="139"/>
      <c r="N107" s="139"/>
      <c r="O107" s="139"/>
      <c r="P107" s="139"/>
      <c r="Q107" s="139"/>
      <c r="R107" s="139"/>
      <c r="S107" s="139"/>
      <c r="T107" s="139"/>
      <c r="U107" s="139"/>
      <c r="V107" s="139"/>
      <c r="W107" s="139"/>
      <c r="X107" s="139"/>
      <c r="Y107" s="139"/>
      <c r="Z107" s="139"/>
      <c r="AA107" s="139"/>
      <c r="AB107" s="355"/>
      <c r="AC107" s="356"/>
      <c r="AD107" s="356"/>
      <c r="AE107" s="356"/>
      <c r="AF107" s="356"/>
      <c r="AG107" s="356"/>
      <c r="AH107" s="356"/>
      <c r="AI107" s="286"/>
      <c r="AJ107" s="184">
        <f t="shared" si="51"/>
        <v>0</v>
      </c>
      <c r="AK107" s="30" t="str">
        <f>CONCATENATE(IF(D109&gt;D107," * RITA Long-Term SNS  "&amp;$D$20&amp;" "&amp;$D$21&amp;" is more than RTRI Long-Term SNS  "&amp;CHAR(10),""),IF(E109&gt;E107," * RITA Long-Term SNS  "&amp;$D$20&amp;" "&amp;$E$21&amp;" is more than RTRI Long-Term SNS  "&amp;CHAR(10),""),IF(F109&gt;F107," * RITA Long-Term SNS  "&amp;$F$20&amp;" "&amp;$F$21&amp;" is more than RTRI Long-Term SNS  "&amp;CHAR(10),""),IF(G109&gt;G107," * RITA Long-Term SNS  "&amp;$F$20&amp;" "&amp;$G$21&amp;" is more than RTRI Long-Term SNS  "&amp;CHAR(10),""),IF(H109&gt;H107," * RITA Long-Term SNS  "&amp;$H$20&amp;" "&amp;$H$21&amp;" is more than RTRI Long-Term SNS  "&amp;CHAR(10),""),IF(I109&gt;I107," * RITA Long-Term SNS  "&amp;$H$20&amp;" "&amp;$I$21&amp;" is more than RTRI Long-Term SNS  "&amp;CHAR(10),""),IF(J109&gt;J107," * RITA Long-Term SNS  "&amp;$J$20&amp;" "&amp;$J$21&amp;" is more than RTRI Long-Term SNS  "&amp;CHAR(10),""),IF(K109&gt;K107," * RITA Long-Term SNS  "&amp;$J$20&amp;" "&amp;$K$21&amp;" is more than RTRI Long-Term SNS  "&amp;CHAR(10),""),IF(L109&gt;L107," * RITA Long-Term SNS  "&amp;$L$20&amp;" "&amp;$L$21&amp;" is more than RTRI Long-Term SNS  "&amp;CHAR(10),""),IF(M109&gt;M107," * RITA Long-Term SNS  "&amp;$L$20&amp;" "&amp;$M$21&amp;" is more than RTRI Long-Term SNS  "&amp;CHAR(10),""),IF(N109&gt;N107," * RITA Long-Term SNS  "&amp;$N$20&amp;" "&amp;$N$21&amp;" is more than RTRI Long-Term SNS  "&amp;CHAR(10),""),IF(O109&gt;O107," * RITA Long-Term SNS  "&amp;$N$20&amp;" "&amp;$O$21&amp;" is more than RTRI Long-Term SNS  "&amp;CHAR(10),""),IF(P109&gt;P107," * RITA Long-Term SNS  "&amp;$P$20&amp;" "&amp;$P$21&amp;" is more than RTRI Long-Term SNS  "&amp;CHAR(10),""),IF(Q109&gt;Q107," * RITA Long-Term SNS  "&amp;$P$20&amp;" "&amp;$Q$21&amp;" is more than RTRI Long-Term SNS  "&amp;CHAR(10),""),IF(R109&gt;R107," * RITA Long-Term SNS  "&amp;$R$20&amp;" "&amp;$R$21&amp;" is more than RTRI Long-Term SNS  "&amp;CHAR(10),""),IF(S109&gt;S107," * RITA Long-Term SNS  "&amp;$R$20&amp;" "&amp;$S$21&amp;" is more than RTRI Long-Term SNS  "&amp;CHAR(10),""),IF(T109&gt;T107," * RITA Long-Term SNS  "&amp;$T$20&amp;" "&amp;$T$21&amp;" is more than RTRI Long-Term SNS  "&amp;CHAR(10),""),IF(U109&gt;U107," * RITA Long-Term SNS  "&amp;$T$20&amp;" "&amp;$U$21&amp;" is more than RTRI Long-Term SNS  "&amp;CHAR(10),""),IF(V109&gt;V107," * RITA Long-Term SNS  "&amp;$V$20&amp;" "&amp;$V$21&amp;" is more than RTRI Long-Term SNS  "&amp;CHAR(10),""),IF(W109&gt;W107," * RITA Long-Term SNS  "&amp;$V$20&amp;" "&amp;$W$21&amp;" is more than RTRI Long-Term SNS  "&amp;CHAR(10),""),IF(X109&gt;X107," * RITA Long-Term SNS  "&amp;$X$20&amp;" "&amp;$X$21&amp;" is more than RTRI Long-Term SNS  "&amp;CHAR(10),""),IF(Y109&gt;Y107," * RITA Long-Term SNS  "&amp;$X$20&amp;" "&amp;$Y$21&amp;" is more than RTRI Long-Term SNS  "&amp;CHAR(10),""),IF(Z109&gt;Z107," * RITA Long-Term SNS  "&amp;$Z$20&amp;" "&amp;$Z$21&amp;" is more than RTRI Long-Term SNS  "&amp;CHAR(10),""),IF(AA109&gt;AA107," * RITA Long-Term SNS  "&amp;$Z$20&amp;" "&amp;$AA$21&amp;" is more than RTRI Long-Term SNS  "&amp;CHAR(10),""))</f>
        <v/>
      </c>
      <c r="AL107" s="1426"/>
      <c r="AM107" s="31"/>
      <c r="AN107" s="334"/>
      <c r="AO107" s="13">
        <v>33</v>
      </c>
      <c r="AP107" s="81"/>
      <c r="AQ107" s="82"/>
    </row>
    <row r="108" spans="1:43" s="83" customFormat="1" ht="27.4" hidden="1" customHeight="1" x14ac:dyDescent="0.4">
      <c r="A108" s="1224"/>
      <c r="B108" s="1" t="s">
        <v>1080</v>
      </c>
      <c r="C108" s="530" t="s">
        <v>1098</v>
      </c>
      <c r="D108" s="466"/>
      <c r="E108" s="120"/>
      <c r="F108" s="120"/>
      <c r="G108" s="120"/>
      <c r="H108" s="120"/>
      <c r="I108" s="120"/>
      <c r="J108" s="120"/>
      <c r="K108" s="370"/>
      <c r="L108" s="222"/>
      <c r="M108" s="222"/>
      <c r="N108" s="222"/>
      <c r="O108" s="222"/>
      <c r="P108" s="222"/>
      <c r="Q108" s="222"/>
      <c r="R108" s="222"/>
      <c r="S108" s="222"/>
      <c r="T108" s="222"/>
      <c r="U108" s="222"/>
      <c r="V108" s="222"/>
      <c r="W108" s="222"/>
      <c r="X108" s="222"/>
      <c r="Y108" s="222"/>
      <c r="Z108" s="222"/>
      <c r="AA108" s="222"/>
      <c r="AB108" s="354"/>
      <c r="AC108" s="325"/>
      <c r="AD108" s="325"/>
      <c r="AE108" s="325"/>
      <c r="AF108" s="325"/>
      <c r="AG108" s="325"/>
      <c r="AH108" s="325"/>
      <c r="AI108" s="285"/>
      <c r="AJ108" s="182"/>
      <c r="AK108" s="30"/>
      <c r="AL108" s="1426"/>
      <c r="AM108" s="31"/>
      <c r="AN108" s="334"/>
      <c r="AO108" s="13"/>
      <c r="AP108" s="81"/>
      <c r="AQ108" s="82"/>
    </row>
    <row r="109" spans="1:43" s="83" customFormat="1" ht="24.4" hidden="1" customHeight="1" thickBot="1" x14ac:dyDescent="0.45">
      <c r="A109" s="1225"/>
      <c r="B109" s="335" t="s">
        <v>1081</v>
      </c>
      <c r="C109" s="532" t="s">
        <v>1099</v>
      </c>
      <c r="D109" s="466"/>
      <c r="E109" s="120"/>
      <c r="F109" s="120"/>
      <c r="G109" s="120"/>
      <c r="H109" s="120"/>
      <c r="I109" s="120"/>
      <c r="J109" s="120"/>
      <c r="K109" s="370"/>
      <c r="L109" s="233"/>
      <c r="M109" s="233"/>
      <c r="N109" s="233"/>
      <c r="O109" s="233"/>
      <c r="P109" s="233"/>
      <c r="Q109" s="233"/>
      <c r="R109" s="233"/>
      <c r="S109" s="233"/>
      <c r="T109" s="233"/>
      <c r="U109" s="233"/>
      <c r="V109" s="233"/>
      <c r="W109" s="233"/>
      <c r="X109" s="233"/>
      <c r="Y109" s="233"/>
      <c r="Z109" s="233"/>
      <c r="AA109" s="233"/>
      <c r="AB109" s="354"/>
      <c r="AC109" s="325"/>
      <c r="AD109" s="325"/>
      <c r="AE109" s="325"/>
      <c r="AF109" s="325"/>
      <c r="AG109" s="325"/>
      <c r="AH109" s="325"/>
      <c r="AI109" s="285"/>
      <c r="AJ109" s="182"/>
      <c r="AK109" s="30"/>
      <c r="AL109" s="1426"/>
      <c r="AM109" s="31"/>
      <c r="AN109" s="334"/>
      <c r="AO109" s="13"/>
      <c r="AP109" s="81"/>
      <c r="AQ109" s="82"/>
    </row>
    <row r="110" spans="1:43" s="83" customFormat="1" ht="25.5" hidden="1" customHeight="1" x14ac:dyDescent="0.4">
      <c r="A110" s="1244" t="s">
        <v>935</v>
      </c>
      <c r="B110" s="1" t="s">
        <v>936</v>
      </c>
      <c r="C110" s="534" t="s">
        <v>953</v>
      </c>
      <c r="D110" s="133"/>
      <c r="E110" s="78"/>
      <c r="F110" s="78"/>
      <c r="G110" s="78"/>
      <c r="H110" s="78"/>
      <c r="I110" s="78"/>
      <c r="J110" s="78"/>
      <c r="K110" s="349"/>
      <c r="L110" s="222"/>
      <c r="M110" s="94"/>
      <c r="N110" s="94"/>
      <c r="O110" s="94"/>
      <c r="P110" s="94"/>
      <c r="Q110" s="94"/>
      <c r="R110" s="94"/>
      <c r="S110" s="94"/>
      <c r="T110" s="94"/>
      <c r="U110" s="94"/>
      <c r="V110" s="94"/>
      <c r="W110" s="94"/>
      <c r="X110" s="94"/>
      <c r="Y110" s="94"/>
      <c r="Z110" s="94"/>
      <c r="AA110" s="293"/>
      <c r="AB110" s="1233"/>
      <c r="AC110" s="1234"/>
      <c r="AD110" s="1234"/>
      <c r="AE110" s="1234"/>
      <c r="AF110" s="1234"/>
      <c r="AG110" s="1234"/>
      <c r="AH110" s="1234"/>
      <c r="AI110" s="1235"/>
      <c r="AJ110" s="371">
        <f t="shared" si="51"/>
        <v>0</v>
      </c>
      <c r="AK110" s="30"/>
      <c r="AL110" s="1426"/>
      <c r="AM110" s="31"/>
      <c r="AN110" s="334"/>
      <c r="AO110" s="13">
        <v>32</v>
      </c>
      <c r="AP110" s="81"/>
      <c r="AQ110" s="82"/>
    </row>
    <row r="111" spans="1:43" s="83" customFormat="1" ht="25.9" hidden="1" customHeight="1" thickBot="1" x14ac:dyDescent="0.45">
      <c r="A111" s="1245"/>
      <c r="B111" s="335" t="s">
        <v>937</v>
      </c>
      <c r="C111" s="535" t="s">
        <v>954</v>
      </c>
      <c r="D111" s="119"/>
      <c r="E111" s="102"/>
      <c r="F111" s="102"/>
      <c r="G111" s="102"/>
      <c r="H111" s="102"/>
      <c r="I111" s="102"/>
      <c r="J111" s="102"/>
      <c r="K111" s="343"/>
      <c r="L111" s="367"/>
      <c r="M111" s="97"/>
      <c r="N111" s="97"/>
      <c r="O111" s="97"/>
      <c r="P111" s="97"/>
      <c r="Q111" s="97"/>
      <c r="R111" s="97"/>
      <c r="S111" s="97"/>
      <c r="T111" s="97"/>
      <c r="U111" s="97"/>
      <c r="V111" s="97"/>
      <c r="W111" s="97"/>
      <c r="X111" s="97"/>
      <c r="Y111" s="97"/>
      <c r="Z111" s="97"/>
      <c r="AA111" s="294"/>
      <c r="AB111" s="338"/>
      <c r="AC111" s="339"/>
      <c r="AD111" s="339"/>
      <c r="AE111" s="339"/>
      <c r="AF111" s="339"/>
      <c r="AG111" s="339"/>
      <c r="AH111" s="339"/>
      <c r="AI111" s="340"/>
      <c r="AJ111" s="372">
        <f t="shared" si="51"/>
        <v>0</v>
      </c>
      <c r="AK111" s="30"/>
      <c r="AL111" s="1427"/>
      <c r="AM111" s="31"/>
      <c r="AN111" s="334"/>
      <c r="AO111" s="13">
        <v>33</v>
      </c>
      <c r="AP111" s="81"/>
      <c r="AQ111" s="82"/>
    </row>
    <row r="112" spans="1:43" ht="27" thickBot="1" x14ac:dyDescent="0.45">
      <c r="A112" s="1249" t="s">
        <v>92</v>
      </c>
      <c r="B112" s="1250"/>
      <c r="C112" s="1251"/>
      <c r="D112" s="1250"/>
      <c r="E112" s="1250"/>
      <c r="F112" s="1250"/>
      <c r="G112" s="1250"/>
      <c r="H112" s="1250"/>
      <c r="I112" s="1250"/>
      <c r="J112" s="1250"/>
      <c r="K112" s="1250"/>
      <c r="L112" s="1250"/>
      <c r="M112" s="1250"/>
      <c r="N112" s="1250"/>
      <c r="O112" s="1250"/>
      <c r="P112" s="1250"/>
      <c r="Q112" s="1250"/>
      <c r="R112" s="1250"/>
      <c r="S112" s="1250"/>
      <c r="T112" s="1250"/>
      <c r="U112" s="1250"/>
      <c r="V112" s="1250"/>
      <c r="W112" s="1250"/>
      <c r="X112" s="1250"/>
      <c r="Y112" s="1250"/>
      <c r="Z112" s="1250"/>
      <c r="AA112" s="1250"/>
      <c r="AB112" s="1251"/>
      <c r="AC112" s="1251"/>
      <c r="AD112" s="1251"/>
      <c r="AE112" s="1251"/>
      <c r="AF112" s="1251"/>
      <c r="AG112" s="1251"/>
      <c r="AH112" s="1251"/>
      <c r="AI112" s="1251"/>
      <c r="AJ112" s="1250"/>
      <c r="AK112" s="1250"/>
      <c r="AL112" s="1251"/>
      <c r="AM112" s="1250"/>
      <c r="AN112" s="1252"/>
      <c r="AO112" s="13">
        <v>50</v>
      </c>
      <c r="AP112" s="74"/>
      <c r="AQ112" s="75"/>
    </row>
    <row r="113" spans="1:43" ht="26.25" customHeight="1" x14ac:dyDescent="0.4">
      <c r="A113" s="1214" t="s">
        <v>35</v>
      </c>
      <c r="B113" s="1200" t="s">
        <v>307</v>
      </c>
      <c r="C113" s="1192" t="s">
        <v>291</v>
      </c>
      <c r="D113" s="1486"/>
      <c r="E113" s="1486"/>
      <c r="F113" s="1486"/>
      <c r="G113" s="1486"/>
      <c r="H113" s="1486"/>
      <c r="I113" s="1486"/>
      <c r="J113" s="1195" t="s">
        <v>3</v>
      </c>
      <c r="K113" s="1195"/>
      <c r="L113" s="1195" t="s">
        <v>4</v>
      </c>
      <c r="M113" s="1195"/>
      <c r="N113" s="1195" t="s">
        <v>5</v>
      </c>
      <c r="O113" s="1195"/>
      <c r="P113" s="1195" t="s">
        <v>6</v>
      </c>
      <c r="Q113" s="1195"/>
      <c r="R113" s="1195" t="s">
        <v>7</v>
      </c>
      <c r="S113" s="1195"/>
      <c r="T113" s="1195" t="s">
        <v>8</v>
      </c>
      <c r="U113" s="1195"/>
      <c r="V113" s="1195" t="s">
        <v>23</v>
      </c>
      <c r="W113" s="1195"/>
      <c r="X113" s="1195" t="s">
        <v>24</v>
      </c>
      <c r="Y113" s="1195"/>
      <c r="Z113" s="1195" t="s">
        <v>9</v>
      </c>
      <c r="AA113" s="1195"/>
      <c r="AB113" s="1417"/>
      <c r="AC113" s="1231"/>
      <c r="AD113" s="1231"/>
      <c r="AE113" s="1231"/>
      <c r="AF113" s="1231"/>
      <c r="AG113" s="1231"/>
      <c r="AH113" s="1231"/>
      <c r="AI113" s="1232"/>
      <c r="AJ113" s="1405" t="s">
        <v>19</v>
      </c>
      <c r="AK113" s="1267" t="s">
        <v>340</v>
      </c>
      <c r="AL113" s="1241" t="s">
        <v>346</v>
      </c>
      <c r="AM113" s="1236" t="s">
        <v>347</v>
      </c>
      <c r="AN113" s="1253" t="s">
        <v>347</v>
      </c>
      <c r="AO113" s="13">
        <v>51</v>
      </c>
      <c r="AP113" s="74"/>
      <c r="AQ113" s="75"/>
    </row>
    <row r="114" spans="1:43" ht="27" customHeight="1" thickBot="1" x14ac:dyDescent="0.45">
      <c r="A114" s="1215"/>
      <c r="B114" s="1210"/>
      <c r="C114" s="1193"/>
      <c r="D114" s="1487"/>
      <c r="E114" s="1487"/>
      <c r="F114" s="1487"/>
      <c r="G114" s="1487"/>
      <c r="H114" s="1487"/>
      <c r="I114" s="1487"/>
      <c r="J114" s="269" t="s">
        <v>10</v>
      </c>
      <c r="K114" s="269" t="s">
        <v>11</v>
      </c>
      <c r="L114" s="269" t="s">
        <v>10</v>
      </c>
      <c r="M114" s="269" t="s">
        <v>11</v>
      </c>
      <c r="N114" s="269" t="s">
        <v>10</v>
      </c>
      <c r="O114" s="269" t="s">
        <v>11</v>
      </c>
      <c r="P114" s="269" t="s">
        <v>10</v>
      </c>
      <c r="Q114" s="269" t="s">
        <v>11</v>
      </c>
      <c r="R114" s="269" t="s">
        <v>10</v>
      </c>
      <c r="S114" s="269" t="s">
        <v>11</v>
      </c>
      <c r="T114" s="269" t="s">
        <v>10</v>
      </c>
      <c r="U114" s="269" t="s">
        <v>11</v>
      </c>
      <c r="V114" s="269" t="s">
        <v>10</v>
      </c>
      <c r="W114" s="269" t="s">
        <v>11</v>
      </c>
      <c r="X114" s="269" t="s">
        <v>10</v>
      </c>
      <c r="Y114" s="269" t="s">
        <v>11</v>
      </c>
      <c r="Z114" s="269" t="s">
        <v>10</v>
      </c>
      <c r="AA114" s="269" t="s">
        <v>11</v>
      </c>
      <c r="AB114" s="350"/>
      <c r="AC114" s="337"/>
      <c r="AD114" s="337"/>
      <c r="AE114" s="337"/>
      <c r="AF114" s="337"/>
      <c r="AG114" s="337"/>
      <c r="AH114" s="337"/>
      <c r="AI114" s="351"/>
      <c r="AJ114" s="1406"/>
      <c r="AK114" s="1407"/>
      <c r="AL114" s="1242"/>
      <c r="AM114" s="1237"/>
      <c r="AN114" s="1254"/>
      <c r="AO114" s="13">
        <v>52</v>
      </c>
      <c r="AP114" s="74"/>
      <c r="AQ114" s="75"/>
    </row>
    <row r="115" spans="1:43" ht="26.25" x14ac:dyDescent="0.4">
      <c r="A115" s="1244" t="s">
        <v>20</v>
      </c>
      <c r="B115" s="91" t="s">
        <v>900</v>
      </c>
      <c r="C115" s="525" t="s">
        <v>152</v>
      </c>
      <c r="D115" s="132"/>
      <c r="E115" s="99"/>
      <c r="F115" s="99"/>
      <c r="G115" s="99"/>
      <c r="H115" s="99"/>
      <c r="I115" s="342"/>
      <c r="J115" s="222"/>
      <c r="K115" s="94"/>
      <c r="L115" s="94"/>
      <c r="M115" s="94"/>
      <c r="N115" s="94"/>
      <c r="O115" s="94"/>
      <c r="P115" s="94"/>
      <c r="Q115" s="94"/>
      <c r="R115" s="94"/>
      <c r="S115" s="94"/>
      <c r="T115" s="94"/>
      <c r="U115" s="94"/>
      <c r="V115" s="94"/>
      <c r="W115" s="94"/>
      <c r="X115" s="94"/>
      <c r="Y115" s="94"/>
      <c r="Z115" s="94"/>
      <c r="AA115" s="293"/>
      <c r="AB115" s="352"/>
      <c r="AC115" s="353"/>
      <c r="AD115" s="353"/>
      <c r="AE115" s="353"/>
      <c r="AF115" s="353"/>
      <c r="AG115" s="353"/>
      <c r="AH115" s="353"/>
      <c r="AI115" s="288"/>
      <c r="AJ115" s="183">
        <f>SUM(D115:AA115)</f>
        <v>0</v>
      </c>
      <c r="AK115" s="116"/>
      <c r="AL115" s="1424" t="str">
        <f>CONCATENATE(AK115,AK116,AK117,AK118,AK120,AK121,AK123,AK122,AK124)</f>
        <v/>
      </c>
      <c r="AM115" s="31"/>
      <c r="AN115" s="1479" t="str">
        <f>CONCATENATE(AM115,AM116,AM117,AM118,AM120)</f>
        <v/>
      </c>
      <c r="AO115" s="13">
        <v>53</v>
      </c>
      <c r="AP115" s="74"/>
      <c r="AQ115" s="75"/>
    </row>
    <row r="116" spans="1:43" ht="26.25" x14ac:dyDescent="0.4">
      <c r="A116" s="1275"/>
      <c r="B116" s="76" t="s">
        <v>871</v>
      </c>
      <c r="C116" s="526" t="s">
        <v>154</v>
      </c>
      <c r="D116" s="133"/>
      <c r="E116" s="78"/>
      <c r="F116" s="78"/>
      <c r="G116" s="78"/>
      <c r="H116" s="78"/>
      <c r="I116" s="349"/>
      <c r="J116" s="368">
        <f>SUM(J117:J120)</f>
        <v>0</v>
      </c>
      <c r="K116" s="117">
        <f t="shared" ref="K116:AA116" si="52">SUM(K117:K120)</f>
        <v>0</v>
      </c>
      <c r="L116" s="117">
        <f t="shared" si="52"/>
        <v>0</v>
      </c>
      <c r="M116" s="117">
        <f t="shared" si="52"/>
        <v>0</v>
      </c>
      <c r="N116" s="117">
        <f t="shared" si="52"/>
        <v>0</v>
      </c>
      <c r="O116" s="117">
        <f t="shared" si="52"/>
        <v>0</v>
      </c>
      <c r="P116" s="117">
        <f t="shared" si="52"/>
        <v>0</v>
      </c>
      <c r="Q116" s="117">
        <f t="shared" si="52"/>
        <v>0</v>
      </c>
      <c r="R116" s="117">
        <f t="shared" si="52"/>
        <v>0</v>
      </c>
      <c r="S116" s="117">
        <f t="shared" si="52"/>
        <v>0</v>
      </c>
      <c r="T116" s="117">
        <f t="shared" si="52"/>
        <v>0</v>
      </c>
      <c r="U116" s="117">
        <f t="shared" si="52"/>
        <v>0</v>
      </c>
      <c r="V116" s="117">
        <f t="shared" si="52"/>
        <v>0</v>
      </c>
      <c r="W116" s="117">
        <f t="shared" si="52"/>
        <v>0</v>
      </c>
      <c r="X116" s="117">
        <f t="shared" si="52"/>
        <v>0</v>
      </c>
      <c r="Y116" s="117">
        <f t="shared" si="52"/>
        <v>0</v>
      </c>
      <c r="Z116" s="117">
        <f t="shared" si="52"/>
        <v>0</v>
      </c>
      <c r="AA116" s="300">
        <f t="shared" si="52"/>
        <v>0</v>
      </c>
      <c r="AB116" s="354"/>
      <c r="AC116" s="325"/>
      <c r="AD116" s="325"/>
      <c r="AE116" s="325"/>
      <c r="AF116" s="325"/>
      <c r="AG116" s="325"/>
      <c r="AH116" s="325"/>
      <c r="AI116" s="285"/>
      <c r="AJ116" s="171">
        <f t="shared" ref="AJ116:AJ121" si="53">SUM(D116:AA116)</f>
        <v>0</v>
      </c>
      <c r="AK116" s="116"/>
      <c r="AL116" s="1312"/>
      <c r="AM116" s="31"/>
      <c r="AN116" s="1459"/>
      <c r="AO116" s="13">
        <v>54</v>
      </c>
      <c r="AP116" s="74"/>
      <c r="AQ116" s="75"/>
    </row>
    <row r="117" spans="1:43" ht="26.25" x14ac:dyDescent="0.4">
      <c r="A117" s="1275"/>
      <c r="B117" s="76" t="s">
        <v>595</v>
      </c>
      <c r="C117" s="526" t="s">
        <v>155</v>
      </c>
      <c r="D117" s="133"/>
      <c r="E117" s="78"/>
      <c r="F117" s="78"/>
      <c r="G117" s="78"/>
      <c r="H117" s="78"/>
      <c r="I117" s="349"/>
      <c r="J117" s="223"/>
      <c r="K117" s="79"/>
      <c r="L117" s="79"/>
      <c r="M117" s="79"/>
      <c r="N117" s="79"/>
      <c r="O117" s="79"/>
      <c r="P117" s="79"/>
      <c r="Q117" s="79"/>
      <c r="R117" s="79"/>
      <c r="S117" s="79"/>
      <c r="T117" s="79"/>
      <c r="U117" s="79"/>
      <c r="V117" s="79"/>
      <c r="W117" s="79"/>
      <c r="X117" s="79"/>
      <c r="Y117" s="79"/>
      <c r="Z117" s="79"/>
      <c r="AA117" s="290"/>
      <c r="AB117" s="354"/>
      <c r="AC117" s="325"/>
      <c r="AD117" s="325"/>
      <c r="AE117" s="325"/>
      <c r="AF117" s="325"/>
      <c r="AG117" s="325"/>
      <c r="AH117" s="325"/>
      <c r="AI117" s="285"/>
      <c r="AJ117" s="171">
        <f t="shared" si="53"/>
        <v>0</v>
      </c>
      <c r="AK117" s="116"/>
      <c r="AL117" s="1312"/>
      <c r="AM117" s="31"/>
      <c r="AN117" s="1459"/>
      <c r="AO117" s="13">
        <v>55</v>
      </c>
      <c r="AP117" s="74"/>
      <c r="AQ117" s="75"/>
    </row>
    <row r="118" spans="1:43" ht="26.25" x14ac:dyDescent="0.4">
      <c r="A118" s="1275"/>
      <c r="B118" s="76" t="s">
        <v>596</v>
      </c>
      <c r="C118" s="526" t="s">
        <v>156</v>
      </c>
      <c r="D118" s="133"/>
      <c r="E118" s="78"/>
      <c r="F118" s="78"/>
      <c r="G118" s="78"/>
      <c r="H118" s="78"/>
      <c r="I118" s="349"/>
      <c r="J118" s="223"/>
      <c r="K118" s="79"/>
      <c r="L118" s="79"/>
      <c r="M118" s="79"/>
      <c r="N118" s="79"/>
      <c r="O118" s="79"/>
      <c r="P118" s="79"/>
      <c r="Q118" s="79"/>
      <c r="R118" s="79"/>
      <c r="S118" s="79"/>
      <c r="T118" s="79"/>
      <c r="U118" s="79"/>
      <c r="V118" s="79"/>
      <c r="W118" s="79"/>
      <c r="X118" s="79"/>
      <c r="Y118" s="79"/>
      <c r="Z118" s="79"/>
      <c r="AA118" s="290"/>
      <c r="AB118" s="354"/>
      <c r="AC118" s="325"/>
      <c r="AD118" s="325"/>
      <c r="AE118" s="325"/>
      <c r="AF118" s="325"/>
      <c r="AG118" s="325"/>
      <c r="AH118" s="325"/>
      <c r="AI118" s="285"/>
      <c r="AJ118" s="171">
        <f t="shared" si="53"/>
        <v>0</v>
      </c>
      <c r="AK118" s="116"/>
      <c r="AL118" s="1312"/>
      <c r="AM118" s="31"/>
      <c r="AN118" s="1459"/>
      <c r="AO118" s="13">
        <v>56</v>
      </c>
      <c r="AP118" s="74"/>
      <c r="AQ118" s="75"/>
    </row>
    <row r="119" spans="1:43" ht="26.25" x14ac:dyDescent="0.4">
      <c r="A119" s="1280"/>
      <c r="B119" s="76" t="s">
        <v>1282</v>
      </c>
      <c r="C119" s="908" t="s">
        <v>1192</v>
      </c>
      <c r="D119" s="466"/>
      <c r="E119" s="120"/>
      <c r="F119" s="120"/>
      <c r="G119" s="120"/>
      <c r="H119" s="120"/>
      <c r="I119" s="370"/>
      <c r="J119" s="233"/>
      <c r="K119" s="121"/>
      <c r="L119" s="121"/>
      <c r="M119" s="121"/>
      <c r="N119" s="121"/>
      <c r="O119" s="121"/>
      <c r="P119" s="121"/>
      <c r="Q119" s="121"/>
      <c r="R119" s="121"/>
      <c r="S119" s="121"/>
      <c r="T119" s="121"/>
      <c r="U119" s="121"/>
      <c r="V119" s="121"/>
      <c r="W119" s="121"/>
      <c r="X119" s="121"/>
      <c r="Y119" s="121"/>
      <c r="Z119" s="121"/>
      <c r="AA119" s="301"/>
      <c r="AB119" s="354"/>
      <c r="AC119" s="325"/>
      <c r="AD119" s="325"/>
      <c r="AE119" s="325"/>
      <c r="AF119" s="325"/>
      <c r="AG119" s="325"/>
      <c r="AH119" s="325"/>
      <c r="AI119" s="285"/>
      <c r="AJ119" s="171">
        <f t="shared" si="53"/>
        <v>0</v>
      </c>
      <c r="AK119" s="122"/>
      <c r="AL119" s="1312"/>
      <c r="AM119" s="123"/>
      <c r="AN119" s="1460"/>
      <c r="AO119" s="13"/>
      <c r="AP119" s="74"/>
      <c r="AQ119" s="75"/>
    </row>
    <row r="120" spans="1:43" ht="27" thickBot="1" x14ac:dyDescent="0.45">
      <c r="A120" s="1245"/>
      <c r="B120" s="118" t="s">
        <v>597</v>
      </c>
      <c r="C120" s="527" t="s">
        <v>157</v>
      </c>
      <c r="D120" s="119"/>
      <c r="E120" s="102"/>
      <c r="F120" s="102"/>
      <c r="G120" s="120"/>
      <c r="H120" s="120"/>
      <c r="I120" s="370"/>
      <c r="J120" s="233"/>
      <c r="K120" s="121"/>
      <c r="L120" s="121"/>
      <c r="M120" s="121"/>
      <c r="N120" s="121"/>
      <c r="O120" s="121"/>
      <c r="P120" s="121"/>
      <c r="Q120" s="121"/>
      <c r="R120" s="121"/>
      <c r="S120" s="121"/>
      <c r="T120" s="121"/>
      <c r="U120" s="121"/>
      <c r="V120" s="121"/>
      <c r="W120" s="121"/>
      <c r="X120" s="121"/>
      <c r="Y120" s="121"/>
      <c r="Z120" s="121"/>
      <c r="AA120" s="301"/>
      <c r="AB120" s="354"/>
      <c r="AC120" s="325"/>
      <c r="AD120" s="325"/>
      <c r="AE120" s="325"/>
      <c r="AF120" s="325"/>
      <c r="AG120" s="325"/>
      <c r="AH120" s="325"/>
      <c r="AI120" s="285"/>
      <c r="AJ120" s="171">
        <f t="shared" si="53"/>
        <v>0</v>
      </c>
      <c r="AK120" s="122"/>
      <c r="AL120" s="1312"/>
      <c r="AM120" s="123"/>
      <c r="AN120" s="1460"/>
      <c r="AO120" s="13">
        <v>57</v>
      </c>
      <c r="AP120" s="74"/>
      <c r="AQ120" s="75"/>
    </row>
    <row r="121" spans="1:43" ht="26.25" x14ac:dyDescent="0.4">
      <c r="A121" s="1223" t="s">
        <v>1237</v>
      </c>
      <c r="B121" s="91" t="s">
        <v>136</v>
      </c>
      <c r="C121" s="526" t="s">
        <v>880</v>
      </c>
      <c r="D121" s="132"/>
      <c r="E121" s="99"/>
      <c r="F121" s="99"/>
      <c r="G121" s="99"/>
      <c r="H121" s="99"/>
      <c r="I121" s="342"/>
      <c r="J121" s="222"/>
      <c r="K121" s="94"/>
      <c r="L121" s="94"/>
      <c r="M121" s="94"/>
      <c r="N121" s="94"/>
      <c r="O121" s="94"/>
      <c r="P121" s="94"/>
      <c r="Q121" s="94"/>
      <c r="R121" s="94"/>
      <c r="S121" s="94"/>
      <c r="T121" s="94"/>
      <c r="U121" s="94"/>
      <c r="V121" s="94"/>
      <c r="W121" s="94"/>
      <c r="X121" s="94"/>
      <c r="Y121" s="94"/>
      <c r="Z121" s="94"/>
      <c r="AA121" s="293"/>
      <c r="AB121" s="354"/>
      <c r="AC121" s="325"/>
      <c r="AD121" s="325"/>
      <c r="AE121" s="325"/>
      <c r="AF121" s="325"/>
      <c r="AG121" s="325"/>
      <c r="AH121" s="325"/>
      <c r="AI121" s="285"/>
      <c r="AJ121" s="171">
        <f t="shared" si="53"/>
        <v>0</v>
      </c>
      <c r="AK121" s="124" t="str">
        <f>CONCATENATE(IF(D122&gt;D121," * Tested Positive  for Age "&amp;D20&amp;" "&amp;D21&amp;" is more than Number Tested "&amp;CHAR(10),""),IF(E122&gt;E121," * Tested Positive  for Age "&amp;D20&amp;" "&amp;E21&amp;" is more than Number Tested "&amp;CHAR(10),""),IF(F122&gt;F121," * Tested Positive  for Age "&amp;F20&amp;" "&amp;F21&amp;" is more than Number Tested "&amp;CHAR(10),""),IF(G122&gt;G121," * Tested Positive  for Age "&amp;F20&amp;" "&amp;G21&amp;" is more than Number Tested "&amp;CHAR(10),""),IF(H122&gt;H121," * Tested Positive  for Age "&amp;H20&amp;" "&amp;H21&amp;" is more than Number Tested "&amp;CHAR(10),""),IF(I122&gt;I121," * Tested Positive  for Age "&amp;H20&amp;" "&amp;I21&amp;" is more than Number Tested "&amp;CHAR(10),""),IF(J122&gt;J121," * Tested Positive  for Age "&amp;J20&amp;" "&amp;J21&amp;" is more than Number Tested "&amp;CHAR(10),""),IF(K122&gt;K121," * Tested Positive  for Age "&amp;J20&amp;" "&amp;K21&amp;" is more than Number Tested "&amp;CHAR(10),""),IF(L122&gt;L121," * Tested Positive  for Age "&amp;L20&amp;" "&amp;L21&amp;" is more than Number Tested "&amp;CHAR(10),""),IF(M122&gt;M121," * Tested Positive  for Age "&amp;L20&amp;" "&amp;M21&amp;" is more than Number Tested "&amp;CHAR(10),""),IF(N122&gt;N121," * Tested Positive  for Age "&amp;N20&amp;" "&amp;N21&amp;" is more than Number Tested "&amp;CHAR(10),""),IF(O122&gt;O121," * Tested Positive  for Age "&amp;N20&amp;" "&amp;O21&amp;" is more than Number Tested "&amp;CHAR(10),""),IF(P122&gt;P121," * Tested Positive  for Age "&amp;P20&amp;" "&amp;P21&amp;" is more than Number Tested "&amp;CHAR(10),""),IF(Q122&gt;Q121," * Tested Positive  for Age "&amp;P20&amp;" "&amp;Q21&amp;" is more than Number Tested "&amp;CHAR(10),""),IF(R122&gt;R121," * Tested Positive  for Age "&amp;R20&amp;" "&amp;R21&amp;" is more than Number Tested "&amp;CHAR(10),""),IF(S122&gt;S121," * Tested Positive  for Age "&amp;R20&amp;" "&amp;S21&amp;" is more than Number Tested "&amp;CHAR(10),""),IF(T122&gt;T121," * Tested Positive  for Age "&amp;T20&amp;" "&amp;T21&amp;" is more than Number Tested "&amp;CHAR(10),""),IF(U122&gt;U121," * Tested Positive  for Age "&amp;T20&amp;" "&amp;U21&amp;" is more than Number Tested "&amp;CHAR(10),""),IF(V122&gt;V121," * Tested Positive  for Age "&amp;V20&amp;" "&amp;V21&amp;" is more than Number Tested "&amp;CHAR(10),""),IF(W122&gt;W121," * Tested Positive  for Age "&amp;V20&amp;" "&amp;W21&amp;" is more than Number Tested "&amp;CHAR(10),""),IF(X122&gt;X121," * Tested Positive  for Age "&amp;X20&amp;" "&amp;X21&amp;" is more than Number Tested "&amp;CHAR(10),""),IF(Y122&gt;Y121," * Tested Positive  for Age "&amp;X20&amp;" "&amp;Y21&amp;" is more than Number Tested "&amp;CHAR(10),""),IF(Z122&gt;Z121," * Tested Positive  for Age "&amp;Z20&amp;" "&amp;Z21&amp;" is more than Number Tested "&amp;CHAR(10),""),IF(AA122&gt;AA121," * Tested Positive  for Age "&amp;Z20&amp;" "&amp;AA21&amp;" is more than Number Tested "&amp;CHAR(10),""))</f>
        <v/>
      </c>
      <c r="AL121" s="1312"/>
      <c r="AM121" s="125"/>
      <c r="AN121" s="126"/>
      <c r="AO121" s="13">
        <v>58</v>
      </c>
      <c r="AP121" s="74"/>
      <c r="AQ121" s="75"/>
    </row>
    <row r="122" spans="1:43" ht="27" thickBot="1" x14ac:dyDescent="0.45">
      <c r="A122" s="1225"/>
      <c r="B122" s="95" t="s">
        <v>128</v>
      </c>
      <c r="C122" s="527" t="s">
        <v>881</v>
      </c>
      <c r="D122" s="119"/>
      <c r="E122" s="102"/>
      <c r="F122" s="102"/>
      <c r="G122" s="102"/>
      <c r="H122" s="102"/>
      <c r="I122" s="343"/>
      <c r="J122" s="369"/>
      <c r="K122" s="106"/>
      <c r="L122" s="106"/>
      <c r="M122" s="106"/>
      <c r="N122" s="106"/>
      <c r="O122" s="106"/>
      <c r="P122" s="106"/>
      <c r="Q122" s="106"/>
      <c r="R122" s="106"/>
      <c r="S122" s="106"/>
      <c r="T122" s="106"/>
      <c r="U122" s="106"/>
      <c r="V122" s="106"/>
      <c r="W122" s="106"/>
      <c r="X122" s="106"/>
      <c r="Y122" s="106"/>
      <c r="Z122" s="106"/>
      <c r="AA122" s="299"/>
      <c r="AB122" s="355"/>
      <c r="AC122" s="356"/>
      <c r="AD122" s="356"/>
      <c r="AE122" s="356"/>
      <c r="AF122" s="356"/>
      <c r="AG122" s="356"/>
      <c r="AH122" s="356"/>
      <c r="AI122" s="286"/>
      <c r="AJ122" s="56"/>
      <c r="AK122" s="124"/>
      <c r="AL122" s="1312"/>
      <c r="AM122" s="125"/>
      <c r="AN122" s="126"/>
      <c r="AO122" s="13">
        <v>59</v>
      </c>
      <c r="AP122" s="74"/>
      <c r="AQ122" s="75"/>
    </row>
    <row r="123" spans="1:43" ht="26.25" x14ac:dyDescent="0.4">
      <c r="A123" s="1223" t="s">
        <v>1123</v>
      </c>
      <c r="B123" s="91" t="s">
        <v>136</v>
      </c>
      <c r="C123" s="526" t="s">
        <v>1124</v>
      </c>
      <c r="D123" s="132"/>
      <c r="E123" s="99"/>
      <c r="F123" s="99"/>
      <c r="G123" s="99"/>
      <c r="H123" s="99"/>
      <c r="I123" s="342"/>
      <c r="J123" s="222"/>
      <c r="K123" s="94"/>
      <c r="L123" s="94"/>
      <c r="M123" s="94"/>
      <c r="N123" s="94"/>
      <c r="O123" s="94"/>
      <c r="P123" s="94"/>
      <c r="Q123" s="94"/>
      <c r="R123" s="94"/>
      <c r="S123" s="94"/>
      <c r="T123" s="94"/>
      <c r="U123" s="94"/>
      <c r="V123" s="94"/>
      <c r="W123" s="94"/>
      <c r="X123" s="94"/>
      <c r="Y123" s="94"/>
      <c r="Z123" s="94"/>
      <c r="AA123" s="293"/>
      <c r="AB123" s="354"/>
      <c r="AC123" s="325"/>
      <c r="AD123" s="325"/>
      <c r="AE123" s="325"/>
      <c r="AF123" s="325"/>
      <c r="AG123" s="325"/>
      <c r="AH123" s="325"/>
      <c r="AI123" s="285"/>
      <c r="AJ123" s="357"/>
      <c r="AK123" s="124" t="str">
        <f>CONCATENATE(IF(D124&gt;D123," * Tested Positive  for Age "&amp;D20&amp;" "&amp;D21&amp;" is more than Number Tested "&amp;CHAR(10),""),IF(E124&gt;E123," * Tested Positive  for Age "&amp;D20&amp;" "&amp;E21&amp;" is more than Number Tested "&amp;CHAR(10),""),IF(F124&gt;F123," * Tested Positive  for Age "&amp;F20&amp;" "&amp;F21&amp;" is more than Number Tested "&amp;CHAR(10),""),IF(G124&gt;G123," * Tested Positive  for Age "&amp;F20&amp;" "&amp;G21&amp;" is more than Number Tested "&amp;CHAR(10),""),IF(H124&gt;H123," * Tested Positive  for Age "&amp;H20&amp;" "&amp;H21&amp;" is more than Number Tested "&amp;CHAR(10),""),IF(I124&gt;I123," * Tested Positive  for Age "&amp;H20&amp;" "&amp;I21&amp;" is more than Number Tested "&amp;CHAR(10),""),IF(J124&gt;J123," * Tested Positive  for Age "&amp;J20&amp;" "&amp;J21&amp;" is more than Number Tested "&amp;CHAR(10),""),IF(K124&gt;K123," * Tested Positive  for Age "&amp;J20&amp;" "&amp;K21&amp;" is more than Number Tested "&amp;CHAR(10),""),IF(L124&gt;L123," * Tested Positive  for Age "&amp;L20&amp;" "&amp;L21&amp;" is more than Number Tested "&amp;CHAR(10),""),IF(M124&gt;M123," * Tested Positive  for Age "&amp;L20&amp;" "&amp;M21&amp;" is more than Number Tested "&amp;CHAR(10),""),IF(N124&gt;N123," * Tested Positive  for Age "&amp;N20&amp;" "&amp;N21&amp;" is more than Number Tested "&amp;CHAR(10),""),IF(O124&gt;O123," * Tested Positive  for Age "&amp;N20&amp;" "&amp;O21&amp;" is more than Number Tested "&amp;CHAR(10),""),IF(P124&gt;P123," * Tested Positive  for Age "&amp;P20&amp;" "&amp;P21&amp;" is more than Number Tested "&amp;CHAR(10),""),IF(Q124&gt;Q123," * Tested Positive  for Age "&amp;P20&amp;" "&amp;Q21&amp;" is more than Number Tested "&amp;CHAR(10),""),IF(R124&gt;R123," * Tested Positive  for Age "&amp;R20&amp;" "&amp;R21&amp;" is more than Number Tested "&amp;CHAR(10),""),IF(S124&gt;S123," * Tested Positive  for Age "&amp;R20&amp;" "&amp;S21&amp;" is more than Number Tested "&amp;CHAR(10),""),IF(T124&gt;T123," * Tested Positive  for Age "&amp;T20&amp;" "&amp;T21&amp;" is more than Number Tested "&amp;CHAR(10),""),IF(U124&gt;U123," * Tested Positive  for Age "&amp;T20&amp;" "&amp;U21&amp;" is more than Number Tested "&amp;CHAR(10),""),IF(V124&gt;V123," * Tested Positive  for Age "&amp;V20&amp;" "&amp;V21&amp;" is more than Number Tested "&amp;CHAR(10),""),IF(W124&gt;W123," * Tested Positive  for Age "&amp;V20&amp;" "&amp;W21&amp;" is more than Number Tested "&amp;CHAR(10),""),IF(X124&gt;X123," * Tested Positive  for Age "&amp;X20&amp;" "&amp;X21&amp;" is more than Number Tested "&amp;CHAR(10),""),IF(Y124&gt;Y123," * Tested Positive  for Age "&amp;X20&amp;" "&amp;Y21&amp;" is more than Number Tested "&amp;CHAR(10),""),IF(Z124&gt;Z123," * Tested Positive  for Age "&amp;Z20&amp;" "&amp;Z21&amp;" is more than Number Tested "&amp;CHAR(10),""),IF(AA124&gt;AA123," * Tested Positive  for Age "&amp;Z20&amp;" "&amp;AA21&amp;" is more than Number Tested "&amp;CHAR(10),""))</f>
        <v/>
      </c>
      <c r="AL123" s="1312"/>
      <c r="AM123" s="125"/>
      <c r="AN123" s="126"/>
      <c r="AO123" s="13">
        <v>58</v>
      </c>
      <c r="AP123" s="74"/>
      <c r="AQ123" s="75"/>
    </row>
    <row r="124" spans="1:43" ht="27" thickBot="1" x14ac:dyDescent="0.45">
      <c r="A124" s="1225"/>
      <c r="B124" s="95" t="s">
        <v>128</v>
      </c>
      <c r="C124" s="808" t="s">
        <v>1125</v>
      </c>
      <c r="D124" s="119"/>
      <c r="E124" s="102"/>
      <c r="F124" s="102"/>
      <c r="G124" s="102"/>
      <c r="H124" s="102"/>
      <c r="I124" s="343"/>
      <c r="J124" s="369"/>
      <c r="K124" s="106"/>
      <c r="L124" s="106"/>
      <c r="M124" s="106"/>
      <c r="N124" s="106"/>
      <c r="O124" s="106"/>
      <c r="P124" s="106"/>
      <c r="Q124" s="106"/>
      <c r="R124" s="106"/>
      <c r="S124" s="106"/>
      <c r="T124" s="106"/>
      <c r="U124" s="106"/>
      <c r="V124" s="106"/>
      <c r="W124" s="106"/>
      <c r="X124" s="106"/>
      <c r="Y124" s="106"/>
      <c r="Z124" s="106"/>
      <c r="AA124" s="299"/>
      <c r="AB124" s="355"/>
      <c r="AC124" s="356"/>
      <c r="AD124" s="356"/>
      <c r="AE124" s="356"/>
      <c r="AF124" s="356"/>
      <c r="AG124" s="356"/>
      <c r="AH124" s="356"/>
      <c r="AI124" s="286"/>
      <c r="AJ124" s="56"/>
      <c r="AK124" s="124"/>
      <c r="AL124" s="1313"/>
      <c r="AM124" s="125"/>
      <c r="AN124" s="126"/>
      <c r="AO124" s="13">
        <v>59</v>
      </c>
      <c r="AP124" s="74"/>
      <c r="AQ124" s="75"/>
    </row>
    <row r="125" spans="1:43" ht="27" thickBot="1" x14ac:dyDescent="0.45">
      <c r="A125" s="1249" t="s">
        <v>998</v>
      </c>
      <c r="B125" s="1250"/>
      <c r="C125" s="1250"/>
      <c r="D125" s="1250"/>
      <c r="E125" s="1250"/>
      <c r="F125" s="1250"/>
      <c r="G125" s="1250"/>
      <c r="H125" s="1250"/>
      <c r="I125" s="1250"/>
      <c r="J125" s="1250"/>
      <c r="K125" s="1250"/>
      <c r="L125" s="1250"/>
      <c r="M125" s="1250"/>
      <c r="N125" s="1250"/>
      <c r="O125" s="1250"/>
      <c r="P125" s="1250"/>
      <c r="Q125" s="1250"/>
      <c r="R125" s="1250"/>
      <c r="S125" s="1250"/>
      <c r="T125" s="1250"/>
      <c r="U125" s="1250"/>
      <c r="V125" s="1250"/>
      <c r="W125" s="1250"/>
      <c r="X125" s="1250"/>
      <c r="Y125" s="1250"/>
      <c r="Z125" s="1250"/>
      <c r="AA125" s="1250"/>
      <c r="AB125" s="1276"/>
      <c r="AC125" s="1276"/>
      <c r="AD125" s="1276"/>
      <c r="AE125" s="1276"/>
      <c r="AF125" s="1276"/>
      <c r="AG125" s="1276"/>
      <c r="AH125" s="1276"/>
      <c r="AI125" s="1276"/>
      <c r="AJ125" s="1250"/>
      <c r="AK125" s="1250"/>
      <c r="AL125" s="1250"/>
      <c r="AM125" s="1250"/>
      <c r="AN125" s="1252"/>
      <c r="AO125" s="13">
        <v>60</v>
      </c>
      <c r="AP125" s="74"/>
      <c r="AQ125" s="75"/>
    </row>
    <row r="126" spans="1:43" ht="26.25" customHeight="1" x14ac:dyDescent="0.4">
      <c r="A126" s="1214" t="s">
        <v>35</v>
      </c>
      <c r="B126" s="1200" t="s">
        <v>307</v>
      </c>
      <c r="C126" s="1192" t="s">
        <v>291</v>
      </c>
      <c r="D126" s="1480"/>
      <c r="E126" s="1481"/>
      <c r="F126" s="1481"/>
      <c r="G126" s="1481"/>
      <c r="H126" s="1481"/>
      <c r="I126" s="1482"/>
      <c r="J126" s="1218" t="s">
        <v>3</v>
      </c>
      <c r="K126" s="1199"/>
      <c r="L126" s="1199" t="s">
        <v>4</v>
      </c>
      <c r="M126" s="1199"/>
      <c r="N126" s="1199" t="s">
        <v>5</v>
      </c>
      <c r="O126" s="1199"/>
      <c r="P126" s="1199" t="s">
        <v>6</v>
      </c>
      <c r="Q126" s="1199"/>
      <c r="R126" s="1199" t="s">
        <v>7</v>
      </c>
      <c r="S126" s="1199"/>
      <c r="T126" s="1199" t="s">
        <v>8</v>
      </c>
      <c r="U126" s="1199"/>
      <c r="V126" s="1199" t="s">
        <v>23</v>
      </c>
      <c r="W126" s="1199"/>
      <c r="X126" s="1199" t="s">
        <v>24</v>
      </c>
      <c r="Y126" s="1199"/>
      <c r="Z126" s="1199" t="s">
        <v>9</v>
      </c>
      <c r="AA126" s="1207"/>
      <c r="AB126" s="1417"/>
      <c r="AC126" s="1231"/>
      <c r="AD126" s="1231"/>
      <c r="AE126" s="1231"/>
      <c r="AF126" s="1231"/>
      <c r="AG126" s="1231"/>
      <c r="AH126" s="1231"/>
      <c r="AI126" s="1232"/>
      <c r="AJ126" s="1378" t="s">
        <v>19</v>
      </c>
      <c r="AK126" s="1309" t="s">
        <v>340</v>
      </c>
      <c r="AL126" s="1291" t="s">
        <v>346</v>
      </c>
      <c r="AM126" s="1237" t="s">
        <v>347</v>
      </c>
      <c r="AN126" s="1300" t="s">
        <v>347</v>
      </c>
      <c r="AO126" s="13">
        <v>61</v>
      </c>
      <c r="AP126" s="74"/>
      <c r="AQ126" s="75"/>
    </row>
    <row r="127" spans="1:43" ht="27" customHeight="1" thickBot="1" x14ac:dyDescent="0.45">
      <c r="A127" s="1215"/>
      <c r="B127" s="1210"/>
      <c r="C127" s="1193"/>
      <c r="D127" s="1483"/>
      <c r="E127" s="1484"/>
      <c r="F127" s="1484"/>
      <c r="G127" s="1484"/>
      <c r="H127" s="1484"/>
      <c r="I127" s="1485"/>
      <c r="J127" s="270" t="s">
        <v>10</v>
      </c>
      <c r="K127" s="68" t="s">
        <v>11</v>
      </c>
      <c r="L127" s="68" t="s">
        <v>10</v>
      </c>
      <c r="M127" s="68" t="s">
        <v>11</v>
      </c>
      <c r="N127" s="68" t="s">
        <v>10</v>
      </c>
      <c r="O127" s="68" t="s">
        <v>11</v>
      </c>
      <c r="P127" s="68" t="s">
        <v>10</v>
      </c>
      <c r="Q127" s="68" t="s">
        <v>11</v>
      </c>
      <c r="R127" s="68" t="s">
        <v>10</v>
      </c>
      <c r="S127" s="68" t="s">
        <v>11</v>
      </c>
      <c r="T127" s="68" t="s">
        <v>10</v>
      </c>
      <c r="U127" s="68" t="s">
        <v>11</v>
      </c>
      <c r="V127" s="68" t="s">
        <v>10</v>
      </c>
      <c r="W127" s="68" t="s">
        <v>11</v>
      </c>
      <c r="X127" s="68" t="s">
        <v>10</v>
      </c>
      <c r="Y127" s="68" t="s">
        <v>11</v>
      </c>
      <c r="Z127" s="68" t="s">
        <v>10</v>
      </c>
      <c r="AA127" s="336" t="s">
        <v>11</v>
      </c>
      <c r="AB127" s="338"/>
      <c r="AC127" s="339"/>
      <c r="AD127" s="339"/>
      <c r="AE127" s="339"/>
      <c r="AF127" s="339"/>
      <c r="AG127" s="339"/>
      <c r="AH127" s="339"/>
      <c r="AI127" s="340"/>
      <c r="AJ127" s="1392"/>
      <c r="AK127" s="1310"/>
      <c r="AL127" s="1242"/>
      <c r="AM127" s="1237"/>
      <c r="AN127" s="1254"/>
      <c r="AO127" s="13">
        <v>62</v>
      </c>
      <c r="AP127" s="74"/>
      <c r="AQ127" s="75"/>
    </row>
    <row r="128" spans="1:43" ht="25.5" customHeight="1" x14ac:dyDescent="0.4">
      <c r="A128" s="1307" t="s">
        <v>1315</v>
      </c>
      <c r="B128" s="69" t="s">
        <v>1316</v>
      </c>
      <c r="C128" s="807" t="s">
        <v>162</v>
      </c>
      <c r="D128" s="70"/>
      <c r="E128" s="71"/>
      <c r="F128" s="71"/>
      <c r="G128" s="71"/>
      <c r="H128" s="71"/>
      <c r="I128" s="71"/>
      <c r="J128" s="78"/>
      <c r="K128" s="78"/>
      <c r="L128" s="127"/>
      <c r="M128" s="127"/>
      <c r="N128" s="127"/>
      <c r="O128" s="127"/>
      <c r="P128" s="127"/>
      <c r="Q128" s="127"/>
      <c r="R128" s="127"/>
      <c r="S128" s="127"/>
      <c r="T128" s="127"/>
      <c r="U128" s="127"/>
      <c r="V128" s="127"/>
      <c r="W128" s="127"/>
      <c r="X128" s="127"/>
      <c r="Y128" s="127"/>
      <c r="Z128" s="127"/>
      <c r="AA128" s="302"/>
      <c r="AB128" s="354"/>
      <c r="AC128" s="325"/>
      <c r="AD128" s="325"/>
      <c r="AE128" s="325"/>
      <c r="AF128" s="325"/>
      <c r="AG128" s="325"/>
      <c r="AH128" s="325"/>
      <c r="AI128" s="285"/>
      <c r="AJ128" s="52">
        <f>SUM(D128:AA128)</f>
        <v>0</v>
      </c>
      <c r="AK128" s="128" t="str">
        <f>CONCATENATE(IF(D131&gt;D128," * Eligible for PrEP  for Age "&amp;D20&amp;" "&amp;D21&amp;" is more than Assessed for HIV risk"&amp;CHAR(10),""),IF(E131&gt;E128," * Eligible for PrEP  for Age "&amp;D20&amp;" "&amp;E21&amp;" is more than Assessed for HIV risk"&amp;CHAR(10),""),IF(F131&gt;F128," * Eligible for PrEP  for Age "&amp;F20&amp;" "&amp;F21&amp;" is more than Assessed for HIV risk"&amp;CHAR(10),""),IF(G131&gt;G128," * Eligible for PrEP  for Age "&amp;F20&amp;" "&amp;G21&amp;" is more than Assessed for HIV risk"&amp;CHAR(10),""),IF(H131&gt;H128," * Eligible for PrEP  for Age "&amp;H20&amp;" "&amp;H21&amp;" is more than Assessed for HIV risk"&amp;CHAR(10),""),IF(I131&gt;I128," * Eligible for PrEP  for Age "&amp;H20&amp;" "&amp;I21&amp;" is more than Assessed for HIV risk"&amp;CHAR(10),""),IF(J131&gt;J128," * Eligible for PrEP  for Age "&amp;J20&amp;" "&amp;J21&amp;" is more than Assessed for HIV risk"&amp;CHAR(10),""),IF(K131&gt;K128," * Eligible for PrEP  for Age "&amp;J20&amp;" "&amp;K21&amp;" is more than Assessed for HIV risk"&amp;CHAR(10),""),IF(L131&gt;L128," * Eligible for PrEP  for Age "&amp;L20&amp;" "&amp;L21&amp;" is more than Assessed for HIV risk"&amp;CHAR(10),""),IF(M131&gt;M128," * Eligible for PrEP  for Age "&amp;L20&amp;" "&amp;M21&amp;" is more than Assessed for HIV risk"&amp;CHAR(10),""),IF(N131&gt;N128," * Eligible for PrEP  for Age "&amp;N20&amp;" "&amp;N21&amp;" is more than Assessed for HIV risk"&amp;CHAR(10),""),IF(O131&gt;O128," * Eligible for PrEP  for Age "&amp;N20&amp;" "&amp;O21&amp;" is more than Assessed for HIV risk"&amp;CHAR(10),""),IF(P131&gt;P128," * Eligible for PrEP  for Age "&amp;P20&amp;" "&amp;P21&amp;" is more than Assessed for HIV risk"&amp;CHAR(10),""),IF(Q131&gt;Q128," * Eligible for PrEP  for Age "&amp;P20&amp;" "&amp;Q21&amp;" is more than Assessed for HIV risk"&amp;CHAR(10),""),IF(R131&gt;R128," * Eligible for PrEP  for Age "&amp;R20&amp;" "&amp;R21&amp;" is more than Assessed for HIV risk"&amp;CHAR(10),""),IF(S131&gt;S128," * Eligible for PrEP  for Age "&amp;R20&amp;" "&amp;S21&amp;" is more than Assessed for HIV risk"&amp;CHAR(10),""),IF(T131&gt;T128," * Eligible for PrEP  for Age "&amp;T20&amp;" "&amp;T21&amp;" is more than Assessed for HIV risk"&amp;CHAR(10),""),IF(U131&gt;U128," * Eligible for PrEP  for Age "&amp;T20&amp;" "&amp;U21&amp;" is more than Assessed for HIV risk"&amp;CHAR(10),""),IF(V131&gt;V128," * Eligible for PrEP  for Age "&amp;V20&amp;" "&amp;V21&amp;" is more than Assessed for HIV risk"&amp;CHAR(10),""),IF(W131&gt;W128," * Eligible for PrEP  for Age "&amp;V20&amp;" "&amp;W21&amp;" is more than Assessed for HIV risk"&amp;CHAR(10),""),IF(X131&gt;X128," * Eligible for PrEP  for Age "&amp;X20&amp;" "&amp;X21&amp;" is more than Assessed for HIV risk"&amp;CHAR(10),""),IF(Y131&gt;Y128," * Eligible for PrEP  for Age "&amp;X20&amp;" "&amp;Y21&amp;" is more than Assessed for HIV risk"&amp;CHAR(10),""),IF(Z131&gt;Z128," * Eligible for PrEP  for Age "&amp;Z20&amp;" "&amp;Z21&amp;" is more than Assessed for HIV risk"&amp;CHAR(10),""),IF(AA131&gt;AA128," * Eligible for PrEP  for Age "&amp;Z20&amp;" "&amp;AA21&amp;" is more than Assessed for HIV risk"&amp;CHAR(10),""))</f>
        <v/>
      </c>
      <c r="AL128" s="1424" t="str">
        <f>CONCATENATE(AK128,AK129,AK130,AK131,AK132,AK133,AK134,AK135,AK136,AK137,AK138,AK139,AK140,AK141,AK150,AK152,AK153,AK154,AK155,AK156,AK157,AK158,AK159,AK161,AK164,AK165,AK166,AK167,AK168,AK169,AK170,AK171,AK172,AK151,AK162,AK163,AK173,AK174,AK142,AK143,AK144,AK145,AK146,AK147,AK148,AK149,AK175,AK176,AK177,AK178,AK179,AK180)</f>
        <v/>
      </c>
      <c r="AM128" s="73"/>
      <c r="AN128" s="1476" t="str">
        <f>CONCATENATE(AM128,AM131,AM132,AM139,AM150,AM159,AM160,AM161,AM164,AM165,AM166,AM167,AM168,AM169,AM170,AM171,AM172)</f>
        <v/>
      </c>
      <c r="AO128" s="13">
        <v>63</v>
      </c>
      <c r="AP128" s="74"/>
      <c r="AQ128" s="75"/>
    </row>
    <row r="129" spans="1:43" ht="26.25" x14ac:dyDescent="0.4">
      <c r="A129" s="1263"/>
      <c r="B129" s="76" t="s">
        <v>1317</v>
      </c>
      <c r="C129" s="526" t="s">
        <v>515</v>
      </c>
      <c r="D129" s="77"/>
      <c r="E129" s="78"/>
      <c r="F129" s="78"/>
      <c r="G129" s="78"/>
      <c r="H129" s="78"/>
      <c r="I129" s="78"/>
      <c r="J129" s="78"/>
      <c r="K129" s="78"/>
      <c r="L129" s="129"/>
      <c r="M129" s="129"/>
      <c r="N129" s="129"/>
      <c r="O129" s="129"/>
      <c r="P129" s="129"/>
      <c r="Q129" s="129"/>
      <c r="R129" s="129"/>
      <c r="S129" s="129"/>
      <c r="T129" s="129"/>
      <c r="U129" s="129"/>
      <c r="V129" s="129"/>
      <c r="W129" s="129"/>
      <c r="X129" s="129"/>
      <c r="Y129" s="129"/>
      <c r="Z129" s="129"/>
      <c r="AA129" s="303"/>
      <c r="AB129" s="354"/>
      <c r="AC129" s="325"/>
      <c r="AD129" s="325"/>
      <c r="AE129" s="325"/>
      <c r="AF129" s="325"/>
      <c r="AG129" s="325"/>
      <c r="AH129" s="325"/>
      <c r="AI129" s="285"/>
      <c r="AJ129" s="171">
        <f>SUM(J129:AA129)</f>
        <v>0</v>
      </c>
      <c r="AK129" s="30" t="str">
        <f>CONCATENATE(IF(D129&gt;D128," * Tested for Prep Initiation For age "&amp;$D$20&amp;" "&amp;$D$21&amp;" is more than Assessed for HIV risk"&amp;CHAR(10),""),IF(E129&gt;E128," * Tested for Prep Initiation For age "&amp;$D$20&amp;" "&amp;$E$21&amp;" is more than Assessed for HIV risk"&amp;CHAR(10),""),IF(F129&gt;F128," * Tested for Prep Initiation For age "&amp;$F$20&amp;" "&amp;$F$21&amp;" is more than Assessed for HIV risk"&amp;CHAR(10),""),IF(G129&gt;G128," * Tested for Prep Initiation For age "&amp;$F$20&amp;" "&amp;$G$21&amp;" is more than Assessed for HIV risk"&amp;CHAR(10),""),IF(H129&gt;H128," * Tested for Prep Initiation For age "&amp;$H$20&amp;" "&amp;$H$21&amp;" is more than Assessed for HIV risk"&amp;CHAR(10),""),IF(I129&gt;I128," * Tested for Prep Initiation For age "&amp;$H$20&amp;" "&amp;$I$21&amp;" is more than Assessed for HIV risk"&amp;CHAR(10),""),IF(J129&gt;J128," * Tested for Prep Initiation For age "&amp;$J$20&amp;" "&amp;$J$21&amp;" is more than Assessed for HIV risk"&amp;CHAR(10),""),IF(K129&gt;K128," * Tested for Prep Initiation For age "&amp;$J$20&amp;" "&amp;$K$21&amp;" is more than Assessed for HIV risk"&amp;CHAR(10),""),IF(L129&gt;L128," * Tested for Prep Initiation For age "&amp;$L$20&amp;" "&amp;$L$21&amp;" is more than Assessed for HIV risk"&amp;CHAR(10),""),IF(M129&gt;M128," * Tested for Prep Initiation For age "&amp;$L$20&amp;" "&amp;$M$21&amp;" is more than Assessed for HIV risk"&amp;CHAR(10),""),IF(N129&gt;N128," * Tested for Prep Initiation For age "&amp;$N$20&amp;" "&amp;$N$21&amp;" is more than Assessed for HIV risk"&amp;CHAR(10),""),IF(O129&gt;O128," * Tested for Prep Initiation For age "&amp;$N$20&amp;" "&amp;$O$21&amp;" is more than Assessed for HIV risk"&amp;CHAR(10),""),IF(P129&gt;P128," * Tested for Prep Initiation For age "&amp;$P$20&amp;" "&amp;$P$21&amp;" is more than Assessed for HIV risk"&amp;CHAR(10),""),IF(Q129&gt;Q128," * Tested for Prep Initiation For age "&amp;$P$20&amp;" "&amp;$Q$21&amp;" is more than Assessed for HIV risk"&amp;CHAR(10),""),IF(R129&gt;R128," * Tested for Prep Initiation For age "&amp;$R$20&amp;" "&amp;$R$21&amp;" is more than Assessed for HIV risk"&amp;CHAR(10),""),IF(S129&gt;S128," * Tested for Prep Initiation For age "&amp;$R$20&amp;" "&amp;$S$21&amp;" is more than Assessed for HIV risk"&amp;CHAR(10),""),IF(T129&gt;T128," * Tested for Prep Initiation For age "&amp;$T$20&amp;" "&amp;$T$21&amp;" is more than Assessed for HIV risk"&amp;CHAR(10),""),IF(U129&gt;U128," * Tested for Prep Initiation For age "&amp;$T$20&amp;" "&amp;$U$21&amp;" is more than Assessed for HIV risk"&amp;CHAR(10),""),IF(V129&gt;V128," * Tested for Prep Initiation For age "&amp;$V$20&amp;" "&amp;$V$21&amp;" is more than Assessed for HIV risk"&amp;CHAR(10),""),IF(W129&gt;W128," * Tested for Prep Initiation For age "&amp;$V$20&amp;" "&amp;$W$21&amp;" is more than Assessed for HIV risk"&amp;CHAR(10),""),IF(X129&gt;X128," * Tested for Prep Initiation For age "&amp;$X$20&amp;" "&amp;$X$21&amp;" is more than Assessed for HIV risk"&amp;CHAR(10),""),IF(Y129&gt;Y128," * Tested for Prep Initiation For age "&amp;$X$20&amp;" "&amp;$Y$21&amp;" is more than Assessed for HIV risk"&amp;CHAR(10),""),IF(Z129&gt;Z128," * Tested for Prep Initiation For age "&amp;$Z$20&amp;" "&amp;$Z$21&amp;" is more than Assessed for HIV risk"&amp;CHAR(10),""),IF(AA129&gt;AA128," * Tested for Prep Initiation For age "&amp;$Z$20&amp;" "&amp;$AA$21&amp;" is more than Assessed for HIV risk"&amp;CHAR(10),""))</f>
        <v/>
      </c>
      <c r="AL129" s="1312"/>
      <c r="AM129" s="31"/>
      <c r="AN129" s="1477"/>
      <c r="AO129" s="13">
        <v>64</v>
      </c>
      <c r="AP129" s="74"/>
      <c r="AQ129" s="75"/>
    </row>
    <row r="130" spans="1:43" ht="26.25" x14ac:dyDescent="0.4">
      <c r="A130" s="1263"/>
      <c r="B130" s="76" t="s">
        <v>1318</v>
      </c>
      <c r="C130" s="526" t="s">
        <v>516</v>
      </c>
      <c r="D130" s="77"/>
      <c r="E130" s="78"/>
      <c r="F130" s="78"/>
      <c r="G130" s="78"/>
      <c r="H130" s="78"/>
      <c r="I130" s="78"/>
      <c r="J130" s="78"/>
      <c r="K130" s="78"/>
      <c r="L130" s="129"/>
      <c r="M130" s="129"/>
      <c r="N130" s="129"/>
      <c r="O130" s="129"/>
      <c r="P130" s="129"/>
      <c r="Q130" s="129"/>
      <c r="R130" s="129"/>
      <c r="S130" s="129"/>
      <c r="T130" s="129"/>
      <c r="U130" s="129"/>
      <c r="V130" s="129"/>
      <c r="W130" s="129"/>
      <c r="X130" s="129"/>
      <c r="Y130" s="129"/>
      <c r="Z130" s="129"/>
      <c r="AA130" s="303"/>
      <c r="AB130" s="354"/>
      <c r="AC130" s="325"/>
      <c r="AD130" s="325"/>
      <c r="AE130" s="325"/>
      <c r="AF130" s="325"/>
      <c r="AG130" s="325"/>
      <c r="AH130" s="325"/>
      <c r="AI130" s="285"/>
      <c r="AJ130" s="171">
        <f>SUM(J130:AA130)</f>
        <v>0</v>
      </c>
      <c r="AK130" s="130" t="str">
        <f>CONCATENATE(IF(D130&gt;D129," * screened for Prep initiation testing positive For age "&amp;$D$20&amp;" "&amp;$D$21&amp;" is more than HIV tested for PrEP initiation"&amp;CHAR(10),""),IF(E130&gt;E129," * screened for Prep initiation testing positive For age "&amp;$D$20&amp;" "&amp;$E$21&amp;" is more than HIV tested for PrEP initiation"&amp;CHAR(10),""),IF(F130&gt;F129," * screened for Prep initiation testing positive For age "&amp;$F$20&amp;" "&amp;$F$21&amp;" is more than HIV tested for PrEP initiation"&amp;CHAR(10),""),IF(G130&gt;G129," * screened for Prep initiation testing positive For age "&amp;$F$20&amp;" "&amp;$G$21&amp;" is more than HIV tested for PrEP initiation"&amp;CHAR(10),""),IF(H130&gt;H129," * screened for Prep initiation testing positive For age "&amp;$H$20&amp;" "&amp;$H$21&amp;" is more than HIV tested for PrEP initiation"&amp;CHAR(10),""),IF(I130&gt;I129," * screened for Prep initiation testing positive For age "&amp;$H$20&amp;" "&amp;$I$21&amp;" is more than HIV tested for PrEP initiation"&amp;CHAR(10),""),IF(J130&gt;J129," * screened for Prep initiation testing positive For age "&amp;$J$20&amp;" "&amp;$J$21&amp;" is more than HIV tested for PrEP initiation"&amp;CHAR(10),""),IF(K130&gt;K129," * screened for Prep initiation testing positive For age "&amp;$J$20&amp;" "&amp;$K$21&amp;" is more than HIV tested for PrEP initiation"&amp;CHAR(10),""),IF(L130&gt;L129," * screened for Prep initiation testing positive For age "&amp;$L$20&amp;" "&amp;$L$21&amp;" is more than HIV tested for PrEP initiation"&amp;CHAR(10),""),IF(M130&gt;M129," * screened for Prep initiation testing positive For age "&amp;$L$20&amp;" "&amp;$M$21&amp;" is more than HIV tested for PrEP initiation"&amp;CHAR(10),""),IF(N130&gt;N129," * screened for Prep initiation testing positive For age "&amp;$N$20&amp;" "&amp;$N$21&amp;" is more than HIV tested for PrEP initiation"&amp;CHAR(10),""),IF(O130&gt;O129," * screened for Prep initiation testing positive For age "&amp;$N$20&amp;" "&amp;$O$21&amp;" is more than HIV tested for PrEP initiation"&amp;CHAR(10),""),IF(P130&gt;P129," * screened for Prep initiation testing positive For age "&amp;$P$20&amp;" "&amp;$P$21&amp;" is more than HIV tested for PrEP initiation"&amp;CHAR(10),""),IF(Q130&gt;Q129," * screened for Prep initiation testing positive For age "&amp;$P$20&amp;" "&amp;$Q$21&amp;" is more than HIV tested for PrEP initiation"&amp;CHAR(10),""),IF(R130&gt;R129," * screened for Prep initiation testing positive For age "&amp;$R$20&amp;" "&amp;$R$21&amp;" is more than HIV tested for PrEP initiation"&amp;CHAR(10),""),IF(S130&gt;S129," * screened for Prep initiation testing positive For age "&amp;$R$20&amp;" "&amp;$S$21&amp;" is more than HIV tested for PrEP initiation"&amp;CHAR(10),""),IF(T130&gt;T129," * screened for Prep initiation testing positive For age "&amp;$T$20&amp;" "&amp;$T$21&amp;" is more than HIV tested for PrEP initiation"&amp;CHAR(10),""),IF(U130&gt;U129," * screened for Prep initiation testing positive For age "&amp;$T$20&amp;" "&amp;$U$21&amp;" is more than HIV tested for PrEP initiation"&amp;CHAR(10),""),IF(V130&gt;V129," * screened for Prep initiation testing positive For age "&amp;$V$20&amp;" "&amp;$V$21&amp;" is more than HIV tested for PrEP initiation"&amp;CHAR(10),""),IF(W130&gt;W129," * screened for Prep initiation testing positive For age "&amp;$V$20&amp;" "&amp;$W$21&amp;" is more than HIV tested for PrEP initiation"&amp;CHAR(10),""),IF(X130&gt;X129," * screened for Prep initiation testing positive For age "&amp;$X$20&amp;" "&amp;$X$21&amp;" is more than HIV tested for PrEP initiation"&amp;CHAR(10),""),IF(Y130&gt;Y129," * screened for Prep initiation testing positive For age "&amp;$X$20&amp;" "&amp;$Y$21&amp;" is more than HIV tested for PrEP initiation"&amp;CHAR(10),""),IF(Z130&gt;Z129," * screened for Prep initiation testing positive For age "&amp;$Z$20&amp;" "&amp;$Z$21&amp;" is more than HIV tested for PrEP initiation"&amp;CHAR(10),""),IF(AA130&gt;AA129," * screened for Prep initiation testing positive For age "&amp;$Z$20&amp;" "&amp;$AA$21&amp;" is more than HIV tested for PrEP initiation"&amp;CHAR(10),""))</f>
        <v/>
      </c>
      <c r="AL130" s="1312"/>
      <c r="AM130" s="31"/>
      <c r="AN130" s="1477"/>
      <c r="AO130" s="13">
        <v>65</v>
      </c>
      <c r="AP130" s="74"/>
      <c r="AQ130" s="75"/>
    </row>
    <row r="131" spans="1:43" ht="27" thickBot="1" x14ac:dyDescent="0.45">
      <c r="A131" s="1264"/>
      <c r="B131" s="87" t="s">
        <v>1319</v>
      </c>
      <c r="C131" s="808" t="s">
        <v>163</v>
      </c>
      <c r="D131" s="103"/>
      <c r="E131" s="102"/>
      <c r="F131" s="102"/>
      <c r="G131" s="102"/>
      <c r="H131" s="102"/>
      <c r="I131" s="102"/>
      <c r="J131" s="78"/>
      <c r="K131" s="78"/>
      <c r="L131" s="89"/>
      <c r="M131" s="89"/>
      <c r="N131" s="89"/>
      <c r="O131" s="89"/>
      <c r="P131" s="89"/>
      <c r="Q131" s="89"/>
      <c r="R131" s="89"/>
      <c r="S131" s="89"/>
      <c r="T131" s="89"/>
      <c r="U131" s="89"/>
      <c r="V131" s="89"/>
      <c r="W131" s="89"/>
      <c r="X131" s="89"/>
      <c r="Y131" s="89"/>
      <c r="Z131" s="89"/>
      <c r="AA131" s="292"/>
      <c r="AB131" s="354"/>
      <c r="AC131" s="325"/>
      <c r="AD131" s="325"/>
      <c r="AE131" s="325"/>
      <c r="AF131" s="325"/>
      <c r="AG131" s="325"/>
      <c r="AH131" s="325"/>
      <c r="AI131" s="285"/>
      <c r="AJ131" s="184">
        <f>SUM(D131:AA131)</f>
        <v>0</v>
      </c>
      <c r="AK131" s="130" t="str">
        <f>CONCATENATE(IF(D131&gt;(D129-D130)," * Eligible For Prep For age "&amp;$D$20&amp;" "&amp;$D$21&amp;" is more than Clients tested HIV Negative for Prep Initiation"&amp;CHAR(10),""),IF(E131&gt;(E129-E130)," * Eligible For Prep For age "&amp;$D$20&amp;" "&amp;$E$21&amp;" is more than Clients tested HIV Negative for Prep Initiation"&amp;CHAR(10),""),IF(F131&gt;(F129-F130)," * Eligible For Prep For age "&amp;$F$20&amp;" "&amp;$F$21&amp;" is more than Clients tested HIV Negative for Prep Initiation"&amp;CHAR(10),""),IF(G131&gt;(G129-G130)," * Eligible For Prep For age "&amp;$F$20&amp;" "&amp;$G$21&amp;" is more than Clients tested HIV Negative for Prep Initiation"&amp;CHAR(10),""),IF(H131&gt;(H129-H130)," * Eligible For Prep For age "&amp;$H$20&amp;" "&amp;$H$21&amp;" is more than Clients tested HIV Negative for Prep Initiation"&amp;CHAR(10),""),IF(I131&gt;(I129-I130)," * Eligible For Prep For age "&amp;$H$20&amp;" "&amp;$I$21&amp;" is more than Clients tested HIV Negative for Prep Initiation"&amp;CHAR(10),""),IF(J131&gt;(J129-J130)," * Eligible For Prep For age "&amp;$J$20&amp;" "&amp;$J$21&amp;" is more than Clients tested HIV Negative for Prep Initiation"&amp;CHAR(10),""),IF(K131&gt;(K129-K130)," * Eligible For Prep For age "&amp;$J$20&amp;" "&amp;$K$21&amp;" is more than Clients tested HIV Negative for Prep Initiation"&amp;CHAR(10),""),IF(L131&gt;(L129-L130)," * Eligible For Prep For age "&amp;$L$20&amp;" "&amp;$L$21&amp;" is more than Clients tested HIV Negative for Prep Initiation"&amp;CHAR(10),""),IF(M131&gt;(M129-M130)," * Eligible For Prep For age "&amp;$L$20&amp;" "&amp;$M$21&amp;" is more than Clients tested HIV Negative for Prep Initiation"&amp;CHAR(10),""),IF(N131&gt;(N129-N130)," * Eligible For Prep For age "&amp;$N$20&amp;" "&amp;$N$21&amp;" is more than Clients tested HIV Negative for Prep Initiation"&amp;CHAR(10),""),IF(O131&gt;(O129-O130)," * Eligible For Prep For age "&amp;$N$20&amp;" "&amp;$O$21&amp;" is more than Clients tested HIV Negative for Prep Initiation"&amp;CHAR(10),""),IF(P131&gt;(P129-P130)," * Eligible For Prep For age "&amp;$P$20&amp;" "&amp;$P$21&amp;" is more than Clients tested HIV Negative for Prep Initiation"&amp;CHAR(10),""),IF(Q131&gt;(Q129-Q130)," * Eligible For Prep For age "&amp;$P$20&amp;" "&amp;$Q$21&amp;" is more than Clients tested HIV Negative for Prep Initiation"&amp;CHAR(10),""),IF(R131&gt;(R129-R130)," * Eligible For Prep For age "&amp;$R$20&amp;" "&amp;$R$21&amp;" is more than Clients tested HIV Negative for Prep Initiation"&amp;CHAR(10),""),IF(S131&gt;(S129-S130)," * Eligible For Prep For age "&amp;$R$20&amp;" "&amp;$S$21&amp;" is more than Clients tested HIV Negative for Prep Initiation"&amp;CHAR(10),""),IF(T131&gt;(T129-T130)," * Eligible For Prep For age "&amp;$T$20&amp;" "&amp;$T$21&amp;" is more than Clients tested HIV Negative for Prep Initiation"&amp;CHAR(10),""),IF(U131&gt;(U129-U130)," * Eligible For Prep For age "&amp;$T$20&amp;" "&amp;$U$21&amp;" is more than Clients tested HIV Negative for Prep Initiation"&amp;CHAR(10),""),IF(V131&gt;(V129-V130)," * Eligible For Prep For age "&amp;$V$20&amp;" "&amp;$V$21&amp;" is more than Clients tested HIV Negative for Prep Initiation"&amp;CHAR(10),""),IF(W131&gt;(W129-W130)," * Eligible For Prep For age "&amp;$V$20&amp;" "&amp;$W$21&amp;" is more than Clients tested HIV Negative for Prep Initiation"&amp;CHAR(10),""),IF(X131&gt;(X129-X130)," * Eligible For Prep For age "&amp;$X$20&amp;" "&amp;$X$21&amp;" is more than Clients tested HIV Negative for Prep Initiation"&amp;CHAR(10),""),IF(Y131&gt;(Y129-Y130)," * Eligible For Prep For age "&amp;$X$20&amp;" "&amp;$Y$21&amp;" is more than Clients tested HIV Negative for Prep Initiation"&amp;CHAR(10),""),IF(Z131&gt;(Z129-Z130)," * Eligible For Prep For age "&amp;$Z$20&amp;" "&amp;$Z$21&amp;" is more than Clients tested HIV Negative for Prep Initiation"&amp;CHAR(10),""),IF(AA131&gt;(AA129-AA130)," * Eligible For Prep For age "&amp;$Z$20&amp;" "&amp;$AA$21&amp;" is more than Clients tested HIV Negative for Prep Initiation"&amp;CHAR(10),""))</f>
        <v/>
      </c>
      <c r="AL131" s="1312"/>
      <c r="AM131" s="31"/>
      <c r="AN131" s="1477"/>
      <c r="AO131" s="13">
        <v>66</v>
      </c>
      <c r="AP131" s="74"/>
      <c r="AQ131" s="75"/>
    </row>
    <row r="132" spans="1:43" ht="27" thickBot="1" x14ac:dyDescent="0.45">
      <c r="A132" s="863" t="s">
        <v>536</v>
      </c>
      <c r="B132" s="505" t="s">
        <v>584</v>
      </c>
      <c r="C132" s="521" t="s">
        <v>164</v>
      </c>
      <c r="D132" s="506"/>
      <c r="E132" s="442"/>
      <c r="F132" s="442"/>
      <c r="G132" s="442"/>
      <c r="H132" s="442"/>
      <c r="I132" s="442"/>
      <c r="J132" s="509">
        <f t="shared" ref="J132:AA132" si="54">SUM(J133:J141)</f>
        <v>0</v>
      </c>
      <c r="K132" s="509">
        <f t="shared" si="54"/>
        <v>0</v>
      </c>
      <c r="L132" s="509">
        <f t="shared" si="54"/>
        <v>0</v>
      </c>
      <c r="M132" s="509">
        <f t="shared" si="54"/>
        <v>0</v>
      </c>
      <c r="N132" s="509">
        <f t="shared" si="54"/>
        <v>0</v>
      </c>
      <c r="O132" s="509">
        <f t="shared" si="54"/>
        <v>0</v>
      </c>
      <c r="P132" s="509">
        <f t="shared" si="54"/>
        <v>0</v>
      </c>
      <c r="Q132" s="509">
        <f t="shared" si="54"/>
        <v>0</v>
      </c>
      <c r="R132" s="509">
        <f t="shared" si="54"/>
        <v>0</v>
      </c>
      <c r="S132" s="509">
        <f t="shared" si="54"/>
        <v>0</v>
      </c>
      <c r="T132" s="509">
        <f t="shared" si="54"/>
        <v>0</v>
      </c>
      <c r="U132" s="509">
        <f t="shared" si="54"/>
        <v>0</v>
      </c>
      <c r="V132" s="509">
        <f t="shared" si="54"/>
        <v>0</v>
      </c>
      <c r="W132" s="509">
        <f t="shared" si="54"/>
        <v>0</v>
      </c>
      <c r="X132" s="509">
        <f t="shared" si="54"/>
        <v>0</v>
      </c>
      <c r="Y132" s="509">
        <f t="shared" si="54"/>
        <v>0</v>
      </c>
      <c r="Z132" s="509">
        <f t="shared" si="54"/>
        <v>0</v>
      </c>
      <c r="AA132" s="509">
        <f t="shared" si="54"/>
        <v>0</v>
      </c>
      <c r="AB132" s="354"/>
      <c r="AC132" s="325"/>
      <c r="AD132" s="325"/>
      <c r="AE132" s="325"/>
      <c r="AF132" s="325"/>
      <c r="AG132" s="325"/>
      <c r="AH132" s="325"/>
      <c r="AI132" s="285"/>
      <c r="AJ132" s="509">
        <f>SUM(AJ133:AJ141)</f>
        <v>0</v>
      </c>
      <c r="AK132" s="116" t="str">
        <f>CONCATENATE(IF(D132&gt;D131," * Initiated on Prep For age "&amp;$D$20&amp;" "&amp;$D$21&amp;" is more than Eligible for Prep initiation"&amp;CHAR(10),""),IF(E132&gt;E131," * Initiated on Prep For age "&amp;$D$20&amp;" "&amp;$E$21&amp;" is more than Eligible for Prep initiation"&amp;CHAR(10),""),IF(F132&gt;F131," * Initiated on Prep For age "&amp;$F$20&amp;" "&amp;$F$21&amp;" is more than Eligible for Prep initiation"&amp;CHAR(10),""),IF(G132&gt;G131," * Initiated on Prep For age "&amp;$F$20&amp;" "&amp;$G$21&amp;" is more than Eligible for Prep initiation"&amp;CHAR(10),""),IF(H132&gt;H131," * Initiated on Prep For age "&amp;$H$20&amp;" "&amp;$H$21&amp;" is more than Eligible for Prep initiation"&amp;CHAR(10),""),IF(I132&gt;I131," * Initiated on Prep For age "&amp;$H$20&amp;" "&amp;$I$21&amp;" is more than Eligible for Prep initiation"&amp;CHAR(10),""),IF(J132&gt;J131," * Initiated on Prep For age "&amp;$J$20&amp;" "&amp;$J$21&amp;" is more than Eligible for Prep initiation"&amp;CHAR(10),""),IF(K132&gt;K131," * Initiated on Prep For age "&amp;$J$20&amp;" "&amp;$K$21&amp;" is more than Eligible for Prep initiation"&amp;CHAR(10),""),IF(L132&gt;L131," * Initiated on Prep For age "&amp;$L$20&amp;" "&amp;$L$21&amp;" is more than Eligible for Prep initiation"&amp;CHAR(10),""),IF(M132&gt;M131," * Initiated on Prep For age "&amp;$L$20&amp;" "&amp;$M$21&amp;" is more than Eligible for Prep initiation"&amp;CHAR(10),""),IF(N132&gt;N131," * Initiated on Prep For age "&amp;$N$20&amp;" "&amp;$N$21&amp;" is more than Eligible for Prep initiation"&amp;CHAR(10),""),IF(O132&gt;O131," * Initiated on Prep For age "&amp;$N$20&amp;" "&amp;$O$21&amp;" is more than Eligible for Prep initiation"&amp;CHAR(10),""),IF(P132&gt;P131," * Initiated on Prep For age "&amp;$P$20&amp;" "&amp;$P$21&amp;" is more than Eligible for Prep initiation"&amp;CHAR(10),""),IF(Q132&gt;Q131," * Initiated on Prep For age "&amp;$P$20&amp;" "&amp;$Q$21&amp;" is more than Eligible for Prep initiation"&amp;CHAR(10),""),IF(R132&gt;R131," * Initiated on Prep For age "&amp;$R$20&amp;" "&amp;$R$21&amp;" is more than Eligible for Prep initiation"&amp;CHAR(10),""),IF(S132&gt;S131," * Initiated on Prep For age "&amp;$R$20&amp;" "&amp;$S$21&amp;" is more than Eligible for Prep initiation"&amp;CHAR(10),""),IF(T132&gt;T131," * Initiated on Prep For age "&amp;$T$20&amp;" "&amp;$T$21&amp;" is more than Eligible for Prep initiation"&amp;CHAR(10),""),IF(U132&gt;U131," * Initiated on Prep For age "&amp;$T$20&amp;" "&amp;$U$21&amp;" is more than Eligible for Prep initiation"&amp;CHAR(10),""),IF(V132&gt;V131," * Initiated on Prep For age "&amp;$V$20&amp;" "&amp;$V$21&amp;" is more than Eligible for Prep initiation"&amp;CHAR(10),""),IF(W132&gt;W131," * Initiated on Prep For age "&amp;$V$20&amp;" "&amp;$W$21&amp;" is more than Eligible for Prep initiation"&amp;CHAR(10),""),IF(X132&gt;X131," * Initiated on Prep For age "&amp;$X$20&amp;" "&amp;$X$21&amp;" is more than Eligible for Prep initiation"&amp;CHAR(10),""),IF(Y132&gt;Y131," * Initiated on Prep For age "&amp;$X$20&amp;" "&amp;$Y$21&amp;" is more than Eligible for Prep initiation"&amp;CHAR(10),""),IF(Z132&gt;Z131," * Initiated on Prep For age "&amp;$Z$20&amp;" "&amp;$Z$21&amp;" is more than Eligible for Prep initiation"&amp;CHAR(10),""),IF(AA132&gt;AA131," * Initiated on Prep For age "&amp;$Z$20&amp;" "&amp;$AA$21&amp;" is more than Eligible for Prep initiation"&amp;CHAR(10),""))</f>
        <v/>
      </c>
      <c r="AL132" s="1312"/>
      <c r="AM132" s="31"/>
      <c r="AN132" s="1477"/>
      <c r="AO132" s="13">
        <v>67</v>
      </c>
      <c r="AP132" s="74"/>
      <c r="AQ132" s="75"/>
    </row>
    <row r="133" spans="1:43" ht="25.5" hidden="1" customHeight="1" x14ac:dyDescent="0.4">
      <c r="A133" s="1432" t="s">
        <v>529</v>
      </c>
      <c r="B133" s="91" t="s">
        <v>1105</v>
      </c>
      <c r="C133" s="525" t="s">
        <v>1106</v>
      </c>
      <c r="D133" s="98"/>
      <c r="E133" s="99"/>
      <c r="F133" s="99"/>
      <c r="G133" s="99"/>
      <c r="H133" s="99"/>
      <c r="I133" s="99"/>
      <c r="J133" s="78"/>
      <c r="K133" s="78"/>
      <c r="L133" s="94"/>
      <c r="M133" s="94"/>
      <c r="N133" s="94"/>
      <c r="O133" s="94"/>
      <c r="P133" s="94"/>
      <c r="Q133" s="94"/>
      <c r="R133" s="94"/>
      <c r="S133" s="94"/>
      <c r="T133" s="94"/>
      <c r="U133" s="94"/>
      <c r="V133" s="94"/>
      <c r="W133" s="94"/>
      <c r="X133" s="94"/>
      <c r="Y133" s="94"/>
      <c r="Z133" s="94"/>
      <c r="AA133" s="477"/>
      <c r="AB133" s="354"/>
      <c r="AC133" s="325"/>
      <c r="AD133" s="325"/>
      <c r="AE133" s="325"/>
      <c r="AF133" s="325"/>
      <c r="AG133" s="325"/>
      <c r="AH133" s="325"/>
      <c r="AI133" s="285"/>
      <c r="AJ133" s="171">
        <f>SUM(J133:AA133)</f>
        <v>0</v>
      </c>
      <c r="AK133" s="116"/>
      <c r="AL133" s="1312"/>
      <c r="AM133" s="31"/>
      <c r="AN133" s="1477"/>
      <c r="AO133" s="13">
        <v>68</v>
      </c>
      <c r="AP133" s="74"/>
      <c r="AQ133" s="75"/>
    </row>
    <row r="134" spans="1:43" ht="26.25" hidden="1" x14ac:dyDescent="0.4">
      <c r="A134" s="1433"/>
      <c r="B134" s="76" t="s">
        <v>350</v>
      </c>
      <c r="C134" s="526" t="s">
        <v>1107</v>
      </c>
      <c r="D134" s="77"/>
      <c r="E134" s="78"/>
      <c r="F134" s="78"/>
      <c r="G134" s="78"/>
      <c r="H134" s="78"/>
      <c r="I134" s="78"/>
      <c r="J134" s="78"/>
      <c r="K134" s="78"/>
      <c r="L134" s="79"/>
      <c r="M134" s="79"/>
      <c r="N134" s="79"/>
      <c r="O134" s="79"/>
      <c r="P134" s="79"/>
      <c r="Q134" s="79"/>
      <c r="R134" s="79"/>
      <c r="S134" s="79"/>
      <c r="T134" s="79"/>
      <c r="U134" s="79"/>
      <c r="V134" s="79"/>
      <c r="W134" s="79"/>
      <c r="X134" s="79"/>
      <c r="Y134" s="79"/>
      <c r="Z134" s="79"/>
      <c r="AA134" s="478"/>
      <c r="AB134" s="354"/>
      <c r="AC134" s="325"/>
      <c r="AD134" s="325"/>
      <c r="AE134" s="325"/>
      <c r="AF134" s="325"/>
      <c r="AG134" s="325"/>
      <c r="AH134" s="325"/>
      <c r="AI134" s="285"/>
      <c r="AJ134" s="171">
        <f>SUM(J134:AA134)</f>
        <v>0</v>
      </c>
      <c r="AK134" s="116"/>
      <c r="AL134" s="1312"/>
      <c r="AM134" s="31"/>
      <c r="AN134" s="1477"/>
      <c r="AO134" s="13">
        <v>69</v>
      </c>
      <c r="AP134" s="74"/>
      <c r="AQ134" s="75"/>
    </row>
    <row r="135" spans="1:43" ht="27" hidden="1" thickBot="1" x14ac:dyDescent="0.45">
      <c r="A135" s="1433"/>
      <c r="B135" s="76" t="s">
        <v>351</v>
      </c>
      <c r="C135" s="526" t="s">
        <v>1108</v>
      </c>
      <c r="D135" s="77"/>
      <c r="E135" s="78"/>
      <c r="F135" s="78"/>
      <c r="G135" s="78"/>
      <c r="H135" s="78"/>
      <c r="I135" s="78"/>
      <c r="J135" s="78"/>
      <c r="K135" s="78"/>
      <c r="L135" s="79"/>
      <c r="M135" s="78"/>
      <c r="N135" s="79"/>
      <c r="O135" s="78"/>
      <c r="P135" s="79"/>
      <c r="Q135" s="78"/>
      <c r="R135" s="79"/>
      <c r="S135" s="78"/>
      <c r="T135" s="79"/>
      <c r="U135" s="78"/>
      <c r="V135" s="79"/>
      <c r="W135" s="78"/>
      <c r="X135" s="79"/>
      <c r="Y135" s="78"/>
      <c r="Z135" s="79"/>
      <c r="AA135" s="78"/>
      <c r="AB135" s="354"/>
      <c r="AC135" s="325"/>
      <c r="AD135" s="325"/>
      <c r="AE135" s="325"/>
      <c r="AF135" s="325"/>
      <c r="AG135" s="325"/>
      <c r="AH135" s="325"/>
      <c r="AI135" s="285"/>
      <c r="AJ135" s="359">
        <f>SUM(J135:AA135)</f>
        <v>0</v>
      </c>
      <c r="AK135" s="116"/>
      <c r="AL135" s="1312"/>
      <c r="AM135" s="31"/>
      <c r="AN135" s="1477"/>
      <c r="AO135" s="13">
        <v>70</v>
      </c>
      <c r="AP135" s="74"/>
      <c r="AQ135" s="75"/>
    </row>
    <row r="136" spans="1:43" ht="27" hidden="1" thickBot="1" x14ac:dyDescent="0.45">
      <c r="A136" s="1433"/>
      <c r="B136" s="76" t="s">
        <v>352</v>
      </c>
      <c r="C136" s="526" t="s">
        <v>1109</v>
      </c>
      <c r="D136" s="77"/>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354"/>
      <c r="AC136" s="325"/>
      <c r="AD136" s="325"/>
      <c r="AE136" s="325"/>
      <c r="AF136" s="325"/>
      <c r="AG136" s="325"/>
      <c r="AH136" s="325"/>
      <c r="AI136" s="285"/>
      <c r="AJ136" s="739"/>
      <c r="AK136" s="116"/>
      <c r="AL136" s="1312"/>
      <c r="AM136" s="31"/>
      <c r="AN136" s="1477"/>
      <c r="AO136" s="13">
        <v>71</v>
      </c>
      <c r="AP136" s="74"/>
      <c r="AQ136" s="75"/>
    </row>
    <row r="137" spans="1:43" ht="26.25" hidden="1" x14ac:dyDescent="0.4">
      <c r="A137" s="1433"/>
      <c r="B137" s="76" t="s">
        <v>353</v>
      </c>
      <c r="C137" s="526" t="s">
        <v>1110</v>
      </c>
      <c r="D137" s="77"/>
      <c r="E137" s="78"/>
      <c r="F137" s="78"/>
      <c r="G137" s="78"/>
      <c r="H137" s="78"/>
      <c r="I137" s="78"/>
      <c r="J137" s="78"/>
      <c r="K137" s="78"/>
      <c r="L137" s="78"/>
      <c r="M137" s="79"/>
      <c r="N137" s="78"/>
      <c r="O137" s="79"/>
      <c r="P137" s="78"/>
      <c r="Q137" s="79"/>
      <c r="R137" s="78"/>
      <c r="S137" s="79"/>
      <c r="T137" s="78"/>
      <c r="U137" s="79"/>
      <c r="V137" s="78"/>
      <c r="W137" s="79"/>
      <c r="X137" s="78"/>
      <c r="Y137" s="79"/>
      <c r="Z137" s="78"/>
      <c r="AA137" s="478"/>
      <c r="AB137" s="354"/>
      <c r="AC137" s="325"/>
      <c r="AD137" s="325"/>
      <c r="AE137" s="325"/>
      <c r="AF137" s="325"/>
      <c r="AG137" s="325"/>
      <c r="AH137" s="325"/>
      <c r="AI137" s="285"/>
      <c r="AJ137" s="52">
        <f>SUM(J137:AA137)</f>
        <v>0</v>
      </c>
      <c r="AK137" s="116"/>
      <c r="AL137" s="1312"/>
      <c r="AM137" s="31"/>
      <c r="AN137" s="1477"/>
      <c r="AO137" s="13">
        <v>72</v>
      </c>
      <c r="AP137" s="74"/>
      <c r="AQ137" s="75"/>
    </row>
    <row r="138" spans="1:43" ht="27" hidden="1" thickBot="1" x14ac:dyDescent="0.45">
      <c r="A138" s="1433"/>
      <c r="B138" s="87" t="s">
        <v>1115</v>
      </c>
      <c r="C138" s="526" t="s">
        <v>1111</v>
      </c>
      <c r="D138" s="77"/>
      <c r="E138" s="78"/>
      <c r="F138" s="78"/>
      <c r="G138" s="78"/>
      <c r="H138" s="78"/>
      <c r="I138" s="78"/>
      <c r="J138" s="78"/>
      <c r="K138" s="78"/>
      <c r="L138" s="78"/>
      <c r="M138" s="79"/>
      <c r="N138" s="78"/>
      <c r="O138" s="79"/>
      <c r="P138" s="78"/>
      <c r="Q138" s="78"/>
      <c r="R138" s="78"/>
      <c r="S138" s="78"/>
      <c r="T138" s="78"/>
      <c r="U138" s="78"/>
      <c r="V138" s="78"/>
      <c r="W138" s="78"/>
      <c r="X138" s="78"/>
      <c r="Y138" s="78"/>
      <c r="Z138" s="78"/>
      <c r="AA138" s="78"/>
      <c r="AB138" s="354"/>
      <c r="AC138" s="325"/>
      <c r="AD138" s="325"/>
      <c r="AE138" s="325"/>
      <c r="AF138" s="325"/>
      <c r="AG138" s="325"/>
      <c r="AH138" s="325"/>
      <c r="AI138" s="285"/>
      <c r="AJ138" s="184">
        <f>SUM(J138:AA138)</f>
        <v>0</v>
      </c>
      <c r="AK138" s="116"/>
      <c r="AL138" s="1312"/>
      <c r="AM138" s="31"/>
      <c r="AN138" s="1477"/>
      <c r="AO138" s="13">
        <v>73</v>
      </c>
      <c r="AP138" s="74"/>
      <c r="AQ138" s="75"/>
    </row>
    <row r="139" spans="1:43" ht="25.5" hidden="1" customHeight="1" x14ac:dyDescent="0.4">
      <c r="A139" s="1433"/>
      <c r="B139" s="91" t="s">
        <v>1116</v>
      </c>
      <c r="C139" s="526" t="s">
        <v>1112</v>
      </c>
      <c r="D139" s="77"/>
      <c r="E139" s="78"/>
      <c r="F139" s="78"/>
      <c r="G139" s="78"/>
      <c r="H139" s="78"/>
      <c r="I139" s="78"/>
      <c r="J139" s="78"/>
      <c r="K139" s="78"/>
      <c r="L139" s="79"/>
      <c r="M139" s="78"/>
      <c r="N139" s="79"/>
      <c r="O139" s="78"/>
      <c r="P139" s="79"/>
      <c r="Q139" s="78"/>
      <c r="R139" s="79"/>
      <c r="S139" s="78"/>
      <c r="T139" s="79"/>
      <c r="U139" s="78"/>
      <c r="V139" s="79"/>
      <c r="W139" s="78"/>
      <c r="X139" s="79"/>
      <c r="Y139" s="78"/>
      <c r="Z139" s="79"/>
      <c r="AA139" s="78"/>
      <c r="AB139" s="354"/>
      <c r="AC139" s="325"/>
      <c r="AD139" s="325"/>
      <c r="AE139" s="325"/>
      <c r="AF139" s="325"/>
      <c r="AG139" s="325"/>
      <c r="AH139" s="325"/>
      <c r="AI139" s="285"/>
      <c r="AJ139" s="183">
        <f>SUM(J139:AA139)</f>
        <v>0</v>
      </c>
      <c r="AK139" s="130"/>
      <c r="AL139" s="1312"/>
      <c r="AM139" s="31"/>
      <c r="AN139" s="1477"/>
      <c r="AO139" s="13">
        <v>74</v>
      </c>
      <c r="AP139" s="74"/>
      <c r="AQ139" s="75"/>
    </row>
    <row r="140" spans="1:43" ht="27" hidden="1" thickBot="1" x14ac:dyDescent="0.45">
      <c r="A140" s="1433"/>
      <c r="B140" s="76" t="s">
        <v>1117</v>
      </c>
      <c r="C140" s="526" t="s">
        <v>1113</v>
      </c>
      <c r="D140" s="77"/>
      <c r="E140" s="78"/>
      <c r="F140" s="78"/>
      <c r="G140" s="78"/>
      <c r="H140" s="78"/>
      <c r="I140" s="78"/>
      <c r="J140" s="78"/>
      <c r="K140" s="78"/>
      <c r="L140" s="78"/>
      <c r="M140" s="79"/>
      <c r="N140" s="78"/>
      <c r="O140" s="79"/>
      <c r="P140" s="78"/>
      <c r="Q140" s="79"/>
      <c r="R140" s="78"/>
      <c r="S140" s="79"/>
      <c r="T140" s="78"/>
      <c r="U140" s="79"/>
      <c r="V140" s="78"/>
      <c r="W140" s="79"/>
      <c r="X140" s="78"/>
      <c r="Y140" s="79"/>
      <c r="Z140" s="78"/>
      <c r="AA140" s="478"/>
      <c r="AB140" s="354"/>
      <c r="AC140" s="325"/>
      <c r="AD140" s="325"/>
      <c r="AE140" s="325"/>
      <c r="AF140" s="325"/>
      <c r="AG140" s="325"/>
      <c r="AH140" s="325"/>
      <c r="AI140" s="285"/>
      <c r="AJ140" s="171">
        <f>SUM(J140:AA140)</f>
        <v>0</v>
      </c>
      <c r="AK140" s="116"/>
      <c r="AL140" s="1312"/>
      <c r="AM140" s="31"/>
      <c r="AN140" s="1477"/>
      <c r="AO140" s="13">
        <v>75</v>
      </c>
      <c r="AP140" s="74"/>
      <c r="AQ140" s="75"/>
    </row>
    <row r="141" spans="1:43" ht="27" thickBot="1" x14ac:dyDescent="0.45">
      <c r="A141" s="1434"/>
      <c r="B141" s="118" t="s">
        <v>1195</v>
      </c>
      <c r="C141" s="805" t="s">
        <v>1114</v>
      </c>
      <c r="D141" s="131"/>
      <c r="E141" s="120"/>
      <c r="F141" s="120"/>
      <c r="G141" s="120"/>
      <c r="H141" s="120"/>
      <c r="I141" s="120"/>
      <c r="J141" s="120"/>
      <c r="K141" s="509">
        <f>SUM(K142:K143)</f>
        <v>0</v>
      </c>
      <c r="L141" s="120"/>
      <c r="M141" s="509">
        <f>SUM(M142:M143)</f>
        <v>0</v>
      </c>
      <c r="N141" s="120"/>
      <c r="O141" s="509">
        <f>SUM(O142:O143)</f>
        <v>0</v>
      </c>
      <c r="P141" s="120"/>
      <c r="Q141" s="509">
        <f>SUM(Q142:Q143)</f>
        <v>0</v>
      </c>
      <c r="R141" s="120"/>
      <c r="S141" s="509">
        <f>SUM(S142:S143)</f>
        <v>0</v>
      </c>
      <c r="T141" s="120"/>
      <c r="U141" s="509">
        <f>SUM(U142:U143)</f>
        <v>0</v>
      </c>
      <c r="V141" s="120"/>
      <c r="W141" s="509">
        <f>SUM(W142:W143)</f>
        <v>0</v>
      </c>
      <c r="X141" s="120"/>
      <c r="Y141" s="509">
        <f>SUM(Y142:Y143)</f>
        <v>0</v>
      </c>
      <c r="Z141" s="120"/>
      <c r="AA141" s="509">
        <f>SUM(AA142:AA143)</f>
        <v>0</v>
      </c>
      <c r="AB141" s="354"/>
      <c r="AC141" s="325"/>
      <c r="AD141" s="325"/>
      <c r="AE141" s="325"/>
      <c r="AF141" s="325"/>
      <c r="AG141" s="325"/>
      <c r="AH141" s="325"/>
      <c r="AI141" s="285"/>
      <c r="AJ141" s="171">
        <f t="shared" ref="AJ141:AJ149" si="55">SUM(J141:AA141)</f>
        <v>0</v>
      </c>
      <c r="AK141" s="116"/>
      <c r="AL141" s="1312"/>
      <c r="AM141" s="31"/>
      <c r="AN141" s="1477"/>
      <c r="AO141" s="13">
        <v>76</v>
      </c>
      <c r="AP141" s="74"/>
      <c r="AQ141" s="75"/>
    </row>
    <row r="142" spans="1:43" ht="30.75" customHeight="1" x14ac:dyDescent="0.4">
      <c r="A142" s="1435" t="s">
        <v>1206</v>
      </c>
      <c r="B142" s="273" t="s">
        <v>1100</v>
      </c>
      <c r="C142" s="907" t="s">
        <v>1193</v>
      </c>
      <c r="D142" s="812"/>
      <c r="E142" s="813"/>
      <c r="F142" s="813"/>
      <c r="G142" s="813"/>
      <c r="H142" s="813"/>
      <c r="I142" s="813"/>
      <c r="J142" s="78"/>
      <c r="K142" s="78"/>
      <c r="L142" s="813"/>
      <c r="M142" s="814"/>
      <c r="N142" s="813"/>
      <c r="O142" s="814"/>
      <c r="P142" s="813"/>
      <c r="Q142" s="814"/>
      <c r="R142" s="813"/>
      <c r="S142" s="814"/>
      <c r="T142" s="813"/>
      <c r="U142" s="814"/>
      <c r="V142" s="813"/>
      <c r="W142" s="814"/>
      <c r="X142" s="813"/>
      <c r="Y142" s="814"/>
      <c r="Z142" s="813"/>
      <c r="AA142" s="815"/>
      <c r="AB142" s="325"/>
      <c r="AC142" s="325"/>
      <c r="AD142" s="325"/>
      <c r="AE142" s="325"/>
      <c r="AF142" s="325"/>
      <c r="AG142" s="325"/>
      <c r="AH142" s="325"/>
      <c r="AI142" s="285"/>
      <c r="AJ142" s="171">
        <f t="shared" si="55"/>
        <v>0</v>
      </c>
      <c r="AK142" s="806"/>
      <c r="AL142" s="1312"/>
      <c r="AM142" s="31"/>
      <c r="AN142" s="1477"/>
      <c r="AO142" s="13"/>
      <c r="AP142" s="74"/>
      <c r="AQ142" s="75"/>
    </row>
    <row r="143" spans="1:43" ht="27" thickBot="1" x14ac:dyDescent="0.45">
      <c r="A143" s="1436"/>
      <c r="B143" s="928" t="s">
        <v>1101</v>
      </c>
      <c r="C143" s="536" t="s">
        <v>1194</v>
      </c>
      <c r="D143" s="816"/>
      <c r="E143" s="817"/>
      <c r="F143" s="817"/>
      <c r="G143" s="817"/>
      <c r="H143" s="817"/>
      <c r="I143" s="817"/>
      <c r="J143" s="78"/>
      <c r="K143" s="78"/>
      <c r="L143" s="817"/>
      <c r="M143" s="818"/>
      <c r="N143" s="817"/>
      <c r="O143" s="818"/>
      <c r="P143" s="817"/>
      <c r="Q143" s="818"/>
      <c r="R143" s="817"/>
      <c r="S143" s="818"/>
      <c r="T143" s="817"/>
      <c r="U143" s="818"/>
      <c r="V143" s="817"/>
      <c r="W143" s="818"/>
      <c r="X143" s="817"/>
      <c r="Y143" s="818"/>
      <c r="Z143" s="817"/>
      <c r="AA143" s="819"/>
      <c r="AB143" s="325"/>
      <c r="AC143" s="325"/>
      <c r="AD143" s="325"/>
      <c r="AE143" s="325"/>
      <c r="AF143" s="325"/>
      <c r="AG143" s="325"/>
      <c r="AH143" s="325"/>
      <c r="AI143" s="285"/>
      <c r="AJ143" s="171">
        <f t="shared" si="55"/>
        <v>0</v>
      </c>
      <c r="AK143" s="806"/>
      <c r="AL143" s="1312"/>
      <c r="AM143" s="31"/>
      <c r="AN143" s="1477"/>
      <c r="AO143" s="13"/>
      <c r="AP143" s="74"/>
      <c r="AQ143" s="75"/>
    </row>
    <row r="144" spans="1:43" ht="26.25" x14ac:dyDescent="0.4">
      <c r="A144" s="1418" t="s">
        <v>1201</v>
      </c>
      <c r="B144" s="273" t="s">
        <v>1196</v>
      </c>
      <c r="C144" s="907" t="s">
        <v>1198</v>
      </c>
      <c r="D144" s="812"/>
      <c r="E144" s="813"/>
      <c r="F144" s="813"/>
      <c r="G144" s="813"/>
      <c r="H144" s="813"/>
      <c r="I144" s="813"/>
      <c r="J144" s="78"/>
      <c r="K144" s="78"/>
      <c r="L144" s="814"/>
      <c r="M144" s="814"/>
      <c r="N144" s="814"/>
      <c r="O144" s="814"/>
      <c r="P144" s="814"/>
      <c r="Q144" s="814"/>
      <c r="R144" s="814"/>
      <c r="S144" s="814"/>
      <c r="T144" s="814"/>
      <c r="U144" s="814"/>
      <c r="V144" s="814"/>
      <c r="W144" s="814"/>
      <c r="X144" s="814"/>
      <c r="Y144" s="814"/>
      <c r="Z144" s="814"/>
      <c r="AA144" s="814"/>
      <c r="AB144" s="325"/>
      <c r="AC144" s="325"/>
      <c r="AD144" s="325"/>
      <c r="AE144" s="325"/>
      <c r="AF144" s="325"/>
      <c r="AG144" s="325"/>
      <c r="AH144" s="325"/>
      <c r="AI144" s="285"/>
      <c r="AJ144" s="171">
        <f t="shared" si="55"/>
        <v>0</v>
      </c>
      <c r="AK144" s="806" t="str">
        <f>CONCATENATE(IF(D132&lt;&gt;(D144+D145)," * "&amp;A144&amp;" "&amp;$D$20&amp;" "&amp;$D$21&amp;" should be equal to "&amp;B132&amp;""&amp;CHAR(10),""),IF(E132&lt;&gt;(E144+E145)," * "&amp;A144&amp;" "&amp;$D$20&amp;" "&amp;$E$21&amp;" should be equal to "&amp;B132&amp;""&amp;CHAR(10),""),IF(F132&lt;&gt;(F144+F145)," * "&amp;A144&amp;" "&amp;$F$20&amp;" "&amp;$F$21&amp;" should be equal to "&amp;B132&amp;""&amp;CHAR(10),""),IF(G132&lt;&gt;(G144+G145)," * "&amp;A144&amp;" "&amp;$F$20&amp;" "&amp;$G$21&amp;" should be equal to "&amp;B132&amp;""&amp;CHAR(10),""),IF(H132&lt;&gt;(H144+H145)," * "&amp;A144&amp;" "&amp;$H$20&amp;" "&amp;$H$21&amp;" should be equal to "&amp;B132&amp;""&amp;CHAR(10),""),IF(I132&lt;&gt;(I144+I145)," * "&amp;A144&amp;" "&amp;$H$20&amp;" "&amp;$I$21&amp;" should be equal to "&amp;B132&amp;""&amp;CHAR(10),""),IF(J132&lt;&gt;(J144+J145)," * "&amp;A144&amp;" "&amp;$J$20&amp;" "&amp;$J$21&amp;" should be equal to "&amp;B132&amp;""&amp;CHAR(10),""),IF(K132&lt;&gt;(K144+K145)," * "&amp;A144&amp;" "&amp;$J$20&amp;" "&amp;$K$21&amp;" should be equal to "&amp;B132&amp;""&amp;CHAR(10),""),IF(L132&lt;&gt;(L144+L145)," * "&amp;A144&amp;" "&amp;$L$20&amp;" "&amp;$L$21&amp;" should be equal to "&amp;B132&amp;""&amp;CHAR(10),""),IF(M132&lt;&gt;(M144+M145)," * "&amp;A144&amp;" "&amp;$L$20&amp;" "&amp;$M$21&amp;" should be equal to "&amp;B132&amp;""&amp;CHAR(10),""),IF(N132&lt;&gt;(N144+N145)," * "&amp;A144&amp;" "&amp;$N$20&amp;" "&amp;$N$21&amp;" should be equal to "&amp;B132&amp;""&amp;CHAR(10),""),IF(O132&lt;&gt;(O144+O145)," * "&amp;A144&amp;" "&amp;$N$20&amp;" "&amp;$O$21&amp;" should be equal to "&amp;B132&amp;""&amp;CHAR(10),""),IF(P132&lt;&gt;(P144+P145)," * "&amp;A144&amp;" "&amp;$P$20&amp;" "&amp;$P$21&amp;" should be equal to "&amp;B132&amp;""&amp;CHAR(10),""),IF(Q132&lt;&gt;(Q144+Q145)," * "&amp;A144&amp;" "&amp;$P$20&amp;" "&amp;$Q$21&amp;" should be equal to "&amp;B132&amp;""&amp;CHAR(10),""),IF(R132&lt;&gt;(R144+R145)," * "&amp;A144&amp;" "&amp;$R$20&amp;" "&amp;$R$21&amp;" should be equal to "&amp;B132&amp;""&amp;CHAR(10),""),IF(S132&lt;&gt;(S144+S145)," * "&amp;A144&amp;" "&amp;$R$20&amp;" "&amp;$S$21&amp;" should be equal to "&amp;B132&amp;""&amp;CHAR(10),""),IF(T132&lt;&gt;(T144+T145)," * "&amp;A144&amp;" "&amp;$T$20&amp;" "&amp;$T$21&amp;" should be equal to "&amp;B132&amp;""&amp;CHAR(10),""),IF(U132&lt;&gt;(U144+U145)," * "&amp;A144&amp;" "&amp;$T$20&amp;" "&amp;$U$21&amp;" should be equal to "&amp;B132&amp;""&amp;CHAR(10),""),IF(V132&lt;&gt;(V144+V145)," * "&amp;A144&amp;" "&amp;$V$20&amp;" "&amp;$V$21&amp;" should be equal to "&amp;B132&amp;""&amp;CHAR(10),""),IF(W132&lt;&gt;(W144+W145)," * "&amp;A144&amp;" "&amp;$V$20&amp;" "&amp;$W$21&amp;" should be equal to "&amp;B132&amp;""&amp;CHAR(10),""),IF(X132&lt;&gt;(X144+X145)," * "&amp;A144&amp;" "&amp;$X$20&amp;" "&amp;$X$21&amp;" should be equal to "&amp;B132&amp;""&amp;CHAR(10),""),IF(Y132&lt;&gt;(Y144+Y145)," * "&amp;A144&amp;" "&amp;$X$20&amp;" "&amp;$Y$21&amp;" should be equal to "&amp;B132&amp;""&amp;CHAR(10),""),IF(Z132&lt;&gt;(Z144+Z145)," * "&amp;A144&amp;" "&amp;$Z$20&amp;" "&amp;$Z$21&amp;" should be equal to "&amp;B132&amp;""&amp;CHAR(10),""),IF(AA132&lt;&gt;(AA144+AA145)," * "&amp;A144&amp;" "&amp;$Z$20&amp;" "&amp;$AA$21&amp;" should be equal to "&amp;B132&amp;""&amp;CHAR(10),""))</f>
        <v/>
      </c>
      <c r="AL144" s="1312"/>
      <c r="AM144" s="31"/>
      <c r="AN144" s="1477"/>
      <c r="AO144" s="13"/>
      <c r="AP144" s="74"/>
      <c r="AQ144" s="75"/>
    </row>
    <row r="145" spans="1:43" ht="27" thickBot="1" x14ac:dyDescent="0.45">
      <c r="A145" s="1420"/>
      <c r="B145" s="928" t="s">
        <v>1197</v>
      </c>
      <c r="C145" s="536" t="s">
        <v>1199</v>
      </c>
      <c r="D145" s="816"/>
      <c r="E145" s="817"/>
      <c r="F145" s="817"/>
      <c r="G145" s="817"/>
      <c r="H145" s="817"/>
      <c r="I145" s="817"/>
      <c r="J145" s="78"/>
      <c r="K145" s="78"/>
      <c r="L145" s="818"/>
      <c r="M145" s="818"/>
      <c r="N145" s="818"/>
      <c r="O145" s="818"/>
      <c r="P145" s="818"/>
      <c r="Q145" s="818"/>
      <c r="R145" s="818"/>
      <c r="S145" s="818"/>
      <c r="T145" s="818"/>
      <c r="U145" s="818"/>
      <c r="V145" s="818"/>
      <c r="W145" s="818"/>
      <c r="X145" s="818"/>
      <c r="Y145" s="818"/>
      <c r="Z145" s="818"/>
      <c r="AA145" s="818"/>
      <c r="AB145" s="325"/>
      <c r="AC145" s="325"/>
      <c r="AD145" s="325"/>
      <c r="AE145" s="325"/>
      <c r="AF145" s="325"/>
      <c r="AG145" s="325"/>
      <c r="AH145" s="325"/>
      <c r="AI145" s="285"/>
      <c r="AJ145" s="171">
        <f t="shared" si="55"/>
        <v>0</v>
      </c>
      <c r="AK145" s="806"/>
      <c r="AL145" s="1312"/>
      <c r="AM145" s="31"/>
      <c r="AN145" s="1477"/>
      <c r="AO145" s="13"/>
      <c r="AP145" s="74"/>
      <c r="AQ145" s="75"/>
    </row>
    <row r="146" spans="1:43" ht="26.25" x14ac:dyDescent="0.4">
      <c r="A146" s="1418" t="s">
        <v>1320</v>
      </c>
      <c r="B146" s="273" t="s">
        <v>1200</v>
      </c>
      <c r="C146" s="907" t="s">
        <v>1203</v>
      </c>
      <c r="D146" s="812"/>
      <c r="E146" s="813"/>
      <c r="F146" s="813"/>
      <c r="G146" s="813"/>
      <c r="H146" s="813"/>
      <c r="I146" s="813"/>
      <c r="J146" s="78"/>
      <c r="K146" s="78"/>
      <c r="L146" s="814"/>
      <c r="M146" s="814"/>
      <c r="N146" s="814"/>
      <c r="O146" s="814"/>
      <c r="P146" s="814"/>
      <c r="Q146" s="814"/>
      <c r="R146" s="814"/>
      <c r="S146" s="814"/>
      <c r="T146" s="814"/>
      <c r="U146" s="814"/>
      <c r="V146" s="814"/>
      <c r="W146" s="814"/>
      <c r="X146" s="814"/>
      <c r="Y146" s="814"/>
      <c r="Z146" s="814"/>
      <c r="AA146" s="814"/>
      <c r="AB146" s="325"/>
      <c r="AC146" s="325"/>
      <c r="AD146" s="325"/>
      <c r="AE146" s="325"/>
      <c r="AF146" s="325"/>
      <c r="AG146" s="325"/>
      <c r="AH146" s="325"/>
      <c r="AI146" s="285"/>
      <c r="AJ146" s="171">
        <f t="shared" si="55"/>
        <v>0</v>
      </c>
      <c r="AK146" s="806" t="str">
        <f>CONCATENATE(IF(D132&lt;&gt;(D146+D147+D148)," * Total "&amp;A146&amp;" "&amp;$D$20&amp;" "&amp;$D$21&amp;" should be equal to "&amp;B132&amp;""&amp;CHAR(10),""),IF(E132&lt;&gt;(E146+E147+E148)," * Total "&amp;A146&amp;" "&amp;$D$20&amp;" "&amp;$E$21&amp;" should be equal to "&amp;B132&amp;""&amp;CHAR(10),""),IF(F132&lt;&gt;(F146+F147+F148)," * Total "&amp;A146&amp;" "&amp;$F$20&amp;" "&amp;$F$21&amp;" should be equal to "&amp;B132&amp;""&amp;CHAR(10),""),IF(G132&lt;&gt;(G146+G147+G148)," * Total "&amp;A146&amp;" "&amp;$F$20&amp;" "&amp;$G$21&amp;" should be equal to "&amp;B132&amp;""&amp;CHAR(10),""),IF(H132&lt;&gt;(H146+H147+H148)," * Total "&amp;A146&amp;" "&amp;$H$20&amp;" "&amp;$H$21&amp;" should be equal to "&amp;B132&amp;""&amp;CHAR(10),""),IF(I132&lt;&gt;(I146+I147+I148)," * Total "&amp;A146&amp;" "&amp;$H$20&amp;" "&amp;$I$21&amp;" should be equal to "&amp;B132&amp;""&amp;CHAR(10),""),IF(J132&lt;&gt;(J146+J147+J148)," * Total "&amp;A146&amp;" "&amp;$J$20&amp;" "&amp;$J$21&amp;" should be equal to "&amp;B132&amp;""&amp;CHAR(10),""),IF(K132&lt;&gt;(K146+K147+K148)," * Total "&amp;A146&amp;" "&amp;$J$20&amp;" "&amp;$K$21&amp;" should be equal to "&amp;B132&amp;""&amp;CHAR(10),""),IF(L132&lt;&gt;(L146+L147+L148)," * Total "&amp;A146&amp;" "&amp;$L$20&amp;" "&amp;$L$21&amp;" should be equal to "&amp;B132&amp;""&amp;CHAR(10),""),IF(M132&lt;&gt;(M146+M147+M148)," * Total "&amp;A146&amp;" "&amp;$L$20&amp;" "&amp;$M$21&amp;" should be equal to "&amp;B132&amp;""&amp;CHAR(10),""),IF(N132&lt;&gt;(N146+N147+N148)," * Total "&amp;A146&amp;" "&amp;$N$20&amp;" "&amp;$N$21&amp;" should be equal to "&amp;B132&amp;""&amp;CHAR(10),""),IF(O132&lt;&gt;(O146+O147+O148)," * Total "&amp;A146&amp;" "&amp;$N$20&amp;" "&amp;$O$21&amp;" should be equal to "&amp;B132&amp;""&amp;CHAR(10),""),IF(P132&lt;&gt;(P146+P147+P148)," * Total "&amp;A146&amp;" "&amp;$P$20&amp;" "&amp;$P$21&amp;" should be equal to "&amp;B132&amp;""&amp;CHAR(10),""),IF(Q132&lt;&gt;(Q146+Q147+Q148)," * Total "&amp;A146&amp;" "&amp;$P$20&amp;" "&amp;$Q$21&amp;" should be equal to "&amp;B132&amp;""&amp;CHAR(10),""),IF(R132&lt;&gt;(R146+R147+R148)," * Total "&amp;A146&amp;" "&amp;$R$20&amp;" "&amp;$R$21&amp;" should be equal to "&amp;B132&amp;""&amp;CHAR(10),""),IF(S132&lt;&gt;(S146+S147+S148)," * Total "&amp;A146&amp;" "&amp;$R$20&amp;" "&amp;$S$21&amp;" should be equal to "&amp;B132&amp;""&amp;CHAR(10),""),IF(T132&lt;&gt;(T146+T147+T148)," * Total "&amp;A146&amp;" "&amp;$T$20&amp;" "&amp;$T$21&amp;" should be equal to "&amp;B132&amp;""&amp;CHAR(10),""),IF(U132&lt;&gt;(U146+U147+U148)," * Total "&amp;A146&amp;" "&amp;$T$20&amp;" "&amp;$U$21&amp;" should be equal to "&amp;B132&amp;""&amp;CHAR(10),""),IF(V132&lt;&gt;(V146+V147+V148)," * Total "&amp;A146&amp;" "&amp;$V$20&amp;" "&amp;$V$21&amp;" should be equal to "&amp;B132&amp;""&amp;CHAR(10),""),IF(W132&lt;&gt;(W146+W147+W148)," * Total "&amp;A146&amp;" "&amp;$V$20&amp;" "&amp;$W$21&amp;" should be equal to "&amp;B132&amp;""&amp;CHAR(10),""),IF(X132&lt;&gt;(X146+X147+X148)," * Total "&amp;A146&amp;" "&amp;$X$20&amp;" "&amp;$X$21&amp;" should be equal to "&amp;B132&amp;""&amp;CHAR(10),""),IF(Y132&lt;&gt;(Y146+Y147+Y148)," * Total "&amp;A146&amp;" "&amp;$X$20&amp;" "&amp;$Y$21&amp;" should be equal to "&amp;B132&amp;""&amp;CHAR(10),""),IF(Z132&lt;&gt;(Z146+Z147+Z148)," * Total "&amp;A146&amp;" "&amp;$Z$20&amp;" "&amp;$Z$21&amp;" should be equal to "&amp;B132&amp;""&amp;CHAR(10),""),IF(AA132&lt;&gt;(AA146+AA147+AA148)," * Total "&amp;A146&amp;" "&amp;$Z$20&amp;" "&amp;$AA$21&amp;" should be equal to "&amp;B132&amp;""&amp;CHAR(10),""))</f>
        <v/>
      </c>
      <c r="AL146" s="1312"/>
      <c r="AM146" s="31"/>
      <c r="AN146" s="1477"/>
      <c r="AO146" s="13"/>
      <c r="AP146" s="74"/>
      <c r="AQ146" s="75"/>
    </row>
    <row r="147" spans="1:43" ht="26.25" x14ac:dyDescent="0.4">
      <c r="A147" s="1419"/>
      <c r="B147" s="911" t="s">
        <v>1202</v>
      </c>
      <c r="C147" s="528" t="s">
        <v>1204</v>
      </c>
      <c r="D147" s="820"/>
      <c r="E147" s="821"/>
      <c r="F147" s="821"/>
      <c r="G147" s="821"/>
      <c r="H147" s="821"/>
      <c r="I147" s="821"/>
      <c r="J147" s="821"/>
      <c r="K147" s="821"/>
      <c r="L147" s="821"/>
      <c r="M147" s="821"/>
      <c r="N147" s="821"/>
      <c r="O147" s="821"/>
      <c r="P147" s="821"/>
      <c r="Q147" s="821"/>
      <c r="R147" s="821"/>
      <c r="S147" s="821"/>
      <c r="T147" s="821"/>
      <c r="U147" s="821"/>
      <c r="V147" s="821"/>
      <c r="W147" s="821"/>
      <c r="X147" s="821"/>
      <c r="Y147" s="821"/>
      <c r="Z147" s="821"/>
      <c r="AA147" s="821"/>
      <c r="AB147" s="325"/>
      <c r="AC147" s="325"/>
      <c r="AD147" s="325"/>
      <c r="AE147" s="325"/>
      <c r="AF147" s="325"/>
      <c r="AG147" s="325"/>
      <c r="AH147" s="325"/>
      <c r="AI147" s="285"/>
      <c r="AJ147" s="171">
        <f t="shared" si="55"/>
        <v>0</v>
      </c>
      <c r="AK147" s="806"/>
      <c r="AL147" s="1312"/>
      <c r="AM147" s="31"/>
      <c r="AN147" s="1477"/>
      <c r="AO147" s="13"/>
      <c r="AP147" s="74"/>
      <c r="AQ147" s="75"/>
    </row>
    <row r="148" spans="1:43" ht="27" thickBot="1" x14ac:dyDescent="0.45">
      <c r="A148" s="1420"/>
      <c r="B148" s="928" t="s">
        <v>21</v>
      </c>
      <c r="C148" s="536" t="s">
        <v>1205</v>
      </c>
      <c r="D148" s="816"/>
      <c r="E148" s="817"/>
      <c r="F148" s="817"/>
      <c r="G148" s="817"/>
      <c r="H148" s="817"/>
      <c r="I148" s="817"/>
      <c r="J148" s="817"/>
      <c r="K148" s="817"/>
      <c r="L148" s="817"/>
      <c r="M148" s="817"/>
      <c r="N148" s="817"/>
      <c r="O148" s="817"/>
      <c r="P148" s="817"/>
      <c r="Q148" s="817"/>
      <c r="R148" s="817"/>
      <c r="S148" s="817"/>
      <c r="T148" s="817"/>
      <c r="U148" s="817"/>
      <c r="V148" s="817"/>
      <c r="W148" s="817"/>
      <c r="X148" s="817"/>
      <c r="Y148" s="817"/>
      <c r="Z148" s="817"/>
      <c r="AA148" s="817"/>
      <c r="AB148" s="325"/>
      <c r="AC148" s="325"/>
      <c r="AD148" s="325"/>
      <c r="AE148" s="325"/>
      <c r="AF148" s="325"/>
      <c r="AG148" s="325"/>
      <c r="AH148" s="325"/>
      <c r="AI148" s="285"/>
      <c r="AJ148" s="171">
        <f t="shared" si="55"/>
        <v>0</v>
      </c>
      <c r="AK148" s="806"/>
      <c r="AL148" s="1312"/>
      <c r="AM148" s="31"/>
      <c r="AN148" s="1477"/>
      <c r="AO148" s="13"/>
      <c r="AP148" s="74"/>
      <c r="AQ148" s="75"/>
    </row>
    <row r="149" spans="1:43" ht="30.75" hidden="1" customHeight="1" thickBot="1" x14ac:dyDescent="0.45">
      <c r="A149" s="927" t="s">
        <v>1212</v>
      </c>
      <c r="B149" s="273" t="s">
        <v>1213</v>
      </c>
      <c r="C149" s="907" t="s">
        <v>1214</v>
      </c>
      <c r="D149" s="812"/>
      <c r="E149" s="813"/>
      <c r="F149" s="813"/>
      <c r="G149" s="813"/>
      <c r="H149" s="813"/>
      <c r="I149" s="813"/>
      <c r="J149" s="78"/>
      <c r="K149" s="78"/>
      <c r="L149" s="814"/>
      <c r="M149" s="814"/>
      <c r="N149" s="814"/>
      <c r="O149" s="814"/>
      <c r="P149" s="814"/>
      <c r="Q149" s="814"/>
      <c r="R149" s="814"/>
      <c r="S149" s="814"/>
      <c r="T149" s="814"/>
      <c r="U149" s="814"/>
      <c r="V149" s="814"/>
      <c r="W149" s="814"/>
      <c r="X149" s="814"/>
      <c r="Y149" s="814"/>
      <c r="Z149" s="814"/>
      <c r="AA149" s="814"/>
      <c r="AB149" s="325"/>
      <c r="AC149" s="325"/>
      <c r="AD149" s="325"/>
      <c r="AE149" s="325"/>
      <c r="AF149" s="325"/>
      <c r="AG149" s="325"/>
      <c r="AH149" s="325"/>
      <c r="AI149" s="285"/>
      <c r="AJ149" s="171">
        <f t="shared" si="55"/>
        <v>0</v>
      </c>
      <c r="AK149" s="811" t="str">
        <f>CONCATENATE(IF(D149&gt;D132," * Newly Initiated on Event-Driven Prep For age "&amp;$D$20&amp;" "&amp;$D$21&amp;" Should not be more than Initiated(New) on Prep"&amp;CHAR(10),""),IF(E149&gt;E132," * Newly Initiated on Event-Driven Prep For age "&amp;$D$20&amp;" "&amp;$E$21&amp;" Should not be more than Initiated(New) on Prep"&amp;CHAR(10),""),IF(F149&gt;F132," * Newly Initiated on Event-Driven Prep For age "&amp;$F$20&amp;" "&amp;$F$21&amp;" Should not be more than Initiated(New) on Prep"&amp;CHAR(10),""),IF(G149&gt;G132," * Newly Initiated on Event-Driven Prep For age "&amp;$F$20&amp;" "&amp;$G$21&amp;" Should not be more than Initiated(New) on Prep"&amp;CHAR(10),""),IF(H149&gt;H132," * Newly Initiated on Event-Driven Prep For age "&amp;$H$20&amp;" "&amp;$H$21&amp;" Should not be more than Initiated(New) on Prep"&amp;CHAR(10),""),IF(I149&gt;I132," * Newly Initiated on Event-Driven Prep For age "&amp;$H$20&amp;" "&amp;$I$21&amp;" Should not be more than Initiated(New) on Prep"&amp;CHAR(10),""),IF(J149&gt;J132," * Newly Initiated on Event-Driven Prep For age "&amp;$J$20&amp;" "&amp;$J$21&amp;" Should not be more than Initiated(New) on Prep"&amp;CHAR(10),""),IF(K149&gt;K132," * Newly Initiated on Event-Driven Prep For age "&amp;$J$20&amp;" "&amp;$K$21&amp;" Should not be more than Initiated(New) on Prep"&amp;CHAR(10),""),IF(L149&gt;L132," * Newly Initiated on Event-Driven Prep For age "&amp;$L$20&amp;" "&amp;$L$21&amp;" Should not be more than Initiated(New) on Prep"&amp;CHAR(10),""),IF(M149&gt;M132," * Newly Initiated on Event-Driven Prep For age "&amp;$L$20&amp;" "&amp;$M$21&amp;" Should not be more than Initiated(New) on Prep"&amp;CHAR(10),""),IF(N149&gt;N132," * Newly Initiated on Event-Driven Prep For age "&amp;$N$20&amp;" "&amp;$N$21&amp;" Should not be more than Initiated(New) on Prep"&amp;CHAR(10),""),IF(O149&gt;O132," * Newly Initiated on Event-Driven Prep For age "&amp;$N$20&amp;" "&amp;$O$21&amp;" Should not be more than Initiated(New) on Prep"&amp;CHAR(10),""),IF(P149&gt;P132," * Newly Initiated on Event-Driven Prep For age "&amp;$P$20&amp;" "&amp;$P$21&amp;" Should not be more than Initiated(New) on Prep"&amp;CHAR(10),""),IF(Q149&gt;Q132," * Newly Initiated on Event-Driven Prep For age "&amp;$P$20&amp;" "&amp;$Q$21&amp;" Should not be more than Initiated(New) on Prep"&amp;CHAR(10),""),IF(R149&gt;R132," * Newly Initiated on Event-Driven Prep For age "&amp;$R$20&amp;" "&amp;$R$21&amp;" Should not be more than Initiated(New) on Prep"&amp;CHAR(10),""),IF(S149&gt;S132," * Newly Initiated on Event-Driven Prep For age "&amp;$R$20&amp;" "&amp;$S$21&amp;" Should not be more than Initiated(New) on Prep"&amp;CHAR(10),""),IF(T149&gt;T132," * Newly Initiated on Event-Driven Prep For age "&amp;$T$20&amp;" "&amp;$T$21&amp;" Should not be more than Initiated(New) on Prep"&amp;CHAR(10),""),IF(U149&gt;U132," * Newly Initiated on Event-Driven Prep For age "&amp;$T$20&amp;" "&amp;$U$21&amp;" Should not be more than Initiated(New) on Prep"&amp;CHAR(10),""),IF(V149&gt;V132," * Newly Initiated on Event-Driven Prep For age "&amp;$V$20&amp;" "&amp;$V$21&amp;" Should not be more than Initiated(New) on Prep"&amp;CHAR(10),""),IF(W149&gt;W132," * Newly Initiated on Event-Driven Prep For age "&amp;$V$20&amp;" "&amp;$W$21&amp;" Should not be more than Initiated(New) on Prep"&amp;CHAR(10),""),IF(X149&gt;X132," * Newly Initiated on Event-Driven Prep For age "&amp;$X$20&amp;" "&amp;$X$21&amp;" Should not be more than Initiated(New) on Prep"&amp;CHAR(10),""),IF(Y149&gt;Y132," * Newly Initiated on Event-Driven Prep For age "&amp;$X$20&amp;" "&amp;$Y$21&amp;" Should not be more than Initiated(New) on Prep"&amp;CHAR(10),""),IF(Z149&gt;Z132," * Newly Initiated on Event-Driven Prep For age "&amp;$Z$20&amp;" "&amp;$Z$21&amp;" Should not be more than Initiated(New) on Prep"&amp;CHAR(10),""),IF(AA149&gt;AA132," * Newly Initiated on Event-Driven Prep For age "&amp;$Z$20&amp;" "&amp;$AA$21&amp;" Should not be more than Initiated(New) on Prep"&amp;CHAR(10),""))</f>
        <v/>
      </c>
      <c r="AL149" s="1312"/>
      <c r="AM149" s="31"/>
      <c r="AN149" s="1477"/>
      <c r="AO149" s="13"/>
      <c r="AP149" s="74"/>
      <c r="AQ149" s="75"/>
    </row>
    <row r="150" spans="1:43" ht="25.9" hidden="1" customHeight="1" thickBot="1" x14ac:dyDescent="0.45">
      <c r="A150" s="864"/>
      <c r="B150" s="485" t="s">
        <v>598</v>
      </c>
      <c r="C150" s="536" t="s">
        <v>165</v>
      </c>
      <c r="D150" s="507"/>
      <c r="E150" s="480"/>
      <c r="F150" s="480"/>
      <c r="G150" s="480"/>
      <c r="H150" s="480"/>
      <c r="I150" s="480"/>
      <c r="J150" s="377"/>
      <c r="K150" s="377"/>
      <c r="L150" s="377"/>
      <c r="M150" s="377"/>
      <c r="N150" s="377"/>
      <c r="O150" s="377"/>
      <c r="P150" s="377"/>
      <c r="Q150" s="377"/>
      <c r="R150" s="377"/>
      <c r="S150" s="377"/>
      <c r="T150" s="377"/>
      <c r="U150" s="377"/>
      <c r="V150" s="377"/>
      <c r="W150" s="377"/>
      <c r="X150" s="377"/>
      <c r="Y150" s="377"/>
      <c r="Z150" s="377"/>
      <c r="AA150" s="508"/>
      <c r="AB150" s="354"/>
      <c r="AC150" s="325"/>
      <c r="AD150" s="325"/>
      <c r="AE150" s="325"/>
      <c r="AF150" s="325"/>
      <c r="AG150" s="325"/>
      <c r="AH150" s="325"/>
      <c r="AI150" s="285"/>
      <c r="AJ150" s="171">
        <f t="shared" ref="AJ150:AJ158" si="56">SUM(J150:AA150)</f>
        <v>0</v>
      </c>
      <c r="AK150" s="30"/>
      <c r="AL150" s="1312"/>
      <c r="AM150" s="31"/>
      <c r="AN150" s="1477"/>
      <c r="AO150" s="13">
        <v>77</v>
      </c>
      <c r="AP150" s="74"/>
      <c r="AQ150" s="75"/>
    </row>
    <row r="151" spans="1:43" ht="137.25" customHeight="1" thickBot="1" x14ac:dyDescent="0.45">
      <c r="A151" s="864" t="s">
        <v>1321</v>
      </c>
      <c r="B151" s="962" t="s">
        <v>1322</v>
      </c>
      <c r="C151" s="544" t="s">
        <v>911</v>
      </c>
      <c r="D151" s="963"/>
      <c r="E151" s="214"/>
      <c r="F151" s="214"/>
      <c r="G151" s="214"/>
      <c r="H151" s="214"/>
      <c r="I151" s="214"/>
      <c r="J151" s="214"/>
      <c r="K151" s="214"/>
      <c r="L151" s="215"/>
      <c r="M151" s="215"/>
      <c r="N151" s="215"/>
      <c r="O151" s="215"/>
      <c r="P151" s="215"/>
      <c r="Q151" s="215"/>
      <c r="R151" s="215"/>
      <c r="S151" s="215"/>
      <c r="T151" s="215"/>
      <c r="U151" s="215"/>
      <c r="V151" s="215"/>
      <c r="W151" s="215"/>
      <c r="X151" s="215"/>
      <c r="Y151" s="215"/>
      <c r="Z151" s="215"/>
      <c r="AA151" s="964"/>
      <c r="AB151" s="354"/>
      <c r="AC151" s="325"/>
      <c r="AD151" s="325"/>
      <c r="AE151" s="325"/>
      <c r="AF151" s="325"/>
      <c r="AG151" s="325"/>
      <c r="AH151" s="325"/>
      <c r="AI151" s="285"/>
      <c r="AJ151" s="171">
        <f t="shared" si="56"/>
        <v>0</v>
      </c>
      <c r="AK151" s="30"/>
      <c r="AL151" s="1312"/>
      <c r="AM151" s="31"/>
      <c r="AN151" s="1477"/>
      <c r="AO151" s="13"/>
      <c r="AP151" s="74"/>
      <c r="AQ151" s="75"/>
    </row>
    <row r="152" spans="1:43" ht="53.25" hidden="1" customHeight="1" thickBot="1" x14ac:dyDescent="0.45">
      <c r="A152" s="865" t="s">
        <v>749</v>
      </c>
      <c r="B152" s="959" t="s">
        <v>901</v>
      </c>
      <c r="C152" s="945" t="s">
        <v>517</v>
      </c>
      <c r="D152" s="70"/>
      <c r="E152" s="71"/>
      <c r="F152" s="71"/>
      <c r="G152" s="71"/>
      <c r="H152" s="71"/>
      <c r="I152" s="71"/>
      <c r="J152" s="71">
        <f>SUM(J153:J158)</f>
        <v>0</v>
      </c>
      <c r="K152" s="71">
        <f t="shared" ref="K152:AA152" si="57">SUM(K153:K158)</f>
        <v>0</v>
      </c>
      <c r="L152" s="960">
        <f t="shared" si="57"/>
        <v>0</v>
      </c>
      <c r="M152" s="960">
        <f t="shared" si="57"/>
        <v>0</v>
      </c>
      <c r="N152" s="960">
        <f t="shared" si="57"/>
        <v>0</v>
      </c>
      <c r="O152" s="960">
        <f t="shared" si="57"/>
        <v>0</v>
      </c>
      <c r="P152" s="960">
        <f t="shared" si="57"/>
        <v>0</v>
      </c>
      <c r="Q152" s="960">
        <f t="shared" si="57"/>
        <v>0</v>
      </c>
      <c r="R152" s="960">
        <f t="shared" si="57"/>
        <v>0</v>
      </c>
      <c r="S152" s="960">
        <f t="shared" si="57"/>
        <v>0</v>
      </c>
      <c r="T152" s="960">
        <f t="shared" si="57"/>
        <v>0</v>
      </c>
      <c r="U152" s="960">
        <f t="shared" si="57"/>
        <v>0</v>
      </c>
      <c r="V152" s="960">
        <f t="shared" si="57"/>
        <v>0</v>
      </c>
      <c r="W152" s="960">
        <f t="shared" si="57"/>
        <v>0</v>
      </c>
      <c r="X152" s="960">
        <f t="shared" si="57"/>
        <v>0</v>
      </c>
      <c r="Y152" s="960">
        <f t="shared" si="57"/>
        <v>0</v>
      </c>
      <c r="Z152" s="960">
        <f t="shared" si="57"/>
        <v>0</v>
      </c>
      <c r="AA152" s="961">
        <f t="shared" si="57"/>
        <v>0</v>
      </c>
      <c r="AB152" s="354"/>
      <c r="AC152" s="325"/>
      <c r="AD152" s="325"/>
      <c r="AE152" s="325"/>
      <c r="AF152" s="325"/>
      <c r="AG152" s="325"/>
      <c r="AH152" s="325"/>
      <c r="AI152" s="285"/>
      <c r="AJ152" s="358">
        <f t="shared" si="56"/>
        <v>0</v>
      </c>
      <c r="AK152" s="30"/>
      <c r="AL152" s="1312"/>
      <c r="AM152" s="31"/>
      <c r="AN152" s="1477"/>
      <c r="AO152" s="13">
        <v>78</v>
      </c>
      <c r="AP152" s="74"/>
      <c r="AQ152" s="75"/>
    </row>
    <row r="153" spans="1:43" ht="26.25" hidden="1" customHeight="1" x14ac:dyDescent="0.4">
      <c r="A153" s="1262" t="s">
        <v>528</v>
      </c>
      <c r="B153" s="76" t="s">
        <v>355</v>
      </c>
      <c r="C153" s="526" t="s">
        <v>537</v>
      </c>
      <c r="D153" s="77"/>
      <c r="E153" s="78"/>
      <c r="F153" s="78"/>
      <c r="G153" s="78"/>
      <c r="H153" s="78"/>
      <c r="I153" s="78"/>
      <c r="J153" s="78"/>
      <c r="K153" s="78"/>
      <c r="L153" s="79"/>
      <c r="M153" s="79"/>
      <c r="N153" s="79"/>
      <c r="O153" s="79"/>
      <c r="P153" s="79"/>
      <c r="Q153" s="79"/>
      <c r="R153" s="79"/>
      <c r="S153" s="79"/>
      <c r="T153" s="79"/>
      <c r="U153" s="79"/>
      <c r="V153" s="79"/>
      <c r="W153" s="79"/>
      <c r="X153" s="79"/>
      <c r="Y153" s="79"/>
      <c r="Z153" s="79"/>
      <c r="AA153" s="290"/>
      <c r="AB153" s="354"/>
      <c r="AC153" s="325"/>
      <c r="AD153" s="325"/>
      <c r="AE153" s="325"/>
      <c r="AF153" s="325"/>
      <c r="AG153" s="325"/>
      <c r="AH153" s="325"/>
      <c r="AI153" s="285"/>
      <c r="AJ153" s="171">
        <f t="shared" si="56"/>
        <v>0</v>
      </c>
      <c r="AK153" s="116"/>
      <c r="AL153" s="1312"/>
      <c r="AM153" s="31"/>
      <c r="AN153" s="1477"/>
      <c r="AO153" s="13">
        <v>79</v>
      </c>
      <c r="AP153" s="74"/>
      <c r="AQ153" s="75"/>
    </row>
    <row r="154" spans="1:43" ht="26.25" hidden="1" customHeight="1" x14ac:dyDescent="0.4">
      <c r="A154" s="1263"/>
      <c r="B154" s="76" t="s">
        <v>350</v>
      </c>
      <c r="C154" s="526" t="s">
        <v>538</v>
      </c>
      <c r="D154" s="77"/>
      <c r="E154" s="78"/>
      <c r="F154" s="78"/>
      <c r="G154" s="78"/>
      <c r="H154" s="78"/>
      <c r="I154" s="78"/>
      <c r="J154" s="78"/>
      <c r="K154" s="78"/>
      <c r="L154" s="79"/>
      <c r="M154" s="79"/>
      <c r="N154" s="79"/>
      <c r="O154" s="79"/>
      <c r="P154" s="79"/>
      <c r="Q154" s="79"/>
      <c r="R154" s="79"/>
      <c r="S154" s="79"/>
      <c r="T154" s="79"/>
      <c r="U154" s="79"/>
      <c r="V154" s="79"/>
      <c r="W154" s="79"/>
      <c r="X154" s="79"/>
      <c r="Y154" s="79"/>
      <c r="Z154" s="79"/>
      <c r="AA154" s="290"/>
      <c r="AB154" s="354"/>
      <c r="AC154" s="325"/>
      <c r="AD154" s="325"/>
      <c r="AE154" s="325"/>
      <c r="AF154" s="325"/>
      <c r="AG154" s="325"/>
      <c r="AH154" s="325"/>
      <c r="AI154" s="285"/>
      <c r="AJ154" s="171">
        <f t="shared" si="56"/>
        <v>0</v>
      </c>
      <c r="AK154" s="116"/>
      <c r="AL154" s="1312"/>
      <c r="AM154" s="31"/>
      <c r="AN154" s="1477"/>
      <c r="AO154" s="13">
        <v>80</v>
      </c>
      <c r="AP154" s="74"/>
      <c r="AQ154" s="75"/>
    </row>
    <row r="155" spans="1:43" ht="26.25" hidden="1" customHeight="1" x14ac:dyDescent="0.4">
      <c r="A155" s="1263"/>
      <c r="B155" s="76" t="s">
        <v>351</v>
      </c>
      <c r="C155" s="526" t="s">
        <v>539</v>
      </c>
      <c r="D155" s="77"/>
      <c r="E155" s="78"/>
      <c r="F155" s="78"/>
      <c r="G155" s="78"/>
      <c r="H155" s="78"/>
      <c r="I155" s="78"/>
      <c r="J155" s="78"/>
      <c r="K155" s="78"/>
      <c r="L155" s="79"/>
      <c r="M155" s="79"/>
      <c r="N155" s="79"/>
      <c r="O155" s="79"/>
      <c r="P155" s="79"/>
      <c r="Q155" s="79"/>
      <c r="R155" s="79"/>
      <c r="S155" s="79"/>
      <c r="T155" s="79"/>
      <c r="U155" s="79"/>
      <c r="V155" s="79"/>
      <c r="W155" s="79"/>
      <c r="X155" s="79"/>
      <c r="Y155" s="79"/>
      <c r="Z155" s="79"/>
      <c r="AA155" s="290"/>
      <c r="AB155" s="354"/>
      <c r="AC155" s="325"/>
      <c r="AD155" s="325"/>
      <c r="AE155" s="325"/>
      <c r="AF155" s="325"/>
      <c r="AG155" s="325"/>
      <c r="AH155" s="325"/>
      <c r="AI155" s="285"/>
      <c r="AJ155" s="171">
        <f t="shared" si="56"/>
        <v>0</v>
      </c>
      <c r="AK155" s="116"/>
      <c r="AL155" s="1312"/>
      <c r="AM155" s="31"/>
      <c r="AN155" s="1477"/>
      <c r="AO155" s="13">
        <v>81</v>
      </c>
      <c r="AP155" s="74"/>
      <c r="AQ155" s="75"/>
    </row>
    <row r="156" spans="1:43" ht="26.25" hidden="1" customHeight="1" x14ac:dyDescent="0.4">
      <c r="A156" s="1263"/>
      <c r="B156" s="76" t="s">
        <v>352</v>
      </c>
      <c r="C156" s="526" t="s">
        <v>540</v>
      </c>
      <c r="D156" s="77"/>
      <c r="E156" s="78"/>
      <c r="F156" s="78"/>
      <c r="G156" s="78"/>
      <c r="H156" s="78"/>
      <c r="I156" s="78"/>
      <c r="J156" s="78"/>
      <c r="K156" s="78"/>
      <c r="L156" s="79"/>
      <c r="M156" s="79"/>
      <c r="N156" s="79"/>
      <c r="O156" s="79"/>
      <c r="P156" s="79"/>
      <c r="Q156" s="79"/>
      <c r="R156" s="79"/>
      <c r="S156" s="79"/>
      <c r="T156" s="79"/>
      <c r="U156" s="79"/>
      <c r="V156" s="79"/>
      <c r="W156" s="79"/>
      <c r="X156" s="79"/>
      <c r="Y156" s="79"/>
      <c r="Z156" s="79"/>
      <c r="AA156" s="290"/>
      <c r="AB156" s="354"/>
      <c r="AC156" s="325"/>
      <c r="AD156" s="325"/>
      <c r="AE156" s="325"/>
      <c r="AF156" s="325"/>
      <c r="AG156" s="325"/>
      <c r="AH156" s="325"/>
      <c r="AI156" s="285"/>
      <c r="AJ156" s="171">
        <f t="shared" si="56"/>
        <v>0</v>
      </c>
      <c r="AK156" s="116"/>
      <c r="AL156" s="1312"/>
      <c r="AM156" s="31"/>
      <c r="AN156" s="1477"/>
      <c r="AO156" s="13">
        <v>82</v>
      </c>
      <c r="AP156" s="74"/>
      <c r="AQ156" s="75"/>
    </row>
    <row r="157" spans="1:43" ht="26.25" hidden="1" customHeight="1" x14ac:dyDescent="0.4">
      <c r="A157" s="1263"/>
      <c r="B157" s="76" t="s">
        <v>353</v>
      </c>
      <c r="C157" s="526" t="s">
        <v>541</v>
      </c>
      <c r="D157" s="77"/>
      <c r="E157" s="78"/>
      <c r="F157" s="78"/>
      <c r="G157" s="78"/>
      <c r="H157" s="78"/>
      <c r="I157" s="78"/>
      <c r="J157" s="78"/>
      <c r="K157" s="78"/>
      <c r="L157" s="79"/>
      <c r="M157" s="79"/>
      <c r="N157" s="79"/>
      <c r="O157" s="79"/>
      <c r="P157" s="79"/>
      <c r="Q157" s="79"/>
      <c r="R157" s="79"/>
      <c r="S157" s="79"/>
      <c r="T157" s="79"/>
      <c r="U157" s="79"/>
      <c r="V157" s="79"/>
      <c r="W157" s="79"/>
      <c r="X157" s="79"/>
      <c r="Y157" s="79"/>
      <c r="Z157" s="79"/>
      <c r="AA157" s="290"/>
      <c r="AB157" s="354"/>
      <c r="AC157" s="325"/>
      <c r="AD157" s="325"/>
      <c r="AE157" s="325"/>
      <c r="AF157" s="325"/>
      <c r="AG157" s="325"/>
      <c r="AH157" s="325"/>
      <c r="AI157" s="285"/>
      <c r="AJ157" s="171">
        <f t="shared" si="56"/>
        <v>0</v>
      </c>
      <c r="AK157" s="116"/>
      <c r="AL157" s="1312"/>
      <c r="AM157" s="31"/>
      <c r="AN157" s="1477"/>
      <c r="AO157" s="13">
        <v>83</v>
      </c>
      <c r="AP157" s="74"/>
      <c r="AQ157" s="75"/>
    </row>
    <row r="158" spans="1:43" ht="27" hidden="1" customHeight="1" thickBot="1" x14ac:dyDescent="0.45">
      <c r="A158" s="1264"/>
      <c r="B158" s="118" t="s">
        <v>354</v>
      </c>
      <c r="C158" s="941" t="s">
        <v>542</v>
      </c>
      <c r="D158" s="131"/>
      <c r="E158" s="120"/>
      <c r="F158" s="120"/>
      <c r="G158" s="120"/>
      <c r="H158" s="120"/>
      <c r="I158" s="120"/>
      <c r="J158" s="120"/>
      <c r="K158" s="120"/>
      <c r="L158" s="121"/>
      <c r="M158" s="121"/>
      <c r="N158" s="121"/>
      <c r="O158" s="121"/>
      <c r="P158" s="121"/>
      <c r="Q158" s="121"/>
      <c r="R158" s="121"/>
      <c r="S158" s="121"/>
      <c r="T158" s="121"/>
      <c r="U158" s="121"/>
      <c r="V158" s="121"/>
      <c r="W158" s="121"/>
      <c r="X158" s="121"/>
      <c r="Y158" s="121"/>
      <c r="Z158" s="121"/>
      <c r="AA158" s="301"/>
      <c r="AB158" s="354"/>
      <c r="AC158" s="325"/>
      <c r="AD158" s="325"/>
      <c r="AE158" s="325"/>
      <c r="AF158" s="325"/>
      <c r="AG158" s="325"/>
      <c r="AH158" s="325"/>
      <c r="AI158" s="285"/>
      <c r="AJ158" s="359">
        <f t="shared" si="56"/>
        <v>0</v>
      </c>
      <c r="AK158" s="116"/>
      <c r="AL158" s="1312"/>
      <c r="AM158" s="31"/>
      <c r="AN158" s="1477"/>
      <c r="AO158" s="13">
        <v>84</v>
      </c>
      <c r="AP158" s="74"/>
      <c r="AQ158" s="75"/>
    </row>
    <row r="159" spans="1:43" ht="26.25" x14ac:dyDescent="0.4">
      <c r="A159" s="1244" t="s">
        <v>1326</v>
      </c>
      <c r="B159" s="1" t="s">
        <v>1327</v>
      </c>
      <c r="C159" s="943" t="s">
        <v>166</v>
      </c>
      <c r="D159" s="132"/>
      <c r="E159" s="99"/>
      <c r="F159" s="99"/>
      <c r="G159" s="99"/>
      <c r="H159" s="99"/>
      <c r="I159" s="99"/>
      <c r="J159" s="99"/>
      <c r="K159" s="99"/>
      <c r="L159" s="94"/>
      <c r="M159" s="94"/>
      <c r="N159" s="94"/>
      <c r="O159" s="94"/>
      <c r="P159" s="94"/>
      <c r="Q159" s="94"/>
      <c r="R159" s="94"/>
      <c r="S159" s="94"/>
      <c r="T159" s="94"/>
      <c r="U159" s="94"/>
      <c r="V159" s="94"/>
      <c r="W159" s="94"/>
      <c r="X159" s="94"/>
      <c r="Y159" s="94"/>
      <c r="Z159" s="94"/>
      <c r="AA159" s="477"/>
      <c r="AB159" s="325"/>
      <c r="AC159" s="325"/>
      <c r="AD159" s="325"/>
      <c r="AE159" s="325"/>
      <c r="AF159" s="325"/>
      <c r="AG159" s="325"/>
      <c r="AH159" s="325"/>
      <c r="AI159" s="325"/>
      <c r="AJ159" s="371">
        <f t="shared" ref="AJ159:AJ180" si="58">SUM(D159:AA159)</f>
        <v>0</v>
      </c>
      <c r="AK159" s="1202" t="str">
        <f>CONCATENATE(IF(D160&gt;D159," * F02-07 for Age "&amp;D20&amp;" "&amp;D21&amp;" is more than F02-06"&amp;CHAR(10),""),IF(E160&gt;E159," * F02-07 for Age "&amp;D20&amp;" "&amp;E21&amp;" is more than F02-06"&amp;CHAR(10),""),IF(F160&gt;F159," * F02-07 for Age "&amp;F20&amp;" "&amp;F21&amp;" is more than F02-06"&amp;CHAR(10),""),IF(G160&gt;G159," * F02-07 for Age "&amp;F20&amp;" "&amp;G21&amp;" is more than F02-06"&amp;CHAR(10),""),IF(H160&gt;H159," * F02-07 for Age "&amp;H20&amp;" "&amp;H21&amp;" is more than F02-06"&amp;CHAR(10),""),IF(I160&gt;I159," * F02-07 for Age "&amp;H20&amp;" "&amp;I21&amp;" is more than F02-06"&amp;CHAR(10),""),IF(J160&gt;J159," * F02-07 for Age "&amp;J20&amp;" "&amp;J21&amp;" is more than F02-06"&amp;CHAR(10),""),IF(K160&gt;K159," * F02-07 for Age "&amp;J20&amp;" "&amp;K21&amp;" is more than F02-06"&amp;CHAR(10),""),IF(L160&gt;L159," * F02-07 for Age "&amp;L20&amp;" "&amp;L21&amp;" is more than F02-06"&amp;CHAR(10),""),IF(M160&gt;M159," * F02-07 for Age "&amp;L20&amp;" "&amp;M21&amp;" is more than F02-06"&amp;CHAR(10),""),IF(N160&gt;N159," * F02-07 for Age "&amp;N20&amp;" "&amp;N21&amp;" is more than F02-06"&amp;CHAR(10),""),IF(O160&gt;O159," * F02-07 for Age "&amp;N20&amp;" "&amp;O21&amp;" is more than F02-06"&amp;CHAR(10),""),IF(P160&gt;P159," * F02-07 for Age "&amp;P20&amp;" "&amp;P21&amp;" is more than F02-06"&amp;CHAR(10),""),IF(Q160&gt;Q159," * F02-07 for Age "&amp;P20&amp;" "&amp;Q21&amp;" is more than F02-06"&amp;CHAR(10),""),IF(R160&gt;R159," * F02-07 for Age "&amp;R20&amp;" "&amp;R21&amp;" is more than F02-06"&amp;CHAR(10),""),IF(S160&gt;S159," * F02-07 for Age "&amp;R20&amp;" "&amp;S21&amp;" is more than F02-06"&amp;CHAR(10),""),IF(T160&gt;T159," * F02-07 for Age "&amp;T20&amp;" "&amp;T21&amp;" is more than F02-06"&amp;CHAR(10),""),IF(U160&gt;U159," * F02-07 for Age "&amp;T20&amp;" "&amp;U21&amp;" is more than F02-06"&amp;CHAR(10),""),IF(V160&gt;V159," * F02-07 for Age "&amp;V20&amp;" "&amp;V21&amp;" is more than F02-06"&amp;CHAR(10),""),IF(W160&gt;W159," * F02-07 for Age "&amp;V20&amp;" "&amp;W21&amp;" is more than F02-06"&amp;CHAR(10),""),IF(X160&gt;X159," * F02-07 for Age "&amp;X20&amp;" "&amp;X21&amp;" is more than F02-06"&amp;CHAR(10),""),IF(Y160&gt;Y159," * F02-07 for Age "&amp;X20&amp;" "&amp;Y21&amp;" is more than F02-06"&amp;CHAR(10),""),IF(Z160&gt;Z159," * F02-07 for Age "&amp;Z20&amp;" "&amp;Z21&amp;" is more than F02-06"&amp;CHAR(10),""),IF(AA160&gt;AA159," * F02-07 for Age "&amp;Z20&amp;" "&amp;AA21&amp;" is more than F02-06"&amp;CHAR(10),""),IF(AJ160&gt;AJ159," * Total F02-07 is more than Total F02-06"&amp;CHAR(10),""))</f>
        <v/>
      </c>
      <c r="AL159" s="1312"/>
      <c r="AM159" s="31"/>
      <c r="AN159" s="1477"/>
      <c r="AO159" s="13">
        <v>85</v>
      </c>
      <c r="AP159" s="74"/>
      <c r="AQ159" s="75"/>
    </row>
    <row r="160" spans="1:43" ht="27" thickBot="1" x14ac:dyDescent="0.45">
      <c r="A160" s="1275"/>
      <c r="B160" s="3" t="s">
        <v>1328</v>
      </c>
      <c r="C160" s="944" t="s">
        <v>167</v>
      </c>
      <c r="D160" s="119"/>
      <c r="E160" s="102"/>
      <c r="F160" s="102"/>
      <c r="G160" s="102"/>
      <c r="H160" s="102"/>
      <c r="I160" s="102"/>
      <c r="J160" s="102"/>
      <c r="K160" s="102"/>
      <c r="L160" s="89"/>
      <c r="M160" s="89"/>
      <c r="N160" s="89"/>
      <c r="O160" s="89"/>
      <c r="P160" s="89"/>
      <c r="Q160" s="89"/>
      <c r="R160" s="89"/>
      <c r="S160" s="89"/>
      <c r="T160" s="89"/>
      <c r="U160" s="89"/>
      <c r="V160" s="89"/>
      <c r="W160" s="89"/>
      <c r="X160" s="89"/>
      <c r="Y160" s="89"/>
      <c r="Z160" s="89"/>
      <c r="AA160" s="891"/>
      <c r="AB160" s="325"/>
      <c r="AC160" s="325"/>
      <c r="AD160" s="325"/>
      <c r="AE160" s="325"/>
      <c r="AF160" s="325"/>
      <c r="AG160" s="325"/>
      <c r="AH160" s="325"/>
      <c r="AI160" s="325"/>
      <c r="AJ160" s="562">
        <f t="shared" si="58"/>
        <v>0</v>
      </c>
      <c r="AK160" s="1202"/>
      <c r="AL160" s="1312"/>
      <c r="AM160" s="31"/>
      <c r="AN160" s="1477"/>
      <c r="AO160" s="13">
        <v>86</v>
      </c>
      <c r="AP160" s="74"/>
      <c r="AQ160" s="75"/>
    </row>
    <row r="161" spans="1:43" ht="27" hidden="1" customHeight="1" thickBot="1" x14ac:dyDescent="0.45">
      <c r="A161" s="1280"/>
      <c r="B161" s="471" t="s">
        <v>599</v>
      </c>
      <c r="C161" s="729" t="s">
        <v>313</v>
      </c>
      <c r="D161" s="965"/>
      <c r="E161" s="283"/>
      <c r="F161" s="283"/>
      <c r="G161" s="283"/>
      <c r="H161" s="283"/>
      <c r="I161" s="283"/>
      <c r="J161" s="71"/>
      <c r="K161" s="71"/>
      <c r="L161" s="225"/>
      <c r="M161" s="225"/>
      <c r="N161" s="225"/>
      <c r="O161" s="225"/>
      <c r="P161" s="225"/>
      <c r="Q161" s="225"/>
      <c r="R161" s="225"/>
      <c r="S161" s="225"/>
      <c r="T161" s="225"/>
      <c r="U161" s="225"/>
      <c r="V161" s="225"/>
      <c r="W161" s="225"/>
      <c r="X161" s="225"/>
      <c r="Y161" s="225"/>
      <c r="Z161" s="225"/>
      <c r="AA161" s="966"/>
      <c r="AB161" s="325"/>
      <c r="AC161" s="325"/>
      <c r="AD161" s="325"/>
      <c r="AE161" s="325"/>
      <c r="AF161" s="325"/>
      <c r="AG161" s="325"/>
      <c r="AH161" s="325"/>
      <c r="AI161" s="325"/>
      <c r="AJ161" s="562">
        <f t="shared" si="58"/>
        <v>0</v>
      </c>
      <c r="AK161" s="116"/>
      <c r="AL161" s="1312"/>
      <c r="AM161" s="31"/>
      <c r="AN161" s="1477"/>
      <c r="AO161" s="13">
        <v>87</v>
      </c>
      <c r="AP161" s="74"/>
      <c r="AQ161" s="75"/>
    </row>
    <row r="162" spans="1:43" ht="26.25" x14ac:dyDescent="0.4">
      <c r="A162" s="1394" t="s">
        <v>1323</v>
      </c>
      <c r="B162" s="482" t="s">
        <v>1100</v>
      </c>
      <c r="C162" s="538" t="s">
        <v>1103</v>
      </c>
      <c r="D162" s="132"/>
      <c r="E162" s="99"/>
      <c r="F162" s="99"/>
      <c r="G162" s="99"/>
      <c r="H162" s="99"/>
      <c r="I162" s="99"/>
      <c r="J162" s="78"/>
      <c r="K162" s="78"/>
      <c r="L162" s="99"/>
      <c r="M162" s="483"/>
      <c r="N162" s="99"/>
      <c r="O162" s="483"/>
      <c r="P162" s="99"/>
      <c r="Q162" s="483"/>
      <c r="R162" s="99"/>
      <c r="S162" s="483"/>
      <c r="T162" s="99"/>
      <c r="U162" s="483"/>
      <c r="V162" s="99"/>
      <c r="W162" s="483"/>
      <c r="X162" s="99"/>
      <c r="Y162" s="483"/>
      <c r="Z162" s="99"/>
      <c r="AA162" s="484"/>
      <c r="AB162" s="325"/>
      <c r="AC162" s="325"/>
      <c r="AD162" s="325"/>
      <c r="AE162" s="325"/>
      <c r="AF162" s="325"/>
      <c r="AG162" s="325"/>
      <c r="AH162" s="325"/>
      <c r="AI162" s="325"/>
      <c r="AJ162" s="562">
        <f t="shared" si="58"/>
        <v>0</v>
      </c>
      <c r="AK162" s="459"/>
      <c r="AL162" s="1312"/>
      <c r="AM162" s="31"/>
      <c r="AN162" s="1477"/>
      <c r="AO162" s="13"/>
      <c r="AP162" s="74"/>
      <c r="AQ162" s="75"/>
    </row>
    <row r="163" spans="1:43" ht="27" thickBot="1" x14ac:dyDescent="0.45">
      <c r="A163" s="1225"/>
      <c r="B163" s="485" t="s">
        <v>1101</v>
      </c>
      <c r="C163" s="539" t="s">
        <v>1104</v>
      </c>
      <c r="D163" s="479"/>
      <c r="E163" s="480"/>
      <c r="F163" s="480"/>
      <c r="G163" s="480"/>
      <c r="H163" s="480"/>
      <c r="I163" s="480"/>
      <c r="J163" s="78"/>
      <c r="K163" s="78"/>
      <c r="L163" s="102"/>
      <c r="M163" s="377"/>
      <c r="N163" s="102"/>
      <c r="O163" s="377"/>
      <c r="P163" s="102"/>
      <c r="Q163" s="377"/>
      <c r="R163" s="102"/>
      <c r="S163" s="377"/>
      <c r="T163" s="102"/>
      <c r="U163" s="377"/>
      <c r="V163" s="102"/>
      <c r="W163" s="377"/>
      <c r="X163" s="102"/>
      <c r="Y163" s="377"/>
      <c r="Z163" s="102"/>
      <c r="AA163" s="481"/>
      <c r="AB163" s="325"/>
      <c r="AC163" s="325"/>
      <c r="AD163" s="325"/>
      <c r="AE163" s="325"/>
      <c r="AF163" s="325"/>
      <c r="AG163" s="325"/>
      <c r="AH163" s="325"/>
      <c r="AI163" s="325"/>
      <c r="AJ163" s="562">
        <f t="shared" si="58"/>
        <v>0</v>
      </c>
      <c r="AK163" s="459"/>
      <c r="AL163" s="1312"/>
      <c r="AM163" s="31"/>
      <c r="AN163" s="1477"/>
      <c r="AO163" s="13"/>
      <c r="AP163" s="74"/>
      <c r="AQ163" s="75"/>
    </row>
    <row r="164" spans="1:43" ht="27" hidden="1" customHeight="1" thickBot="1" x14ac:dyDescent="0.45">
      <c r="A164" s="1244" t="s">
        <v>21</v>
      </c>
      <c r="B164" s="91" t="s">
        <v>600</v>
      </c>
      <c r="C164" s="525" t="s">
        <v>314</v>
      </c>
      <c r="D164" s="98"/>
      <c r="E164" s="99"/>
      <c r="F164" s="99"/>
      <c r="G164" s="99"/>
      <c r="H164" s="99"/>
      <c r="I164" s="99"/>
      <c r="J164" s="78"/>
      <c r="K164" s="78"/>
      <c r="L164" s="94"/>
      <c r="M164" s="94"/>
      <c r="N164" s="94"/>
      <c r="O164" s="94"/>
      <c r="P164" s="94"/>
      <c r="Q164" s="94"/>
      <c r="R164" s="94"/>
      <c r="S164" s="94"/>
      <c r="T164" s="94"/>
      <c r="U164" s="94"/>
      <c r="V164" s="94"/>
      <c r="W164" s="94"/>
      <c r="X164" s="94"/>
      <c r="Y164" s="94"/>
      <c r="Z164" s="94"/>
      <c r="AA164" s="293"/>
      <c r="AB164" s="354"/>
      <c r="AC164" s="325"/>
      <c r="AD164" s="325"/>
      <c r="AE164" s="325"/>
      <c r="AF164" s="325"/>
      <c r="AG164" s="325"/>
      <c r="AH164" s="325"/>
      <c r="AI164" s="325"/>
      <c r="AJ164" s="562">
        <f t="shared" si="58"/>
        <v>0</v>
      </c>
      <c r="AK164" s="116"/>
      <c r="AL164" s="1312"/>
      <c r="AM164" s="31"/>
      <c r="AN164" s="1477"/>
      <c r="AO164" s="13">
        <v>88</v>
      </c>
      <c r="AP164" s="74"/>
      <c r="AQ164" s="75"/>
    </row>
    <row r="165" spans="1:43" ht="27" hidden="1" customHeight="1" thickBot="1" x14ac:dyDescent="0.45">
      <c r="A165" s="1275"/>
      <c r="B165" s="76" t="s">
        <v>902</v>
      </c>
      <c r="C165" s="526" t="s">
        <v>315</v>
      </c>
      <c r="D165" s="77"/>
      <c r="E165" s="78"/>
      <c r="F165" s="78"/>
      <c r="G165" s="78"/>
      <c r="H165" s="78"/>
      <c r="I165" s="78"/>
      <c r="J165" s="78"/>
      <c r="K165" s="78"/>
      <c r="L165" s="79"/>
      <c r="M165" s="79"/>
      <c r="N165" s="79"/>
      <c r="O165" s="79"/>
      <c r="P165" s="79"/>
      <c r="Q165" s="79"/>
      <c r="R165" s="79"/>
      <c r="S165" s="79"/>
      <c r="T165" s="79"/>
      <c r="U165" s="79"/>
      <c r="V165" s="79"/>
      <c r="W165" s="79"/>
      <c r="X165" s="79"/>
      <c r="Y165" s="79"/>
      <c r="Z165" s="79"/>
      <c r="AA165" s="290"/>
      <c r="AB165" s="354"/>
      <c r="AC165" s="325"/>
      <c r="AD165" s="325"/>
      <c r="AE165" s="325"/>
      <c r="AF165" s="325"/>
      <c r="AG165" s="325"/>
      <c r="AH165" s="325"/>
      <c r="AI165" s="325"/>
      <c r="AJ165" s="562">
        <f t="shared" si="58"/>
        <v>0</v>
      </c>
      <c r="AK165" s="116"/>
      <c r="AL165" s="1312"/>
      <c r="AM165" s="31"/>
      <c r="AN165" s="1477"/>
      <c r="AO165" s="13">
        <v>89</v>
      </c>
      <c r="AP165" s="74"/>
      <c r="AQ165" s="75"/>
    </row>
    <row r="166" spans="1:43" ht="27" hidden="1" customHeight="1" thickBot="1" x14ac:dyDescent="0.45">
      <c r="A166" s="1275"/>
      <c r="B166" s="76" t="s">
        <v>601</v>
      </c>
      <c r="C166" s="526" t="s">
        <v>168</v>
      </c>
      <c r="D166" s="77"/>
      <c r="E166" s="78"/>
      <c r="F166" s="78"/>
      <c r="G166" s="78"/>
      <c r="H166" s="78"/>
      <c r="I166" s="78"/>
      <c r="J166" s="78"/>
      <c r="K166" s="78"/>
      <c r="L166" s="79"/>
      <c r="M166" s="79"/>
      <c r="N166" s="79"/>
      <c r="O166" s="79"/>
      <c r="P166" s="79"/>
      <c r="Q166" s="79"/>
      <c r="R166" s="79"/>
      <c r="S166" s="79"/>
      <c r="T166" s="79"/>
      <c r="U166" s="79"/>
      <c r="V166" s="79"/>
      <c r="W166" s="79"/>
      <c r="X166" s="79"/>
      <c r="Y166" s="79"/>
      <c r="Z166" s="79"/>
      <c r="AA166" s="290"/>
      <c r="AB166" s="354"/>
      <c r="AC166" s="325"/>
      <c r="AD166" s="325"/>
      <c r="AE166" s="325"/>
      <c r="AF166" s="325"/>
      <c r="AG166" s="325"/>
      <c r="AH166" s="325"/>
      <c r="AI166" s="325"/>
      <c r="AJ166" s="562">
        <f t="shared" si="58"/>
        <v>0</v>
      </c>
      <c r="AK166" s="116"/>
      <c r="AL166" s="1312"/>
      <c r="AM166" s="31"/>
      <c r="AN166" s="1477"/>
      <c r="AO166" s="13">
        <v>90</v>
      </c>
      <c r="AP166" s="74"/>
      <c r="AQ166" s="75"/>
    </row>
    <row r="167" spans="1:43" ht="27" hidden="1" customHeight="1" thickBot="1" x14ac:dyDescent="0.45">
      <c r="A167" s="1275"/>
      <c r="B167" s="76" t="s">
        <v>602</v>
      </c>
      <c r="C167" s="526" t="s">
        <v>169</v>
      </c>
      <c r="D167" s="77"/>
      <c r="E167" s="78"/>
      <c r="F167" s="78"/>
      <c r="G167" s="78"/>
      <c r="H167" s="78"/>
      <c r="I167" s="78"/>
      <c r="J167" s="78"/>
      <c r="K167" s="78"/>
      <c r="L167" s="79"/>
      <c r="M167" s="79"/>
      <c r="N167" s="79"/>
      <c r="O167" s="79"/>
      <c r="P167" s="79"/>
      <c r="Q167" s="79"/>
      <c r="R167" s="79"/>
      <c r="S167" s="79"/>
      <c r="T167" s="79"/>
      <c r="U167" s="79"/>
      <c r="V167" s="79"/>
      <c r="W167" s="79"/>
      <c r="X167" s="79"/>
      <c r="Y167" s="79"/>
      <c r="Z167" s="79"/>
      <c r="AA167" s="290"/>
      <c r="AB167" s="354"/>
      <c r="AC167" s="325"/>
      <c r="AD167" s="325"/>
      <c r="AE167" s="325"/>
      <c r="AF167" s="325"/>
      <c r="AG167" s="325"/>
      <c r="AH167" s="325"/>
      <c r="AI167" s="325"/>
      <c r="AJ167" s="562">
        <f t="shared" si="58"/>
        <v>0</v>
      </c>
      <c r="AK167" s="116"/>
      <c r="AL167" s="1312"/>
      <c r="AM167" s="31"/>
      <c r="AN167" s="1477"/>
      <c r="AO167" s="13">
        <v>91</v>
      </c>
      <c r="AP167" s="74"/>
      <c r="AQ167" s="75"/>
    </row>
    <row r="168" spans="1:43" ht="27" hidden="1" customHeight="1" thickBot="1" x14ac:dyDescent="0.45">
      <c r="A168" s="1275"/>
      <c r="B168" s="76" t="s">
        <v>603</v>
      </c>
      <c r="C168" s="526" t="s">
        <v>170</v>
      </c>
      <c r="D168" s="77"/>
      <c r="E168" s="78"/>
      <c r="F168" s="78"/>
      <c r="G168" s="78"/>
      <c r="H168" s="78"/>
      <c r="I168" s="78"/>
      <c r="J168" s="78"/>
      <c r="K168" s="78"/>
      <c r="L168" s="79"/>
      <c r="M168" s="79"/>
      <c r="N168" s="79"/>
      <c r="O168" s="79"/>
      <c r="P168" s="79"/>
      <c r="Q168" s="79"/>
      <c r="R168" s="79"/>
      <c r="S168" s="79"/>
      <c r="T168" s="79"/>
      <c r="U168" s="79"/>
      <c r="V168" s="79"/>
      <c r="W168" s="79"/>
      <c r="X168" s="79"/>
      <c r="Y168" s="79"/>
      <c r="Z168" s="79"/>
      <c r="AA168" s="290"/>
      <c r="AB168" s="354"/>
      <c r="AC168" s="325"/>
      <c r="AD168" s="325"/>
      <c r="AE168" s="325"/>
      <c r="AF168" s="325"/>
      <c r="AG168" s="325"/>
      <c r="AH168" s="325"/>
      <c r="AI168" s="325"/>
      <c r="AJ168" s="562">
        <f t="shared" si="58"/>
        <v>0</v>
      </c>
      <c r="AK168" s="116"/>
      <c r="AL168" s="1312"/>
      <c r="AM168" s="31"/>
      <c r="AN168" s="1477"/>
      <c r="AO168" s="13">
        <v>92</v>
      </c>
      <c r="AP168" s="74"/>
      <c r="AQ168" s="75"/>
    </row>
    <row r="169" spans="1:43" ht="27" hidden="1" customHeight="1" thickBot="1" x14ac:dyDescent="0.45">
      <c r="A169" s="1275"/>
      <c r="B169" s="76" t="s">
        <v>604</v>
      </c>
      <c r="C169" s="526" t="s">
        <v>171</v>
      </c>
      <c r="D169" s="77"/>
      <c r="E169" s="78"/>
      <c r="F169" s="78"/>
      <c r="G169" s="78"/>
      <c r="H169" s="78"/>
      <c r="I169" s="78"/>
      <c r="J169" s="78"/>
      <c r="K169" s="78"/>
      <c r="L169" s="79"/>
      <c r="M169" s="79"/>
      <c r="N169" s="79"/>
      <c r="O169" s="79"/>
      <c r="P169" s="79"/>
      <c r="Q169" s="79"/>
      <c r="R169" s="79"/>
      <c r="S169" s="79"/>
      <c r="T169" s="79"/>
      <c r="U169" s="79"/>
      <c r="V169" s="79"/>
      <c r="W169" s="79"/>
      <c r="X169" s="79"/>
      <c r="Y169" s="79"/>
      <c r="Z169" s="79"/>
      <c r="AA169" s="290"/>
      <c r="AB169" s="354"/>
      <c r="AC169" s="325"/>
      <c r="AD169" s="325"/>
      <c r="AE169" s="325"/>
      <c r="AF169" s="325"/>
      <c r="AG169" s="325"/>
      <c r="AH169" s="325"/>
      <c r="AI169" s="325"/>
      <c r="AJ169" s="562">
        <f t="shared" si="58"/>
        <v>0</v>
      </c>
      <c r="AK169" s="116"/>
      <c r="AL169" s="1312"/>
      <c r="AM169" s="31"/>
      <c r="AN169" s="1477"/>
      <c r="AO169" s="13">
        <v>93</v>
      </c>
      <c r="AP169" s="74"/>
      <c r="AQ169" s="75"/>
    </row>
    <row r="170" spans="1:43" ht="27" hidden="1" customHeight="1" thickBot="1" x14ac:dyDescent="0.45">
      <c r="A170" s="1245"/>
      <c r="B170" s="87" t="s">
        <v>605</v>
      </c>
      <c r="C170" s="527" t="s">
        <v>172</v>
      </c>
      <c r="D170" s="103"/>
      <c r="E170" s="102"/>
      <c r="F170" s="102"/>
      <c r="G170" s="102"/>
      <c r="H170" s="102"/>
      <c r="I170" s="102"/>
      <c r="J170" s="78"/>
      <c r="K170" s="78"/>
      <c r="L170" s="89"/>
      <c r="M170" s="89"/>
      <c r="N170" s="89"/>
      <c r="O170" s="89"/>
      <c r="P170" s="89"/>
      <c r="Q170" s="89"/>
      <c r="R170" s="89"/>
      <c r="S170" s="89"/>
      <c r="T170" s="89"/>
      <c r="U170" s="89"/>
      <c r="V170" s="89"/>
      <c r="W170" s="89"/>
      <c r="X170" s="89"/>
      <c r="Y170" s="89"/>
      <c r="Z170" s="89"/>
      <c r="AA170" s="292"/>
      <c r="AB170" s="354"/>
      <c r="AC170" s="325"/>
      <c r="AD170" s="325"/>
      <c r="AE170" s="325"/>
      <c r="AF170" s="325"/>
      <c r="AG170" s="325"/>
      <c r="AH170" s="325"/>
      <c r="AI170" s="325"/>
      <c r="AJ170" s="562">
        <f t="shared" si="58"/>
        <v>0</v>
      </c>
      <c r="AK170" s="116"/>
      <c r="AL170" s="1312"/>
      <c r="AM170" s="31"/>
      <c r="AN170" s="1477"/>
      <c r="AO170" s="13">
        <v>94</v>
      </c>
      <c r="AP170" s="74"/>
      <c r="AQ170" s="75"/>
    </row>
    <row r="171" spans="1:43" ht="27" hidden="1" customHeight="1" thickBot="1" x14ac:dyDescent="0.45">
      <c r="A171" s="1244" t="s">
        <v>94</v>
      </c>
      <c r="B171" s="134" t="s">
        <v>606</v>
      </c>
      <c r="C171" s="525" t="s">
        <v>316</v>
      </c>
      <c r="D171" s="98"/>
      <c r="E171" s="99"/>
      <c r="F171" s="99"/>
      <c r="G171" s="99"/>
      <c r="H171" s="99"/>
      <c r="I171" s="99"/>
      <c r="J171" s="78"/>
      <c r="K171" s="78"/>
      <c r="L171" s="99"/>
      <c r="M171" s="99"/>
      <c r="N171" s="99"/>
      <c r="O171" s="99"/>
      <c r="P171" s="99"/>
      <c r="Q171" s="99"/>
      <c r="R171" s="99"/>
      <c r="S171" s="99"/>
      <c r="T171" s="99"/>
      <c r="U171" s="99"/>
      <c r="V171" s="99"/>
      <c r="W171" s="99"/>
      <c r="X171" s="99"/>
      <c r="Y171" s="99"/>
      <c r="Z171" s="99"/>
      <c r="AA171" s="295"/>
      <c r="AB171" s="354"/>
      <c r="AC171" s="325"/>
      <c r="AD171" s="325"/>
      <c r="AE171" s="325"/>
      <c r="AF171" s="325"/>
      <c r="AG171" s="325"/>
      <c r="AH171" s="325"/>
      <c r="AI171" s="325"/>
      <c r="AJ171" s="562">
        <f t="shared" si="58"/>
        <v>0</v>
      </c>
      <c r="AK171" s="116"/>
      <c r="AL171" s="1312"/>
      <c r="AM171" s="31"/>
      <c r="AN171" s="1477"/>
      <c r="AO171" s="13">
        <v>95</v>
      </c>
      <c r="AP171" s="74"/>
      <c r="AQ171" s="75"/>
    </row>
    <row r="172" spans="1:43" ht="27" hidden="1" customHeight="1" thickBot="1" x14ac:dyDescent="0.45">
      <c r="A172" s="1280"/>
      <c r="B172" s="135" t="s">
        <v>607</v>
      </c>
      <c r="C172" s="552" t="s">
        <v>317</v>
      </c>
      <c r="D172" s="131"/>
      <c r="E172" s="120"/>
      <c r="F172" s="120"/>
      <c r="G172" s="120"/>
      <c r="H172" s="120"/>
      <c r="I172" s="120"/>
      <c r="J172" s="78"/>
      <c r="K172" s="78"/>
      <c r="L172" s="120"/>
      <c r="M172" s="120"/>
      <c r="N172" s="120"/>
      <c r="O172" s="120"/>
      <c r="P172" s="120"/>
      <c r="Q172" s="120"/>
      <c r="R172" s="120"/>
      <c r="S172" s="120"/>
      <c r="T172" s="120"/>
      <c r="U172" s="120"/>
      <c r="V172" s="120"/>
      <c r="W172" s="120"/>
      <c r="X172" s="120"/>
      <c r="Y172" s="120"/>
      <c r="Z172" s="120"/>
      <c r="AA172" s="305"/>
      <c r="AB172" s="355"/>
      <c r="AC172" s="356"/>
      <c r="AD172" s="356"/>
      <c r="AE172" s="356"/>
      <c r="AF172" s="356"/>
      <c r="AG172" s="356"/>
      <c r="AH172" s="356"/>
      <c r="AI172" s="356"/>
      <c r="AJ172" s="562">
        <f t="shared" si="58"/>
        <v>0</v>
      </c>
      <c r="AK172" s="122"/>
      <c r="AL172" s="1312"/>
      <c r="AM172" s="123"/>
      <c r="AN172" s="1477"/>
      <c r="AO172" s="13">
        <v>96</v>
      </c>
      <c r="AP172" s="74"/>
      <c r="AQ172" s="75"/>
    </row>
    <row r="173" spans="1:43" ht="26.25" hidden="1" x14ac:dyDescent="0.4">
      <c r="A173" s="1394" t="s">
        <v>1142</v>
      </c>
      <c r="B173" s="754" t="s">
        <v>353</v>
      </c>
      <c r="C173" s="878" t="s">
        <v>1143</v>
      </c>
      <c r="D173" s="595"/>
      <c r="E173" s="595"/>
      <c r="F173" s="595"/>
      <c r="G173" s="595"/>
      <c r="H173" s="595"/>
      <c r="I173" s="595"/>
      <c r="J173" s="78"/>
      <c r="K173" s="78"/>
      <c r="L173" s="595"/>
      <c r="M173" s="596"/>
      <c r="N173" s="595"/>
      <c r="O173" s="596"/>
      <c r="P173" s="595"/>
      <c r="Q173" s="596"/>
      <c r="R173" s="595"/>
      <c r="S173" s="596"/>
      <c r="T173" s="595"/>
      <c r="U173" s="596"/>
      <c r="V173" s="595"/>
      <c r="W173" s="596"/>
      <c r="X173" s="595"/>
      <c r="Y173" s="596"/>
      <c r="Z173" s="595"/>
      <c r="AA173" s="597"/>
      <c r="AB173" s="325"/>
      <c r="AC173" s="325"/>
      <c r="AD173" s="325"/>
      <c r="AE173" s="325"/>
      <c r="AF173" s="325"/>
      <c r="AG173" s="325"/>
      <c r="AH173" s="325"/>
      <c r="AI173" s="325"/>
      <c r="AJ173" s="562">
        <f t="shared" si="58"/>
        <v>0</v>
      </c>
      <c r="AK173" s="742"/>
      <c r="AL173" s="1312"/>
      <c r="AM173" s="125"/>
      <c r="AN173" s="1477"/>
      <c r="AO173" s="13"/>
      <c r="AP173" s="74"/>
      <c r="AQ173" s="75"/>
    </row>
    <row r="174" spans="1:43" ht="27" hidden="1" thickBot="1" x14ac:dyDescent="0.45">
      <c r="A174" s="1225"/>
      <c r="B174" s="485" t="s">
        <v>351</v>
      </c>
      <c r="C174" s="879" t="s">
        <v>1144</v>
      </c>
      <c r="D174" s="598"/>
      <c r="E174" s="598"/>
      <c r="F174" s="598"/>
      <c r="G174" s="598"/>
      <c r="H174" s="598"/>
      <c r="I174" s="598"/>
      <c r="J174" s="78"/>
      <c r="K174" s="78"/>
      <c r="L174" s="599"/>
      <c r="M174" s="598"/>
      <c r="N174" s="599"/>
      <c r="O174" s="598"/>
      <c r="P174" s="599"/>
      <c r="Q174" s="598"/>
      <c r="R174" s="599"/>
      <c r="S174" s="598"/>
      <c r="T174" s="599"/>
      <c r="U174" s="598"/>
      <c r="V174" s="599"/>
      <c r="W174" s="598"/>
      <c r="X174" s="599"/>
      <c r="Y174" s="598"/>
      <c r="Z174" s="599"/>
      <c r="AA174" s="600"/>
      <c r="AB174" s="325"/>
      <c r="AC174" s="325"/>
      <c r="AD174" s="325"/>
      <c r="AE174" s="325"/>
      <c r="AF174" s="325"/>
      <c r="AG174" s="325"/>
      <c r="AH174" s="325"/>
      <c r="AI174" s="325"/>
      <c r="AJ174" s="562">
        <f t="shared" si="58"/>
        <v>0</v>
      </c>
      <c r="AK174" s="742"/>
      <c r="AL174" s="1312"/>
      <c r="AM174" s="125"/>
      <c r="AN174" s="1477"/>
      <c r="AO174" s="13"/>
      <c r="AP174" s="74"/>
      <c r="AQ174" s="75"/>
    </row>
    <row r="175" spans="1:43" ht="26.25" x14ac:dyDescent="0.4">
      <c r="A175" s="1421" t="s">
        <v>1324</v>
      </c>
      <c r="B175" s="273" t="s">
        <v>1196</v>
      </c>
      <c r="C175" s="907" t="s">
        <v>1207</v>
      </c>
      <c r="D175" s="812"/>
      <c r="E175" s="813"/>
      <c r="F175" s="813"/>
      <c r="G175" s="813"/>
      <c r="H175" s="813"/>
      <c r="I175" s="813"/>
      <c r="J175" s="78"/>
      <c r="K175" s="78"/>
      <c r="L175" s="814"/>
      <c r="M175" s="814"/>
      <c r="N175" s="814"/>
      <c r="O175" s="814"/>
      <c r="P175" s="814"/>
      <c r="Q175" s="814"/>
      <c r="R175" s="814"/>
      <c r="S175" s="814"/>
      <c r="T175" s="814"/>
      <c r="U175" s="814"/>
      <c r="V175" s="814"/>
      <c r="W175" s="814"/>
      <c r="X175" s="814"/>
      <c r="Y175" s="814"/>
      <c r="Z175" s="814"/>
      <c r="AA175" s="814"/>
      <c r="AB175" s="325"/>
      <c r="AC175" s="325"/>
      <c r="AD175" s="325"/>
      <c r="AE175" s="325"/>
      <c r="AF175" s="325"/>
      <c r="AG175" s="325"/>
      <c r="AH175" s="325"/>
      <c r="AI175" s="285"/>
      <c r="AJ175" s="562">
        <f t="shared" si="58"/>
        <v>0</v>
      </c>
      <c r="AK175" s="822" t="str">
        <f>CONCATENATE(IF(D151&lt;&gt;(D175+D176)," * "&amp;A175&amp;" "&amp;$D$20&amp;" "&amp;$D$21&amp;" should be equal to Total "&amp;A151&amp;""&amp;CHAR(10),""),IF(E151&lt;&gt;(E175+E176)," * "&amp;A175&amp;" "&amp;$D$20&amp;" "&amp;$E$21&amp;" should be equal to Total  "&amp;A151&amp;""&amp;CHAR(10),""),IF(F151&lt;&gt;(F175+F176)," * "&amp;A175&amp;" "&amp;$F$20&amp;" "&amp;$F$21&amp;" should be equal to Total  "&amp;A151&amp;""&amp;CHAR(10),""),IF(G151&lt;&gt;(G175+G176)," * "&amp;A175&amp;" "&amp;$F$20&amp;" "&amp;$G$21&amp;" should be equal to Total  "&amp;A151&amp;""&amp;CHAR(10),""),IF(H151&lt;&gt;(H175+H176)," * "&amp;A175&amp;" "&amp;$H$20&amp;" "&amp;$H$21&amp;" should be equal to Total  "&amp;A151&amp;""&amp;CHAR(10),""),IF(I151&lt;&gt;(I175+I176)," * "&amp;A175&amp;" "&amp;$H$20&amp;" "&amp;$I$21&amp;" should be equal to Total  "&amp;A151&amp;""&amp;CHAR(10),""),IF(J151&lt;&gt;(J175+J176)," * "&amp;A175&amp;" "&amp;$J$20&amp;" "&amp;$J$21&amp;" should be equal to Total  "&amp;A151&amp;""&amp;CHAR(10),""),IF(K151&lt;&gt;(K175+K176)," * "&amp;A175&amp;" "&amp;$J$20&amp;" "&amp;$K$21&amp;" should be equal to Total  "&amp;A151&amp;""&amp;CHAR(10),""),IF(L151&lt;&gt;(L175+L176)," * "&amp;A175&amp;" "&amp;$L$20&amp;" "&amp;$L$21&amp;" should be equal to Total  "&amp;A151&amp;""&amp;CHAR(10),""),IF(M151&lt;&gt;(M175+M176)," * "&amp;A175&amp;" "&amp;$L$20&amp;" "&amp;$M$21&amp;" should be equal to Total  "&amp;A151&amp;""&amp;CHAR(10),""),IF(N151&lt;&gt;(N175+N176)," * "&amp;A175&amp;" "&amp;$N$20&amp;" "&amp;$N$21&amp;" should be equal to Total  "&amp;A151&amp;""&amp;CHAR(10),""),IF(O151&lt;&gt;(O175+O176)," * "&amp;A175&amp;" "&amp;$N$20&amp;" "&amp;$O$21&amp;" should be equal to Total  "&amp;A151&amp;""&amp;CHAR(10),""),IF(P151&lt;&gt;(P175+P176)," * "&amp;A175&amp;" "&amp;$P$20&amp;" "&amp;$P$21&amp;" should be equal to Total  "&amp;A151&amp;""&amp;CHAR(10),""),IF(Q151&lt;&gt;(Q175+Q176)," * "&amp;A175&amp;" "&amp;$P$20&amp;" "&amp;$Q$21&amp;" should be equal to Total  "&amp;A151&amp;""&amp;CHAR(10),""),IF(R151&lt;&gt;(R175+R176)," * "&amp;A175&amp;" "&amp;$R$20&amp;" "&amp;$R$21&amp;" should be equal to Total  "&amp;A151&amp;""&amp;CHAR(10),""),IF(S151&lt;&gt;(S175+S176)," * "&amp;A175&amp;" "&amp;$R$20&amp;" "&amp;$S$21&amp;" should be equal to Total  "&amp;A151&amp;""&amp;CHAR(10),""),IF(T151&lt;&gt;(T175+T176)," * "&amp;A175&amp;" "&amp;$T$20&amp;" "&amp;$T$21&amp;" should be equal to Total  "&amp;A151&amp;""&amp;CHAR(10),""),IF(U151&lt;&gt;(U175+U176)," * "&amp;A175&amp;" "&amp;$T$20&amp;" "&amp;$U$21&amp;" should be equal to Total  "&amp;A151&amp;""&amp;CHAR(10),""),IF(V151&lt;&gt;(V175+V176)," * "&amp;A175&amp;" "&amp;$V$20&amp;" "&amp;$V$21&amp;" should be equal to Total  "&amp;A151&amp;""&amp;CHAR(10),""),IF(W151&lt;&gt;(W175+W176)," * "&amp;A175&amp;" "&amp;$V$20&amp;" "&amp;$W$21&amp;" should be equal to Total  "&amp;A151&amp;""&amp;CHAR(10),""),IF(X151&lt;&gt;(X175+X176)," * "&amp;A175&amp;" "&amp;$X$20&amp;" "&amp;$X$21&amp;" should be equal to Total  "&amp;A151&amp;""&amp;CHAR(10),""),IF(Y151&lt;&gt;(Y175+Y176)," * "&amp;A175&amp;" "&amp;$X$20&amp;" "&amp;$Y$21&amp;" should be equal to Total  "&amp;A151&amp;""&amp;CHAR(10),""),IF(Z151&lt;&gt;(Z175+Z176)," * "&amp;A175&amp;" "&amp;$Z$20&amp;" "&amp;$Z$21&amp;" should be equal to Total  "&amp;A151&amp;""&amp;CHAR(10),""),IF(AA151&lt;&gt;(AA175+AA176)," * "&amp;A175&amp;" "&amp;$Z$20&amp;" "&amp;$AA$21&amp;" should be equal to Total  "&amp;A151&amp;""&amp;CHAR(10),""))</f>
        <v/>
      </c>
      <c r="AL175" s="1312"/>
      <c r="AM175" s="31"/>
      <c r="AN175" s="1477"/>
      <c r="AO175" s="13"/>
      <c r="AP175" s="74"/>
      <c r="AQ175" s="75"/>
    </row>
    <row r="176" spans="1:43" ht="27" thickBot="1" x14ac:dyDescent="0.45">
      <c r="A176" s="1422"/>
      <c r="B176" s="928" t="s">
        <v>1197</v>
      </c>
      <c r="C176" s="536" t="s">
        <v>1208</v>
      </c>
      <c r="D176" s="816"/>
      <c r="E176" s="817"/>
      <c r="F176" s="817"/>
      <c r="G176" s="817"/>
      <c r="H176" s="817"/>
      <c r="I176" s="817"/>
      <c r="J176" s="78"/>
      <c r="K176" s="78"/>
      <c r="L176" s="818"/>
      <c r="M176" s="818"/>
      <c r="N176" s="818"/>
      <c r="O176" s="818"/>
      <c r="P176" s="818"/>
      <c r="Q176" s="818"/>
      <c r="R176" s="818"/>
      <c r="S176" s="818"/>
      <c r="T176" s="818"/>
      <c r="U176" s="818"/>
      <c r="V176" s="818"/>
      <c r="W176" s="818"/>
      <c r="X176" s="818"/>
      <c r="Y176" s="818"/>
      <c r="Z176" s="818"/>
      <c r="AA176" s="818"/>
      <c r="AB176" s="325"/>
      <c r="AC176" s="325"/>
      <c r="AD176" s="325"/>
      <c r="AE176" s="325"/>
      <c r="AF176" s="325"/>
      <c r="AG176" s="325"/>
      <c r="AH176" s="325"/>
      <c r="AI176" s="285"/>
      <c r="AJ176" s="562">
        <f t="shared" si="58"/>
        <v>0</v>
      </c>
      <c r="AK176" s="806"/>
      <c r="AL176" s="1312"/>
      <c r="AM176" s="31"/>
      <c r="AN176" s="1477"/>
      <c r="AO176" s="13"/>
      <c r="AP176" s="74"/>
      <c r="AQ176" s="75"/>
    </row>
    <row r="177" spans="1:43" ht="26.25" x14ac:dyDescent="0.4">
      <c r="A177" s="1421" t="s">
        <v>1325</v>
      </c>
      <c r="B177" s="273" t="s">
        <v>1200</v>
      </c>
      <c r="C177" s="907" t="s">
        <v>1209</v>
      </c>
      <c r="D177" s="812"/>
      <c r="E177" s="813"/>
      <c r="F177" s="813"/>
      <c r="G177" s="813"/>
      <c r="H177" s="813"/>
      <c r="I177" s="813"/>
      <c r="J177" s="78"/>
      <c r="K177" s="78"/>
      <c r="L177" s="814"/>
      <c r="M177" s="814"/>
      <c r="N177" s="814"/>
      <c r="O177" s="814"/>
      <c r="P177" s="814"/>
      <c r="Q177" s="814"/>
      <c r="R177" s="814"/>
      <c r="S177" s="814"/>
      <c r="T177" s="814"/>
      <c r="U177" s="814"/>
      <c r="V177" s="814"/>
      <c r="W177" s="814"/>
      <c r="X177" s="814"/>
      <c r="Y177" s="814"/>
      <c r="Z177" s="814"/>
      <c r="AA177" s="814"/>
      <c r="AB177" s="325"/>
      <c r="AC177" s="325"/>
      <c r="AD177" s="325"/>
      <c r="AE177" s="325"/>
      <c r="AF177" s="325"/>
      <c r="AG177" s="325"/>
      <c r="AH177" s="325"/>
      <c r="AI177" s="285"/>
      <c r="AJ177" s="562">
        <f t="shared" si="58"/>
        <v>0</v>
      </c>
      <c r="AK177" s="822" t="str">
        <f>CONCATENATE(IF(D151&lt;&gt;(D177+D178+D179)," * Total "&amp;A177&amp;" "&amp;$D$20&amp;" "&amp;$D$21&amp;" should be equal to Total "&amp;A151&amp;""&amp;CHAR(10),""),IF(E151&lt;&gt;(E177+E178+E179)," * Total "&amp;A177&amp;" "&amp;$D$20&amp;" "&amp;$E$21&amp;" should be equal to Total  "&amp;A151&amp;""&amp;CHAR(10),""),IF(F151&lt;&gt;(F177+F178+F179)," * Total "&amp;A177&amp;" "&amp;$F$20&amp;" "&amp;$F$21&amp;" should be equal to Total  "&amp;A151&amp;""&amp;CHAR(10),""),IF(G151&lt;&gt;(G177+G178+G179)," * Total "&amp;A177&amp;" "&amp;$F$20&amp;" "&amp;$G$21&amp;" should be equal to Total  "&amp;A151&amp;""&amp;CHAR(10),""),IF(H151&lt;&gt;(H177+H178+H179)," * Total "&amp;A177&amp;" "&amp;$H$20&amp;" "&amp;$H$21&amp;" should be equal to Total  "&amp;A151&amp;""&amp;CHAR(10),""),IF(I151&lt;&gt;(I177+I178+I179)," * Total "&amp;A177&amp;" "&amp;$H$20&amp;" "&amp;$I$21&amp;" should be equal to Total  "&amp;A151&amp;""&amp;CHAR(10),""),IF(J151&lt;&gt;(J177+J178+J179)," * Total "&amp;A177&amp;" "&amp;$J$20&amp;" "&amp;$J$21&amp;" should be equal to Total  "&amp;A151&amp;""&amp;CHAR(10),""),IF(K151&lt;&gt;(K177+K178+K179)," * Total "&amp;A177&amp;" "&amp;$J$20&amp;" "&amp;$K$21&amp;" should be equal to Total  "&amp;A151&amp;""&amp;CHAR(10),""),IF(L151&lt;&gt;(L177+L178+L179)," * Total "&amp;A177&amp;" "&amp;$L$20&amp;" "&amp;$L$21&amp;" should be equal to Total  "&amp;A151&amp;""&amp;CHAR(10),""),IF(M151&lt;&gt;(M177+M178+M179)," * Total "&amp;A177&amp;" "&amp;$L$20&amp;" "&amp;$M$21&amp;" should be equal to Total  "&amp;A151&amp;""&amp;CHAR(10),""),IF(N151&lt;&gt;(N177+N178+N179)," * Total "&amp;A177&amp;" "&amp;$N$20&amp;" "&amp;$N$21&amp;" should be equal to Total  "&amp;A151&amp;""&amp;CHAR(10),""),IF(O151&lt;&gt;(O177+O178+O179)," * Total "&amp;A177&amp;" "&amp;$N$20&amp;" "&amp;$O$21&amp;" should be equal to Total  "&amp;A151&amp;""&amp;CHAR(10),""),IF(P151&lt;&gt;(P177+P178+P179)," * Total "&amp;A177&amp;" "&amp;$P$20&amp;" "&amp;$P$21&amp;" should be equal to Total  "&amp;A151&amp;""&amp;CHAR(10),""),IF(Q151&lt;&gt;(Q177+Q178+Q179)," * Total "&amp;A177&amp;" "&amp;$P$20&amp;" "&amp;$Q$21&amp;" should be equal to Total  "&amp;A151&amp;""&amp;CHAR(10),""),IF(R151&lt;&gt;(R177+R178+R179)," * Total "&amp;A177&amp;" "&amp;$R$20&amp;" "&amp;$R$21&amp;" should be equal to Total  "&amp;A151&amp;""&amp;CHAR(10),""),IF(S151&lt;&gt;(S177+S178+S179)," * Total "&amp;A177&amp;" "&amp;$R$20&amp;" "&amp;$S$21&amp;" should be equal to Total  "&amp;A151&amp;""&amp;CHAR(10),""),IF(T151&lt;&gt;(T177+T178+T179)," * Total "&amp;A177&amp;" "&amp;$T$20&amp;" "&amp;$T$21&amp;" should be equal to Total  "&amp;A151&amp;""&amp;CHAR(10),""),IF(U151&lt;&gt;(U177+U178+U179)," * Total "&amp;A177&amp;" "&amp;$T$20&amp;" "&amp;$U$21&amp;" should be equal to Total  "&amp;A151&amp;""&amp;CHAR(10),""),IF(V151&lt;&gt;(V177+V178+V179)," * Total "&amp;A177&amp;" "&amp;$V$20&amp;" "&amp;$V$21&amp;" should be equal to Total  "&amp;A151&amp;""&amp;CHAR(10),""),IF(W151&lt;&gt;(W177+W178+W179)," * Total "&amp;A177&amp;" "&amp;$V$20&amp;" "&amp;$W$21&amp;" should be equal to Total  "&amp;A151&amp;""&amp;CHAR(10),""),IF(X151&lt;&gt;(X177+X178+X179)," * Total "&amp;A177&amp;" "&amp;$X$20&amp;" "&amp;$X$21&amp;" should be equal to Total  "&amp;A151&amp;""&amp;CHAR(10),""),IF(Y151&lt;&gt;(Y177+Y178+Y179)," * Total "&amp;A177&amp;" "&amp;$X$20&amp;" "&amp;$Y$21&amp;" should be equal to Total  "&amp;A151&amp;""&amp;CHAR(10),""),IF(Z151&lt;&gt;(Z177+Z178+Z179)," * Total "&amp;A177&amp;" "&amp;$Z$20&amp;" "&amp;$Z$21&amp;" should be equal to Total  "&amp;A151&amp;""&amp;CHAR(10),""),IF(AA151&lt;&gt;(AA177+AA178+AA179)," * Total "&amp;A177&amp;" "&amp;$Z$20&amp;" "&amp;$AA$21&amp;" should be equal to Total  "&amp;A151&amp;""&amp;CHAR(10),""))</f>
        <v/>
      </c>
      <c r="AL177" s="1312"/>
      <c r="AM177" s="31"/>
      <c r="AN177" s="1477"/>
      <c r="AO177" s="13"/>
      <c r="AP177" s="74"/>
      <c r="AQ177" s="75"/>
    </row>
    <row r="178" spans="1:43" ht="26.25" x14ac:dyDescent="0.4">
      <c r="A178" s="1423"/>
      <c r="B178" s="911" t="s">
        <v>1202</v>
      </c>
      <c r="C178" s="528" t="s">
        <v>1210</v>
      </c>
      <c r="D178" s="820"/>
      <c r="E178" s="821"/>
      <c r="F178" s="821"/>
      <c r="G178" s="821"/>
      <c r="H178" s="821"/>
      <c r="I178" s="821"/>
      <c r="J178" s="78"/>
      <c r="K178" s="78"/>
      <c r="L178" s="821"/>
      <c r="M178" s="821"/>
      <c r="N178" s="821"/>
      <c r="O178" s="821"/>
      <c r="P178" s="821"/>
      <c r="Q178" s="821"/>
      <c r="R178" s="821"/>
      <c r="S178" s="821"/>
      <c r="T178" s="821"/>
      <c r="U178" s="821"/>
      <c r="V178" s="821"/>
      <c r="W178" s="821"/>
      <c r="X178" s="821"/>
      <c r="Y178" s="821"/>
      <c r="Z178" s="821"/>
      <c r="AA178" s="821"/>
      <c r="AB178" s="325"/>
      <c r="AC178" s="325"/>
      <c r="AD178" s="325"/>
      <c r="AE178" s="325"/>
      <c r="AF178" s="325"/>
      <c r="AG178" s="325"/>
      <c r="AH178" s="325"/>
      <c r="AI178" s="285"/>
      <c r="AJ178" s="562">
        <f t="shared" si="58"/>
        <v>0</v>
      </c>
      <c r="AK178" s="806"/>
      <c r="AL178" s="1312"/>
      <c r="AM178" s="31"/>
      <c r="AN178" s="1477"/>
      <c r="AO178" s="13"/>
      <c r="AP178" s="74"/>
      <c r="AQ178" s="75"/>
    </row>
    <row r="179" spans="1:43" ht="27" thickBot="1" x14ac:dyDescent="0.45">
      <c r="A179" s="1422"/>
      <c r="B179" s="928" t="s">
        <v>21</v>
      </c>
      <c r="C179" s="536" t="s">
        <v>1211</v>
      </c>
      <c r="D179" s="816"/>
      <c r="E179" s="817"/>
      <c r="F179" s="817"/>
      <c r="G179" s="817"/>
      <c r="H179" s="817"/>
      <c r="I179" s="817"/>
      <c r="J179" s="78"/>
      <c r="K179" s="78"/>
      <c r="L179" s="817"/>
      <c r="M179" s="817"/>
      <c r="N179" s="817"/>
      <c r="O179" s="817"/>
      <c r="P179" s="817"/>
      <c r="Q179" s="817"/>
      <c r="R179" s="817"/>
      <c r="S179" s="817"/>
      <c r="T179" s="817"/>
      <c r="U179" s="817"/>
      <c r="V179" s="817"/>
      <c r="W179" s="817"/>
      <c r="X179" s="817"/>
      <c r="Y179" s="817"/>
      <c r="Z179" s="817"/>
      <c r="AA179" s="817"/>
      <c r="AB179" s="325"/>
      <c r="AC179" s="325"/>
      <c r="AD179" s="325"/>
      <c r="AE179" s="325"/>
      <c r="AF179" s="325"/>
      <c r="AG179" s="325"/>
      <c r="AH179" s="325"/>
      <c r="AI179" s="285"/>
      <c r="AJ179" s="562">
        <f t="shared" si="58"/>
        <v>0</v>
      </c>
      <c r="AK179" s="806"/>
      <c r="AL179" s="1312"/>
      <c r="AM179" s="31"/>
      <c r="AN179" s="1477"/>
      <c r="AO179" s="13"/>
      <c r="AP179" s="74"/>
      <c r="AQ179" s="75"/>
    </row>
    <row r="180" spans="1:43" ht="50.25" hidden="1" customHeight="1" thickBot="1" x14ac:dyDescent="0.45">
      <c r="A180" s="929" t="s">
        <v>1215</v>
      </c>
      <c r="B180" s="273" t="s">
        <v>1216</v>
      </c>
      <c r="C180" s="907" t="s">
        <v>1217</v>
      </c>
      <c r="D180" s="812"/>
      <c r="E180" s="813"/>
      <c r="F180" s="813"/>
      <c r="G180" s="813"/>
      <c r="H180" s="813"/>
      <c r="I180" s="813"/>
      <c r="J180" s="78"/>
      <c r="K180" s="78"/>
      <c r="L180" s="814"/>
      <c r="M180" s="814"/>
      <c r="N180" s="814"/>
      <c r="O180" s="814"/>
      <c r="P180" s="814"/>
      <c r="Q180" s="814"/>
      <c r="R180" s="814"/>
      <c r="S180" s="814"/>
      <c r="T180" s="814"/>
      <c r="U180" s="814"/>
      <c r="V180" s="814"/>
      <c r="W180" s="814"/>
      <c r="X180" s="814"/>
      <c r="Y180" s="814"/>
      <c r="Z180" s="814"/>
      <c r="AA180" s="814"/>
      <c r="AB180" s="325"/>
      <c r="AC180" s="325"/>
      <c r="AD180" s="325"/>
      <c r="AE180" s="325"/>
      <c r="AF180" s="325"/>
      <c r="AG180" s="325"/>
      <c r="AH180" s="325"/>
      <c r="AI180" s="285"/>
      <c r="AJ180" s="562">
        <f t="shared" si="58"/>
        <v>0</v>
      </c>
      <c r="AK180" s="822" t="str">
        <f>CONCATENATE(IF(D180&gt;D151," * PrEP_CT Event-Driven Prep For age "&amp;$D$20&amp;" "&amp;$D$21&amp;" Should not be more than Total PrEP_CT"&amp;CHAR(10),""),IF(E180&gt;E151," * PrEP_CT Event-Driven Prep For age "&amp;$D$20&amp;" "&amp;$E$21&amp;" Should not be more than Total PrEP_CT"&amp;CHAR(10),""),IF(F180&gt;F151," * PrEP_CT Event-Driven Prep For age "&amp;$F$20&amp;" "&amp;$F$21&amp;" Should not be more than Total PrEP_CT"&amp;CHAR(10),""),IF(G180&gt;G151," * PrEP_CT Event-Driven Prep For age "&amp;$F$20&amp;" "&amp;$G$21&amp;" Should not be more than Total PrEP_CT"&amp;CHAR(10),""),IF(H180&gt;H151," * PrEP_CT Event-Driven Prep For age "&amp;$H$20&amp;" "&amp;$H$21&amp;" Should not be more than Total PrEP_CT"&amp;CHAR(10),""),IF(I180&gt;I151," * PrEP_CT Event-Driven Prep For age "&amp;$H$20&amp;" "&amp;$I$21&amp;" Should not be more than Total PrEP_CT"&amp;CHAR(10),""),IF(J180&gt;J151," * PrEP_CT Event-Driven Prep For age "&amp;$J$20&amp;" "&amp;$J$21&amp;" Should not be more than Total PrEP_CT"&amp;CHAR(10),""),IF(K180&gt;K151," * PrEP_CT Event-Driven Prep For age "&amp;$J$20&amp;" "&amp;$K$21&amp;" Should not be more than Total PrEP_CT"&amp;CHAR(10),""),IF(L180&gt;L151," * PrEP_CT Event-Driven Prep For age "&amp;$L$20&amp;" "&amp;$L$21&amp;" Should not be more than Total PrEP_CT"&amp;CHAR(10),""),IF(M180&gt;M151," * PrEP_CT Event-Driven Prep For age "&amp;$L$20&amp;" "&amp;$M$21&amp;" Should not be more than Total PrEP_CT"&amp;CHAR(10),""),IF(N180&gt;N151," * PrEP_CT Event-Driven Prep For age "&amp;$N$20&amp;" "&amp;$N$21&amp;" Should not be more than Total PrEP_CT"&amp;CHAR(10),""),IF(O180&gt;O151," * PrEP_CT Event-Driven Prep For age "&amp;$N$20&amp;" "&amp;$O$21&amp;" Should not be more than Total PrEP_CT"&amp;CHAR(10),""),IF(P180&gt;P151," * PrEP_CT Event-Driven Prep For age "&amp;$P$20&amp;" "&amp;$P$21&amp;" Should not be more than Total PrEP_CT"&amp;CHAR(10),""),IF(Q180&gt;Q151," * PrEP_CT Event-Driven Prep For age "&amp;$P$20&amp;" "&amp;$Q$21&amp;" Should not be more than Total PrEP_CT"&amp;CHAR(10),""),IF(R180&gt;R151," * PrEP_CT Event-Driven Prep For age "&amp;$R$20&amp;" "&amp;$R$21&amp;" Should not be more than Total PrEP_CT"&amp;CHAR(10),""),IF(S180&gt;S151," * PrEP_CT Event-Driven Prep For age "&amp;$R$20&amp;" "&amp;$S$21&amp;" Should not be more than Total PrEP_CT"&amp;CHAR(10),""),IF(T180&gt;T151," * PrEP_CT Event-Driven Prep For age "&amp;$T$20&amp;" "&amp;$T$21&amp;" Should not be more than Total PrEP_CT"&amp;CHAR(10),""),IF(U180&gt;U151," * PrEP_CT Event-Driven Prep For age "&amp;$T$20&amp;" "&amp;$U$21&amp;" Should not be more than Total PrEP_CT"&amp;CHAR(10),""),IF(V180&gt;V151," * PrEP_CT Event-Driven Prep For age "&amp;$V$20&amp;" "&amp;$V$21&amp;" Should not be more than Total PrEP_CT"&amp;CHAR(10),""),IF(W180&gt;W151," * PrEP_CT Event-Driven Prep For age "&amp;$V$20&amp;" "&amp;$W$21&amp;" Should not be more than Total PrEP_CT"&amp;CHAR(10),""),IF(X180&gt;X151," * PrEP_CT Event-Driven Prep For age "&amp;$X$20&amp;" "&amp;$X$21&amp;" Should not be more than Total PrEP_CT"&amp;CHAR(10),""),IF(Y180&gt;Y151," * PrEP_CT Event-Driven Prep For age "&amp;$X$20&amp;" "&amp;$Y$21&amp;" Should not be more than Total PrEP_CT"&amp;CHAR(10),""),IF(Z180&gt;Z151," * PrEP_CT Event-Driven Prep For age "&amp;$Z$20&amp;" "&amp;$Z$21&amp;" Should not be more than Total PrEP_CT"&amp;CHAR(10),""),IF(AA180&gt;AA151," * PrEP_CT Event-Driven Prep For age "&amp;$Z$20&amp;" "&amp;$AA$21&amp;" Should not be more than Total PrEP_CT"&amp;CHAR(10),""))</f>
        <v/>
      </c>
      <c r="AL180" s="1313"/>
      <c r="AM180" s="31"/>
      <c r="AN180" s="1478"/>
      <c r="AO180" s="13"/>
      <c r="AP180" s="74"/>
      <c r="AQ180" s="75"/>
    </row>
    <row r="181" spans="1:43" ht="32.65" customHeight="1" thickBot="1" x14ac:dyDescent="0.45">
      <c r="A181" s="1249" t="s">
        <v>1188</v>
      </c>
      <c r="B181" s="1250"/>
      <c r="C181" s="1251"/>
      <c r="D181" s="1251"/>
      <c r="E181" s="1251"/>
      <c r="F181" s="1251"/>
      <c r="G181" s="1251"/>
      <c r="H181" s="1251"/>
      <c r="I181" s="1251"/>
      <c r="J181" s="1251"/>
      <c r="K181" s="1251"/>
      <c r="L181" s="1251"/>
      <c r="M181" s="1251"/>
      <c r="N181" s="1251"/>
      <c r="O181" s="1251"/>
      <c r="P181" s="1251"/>
      <c r="Q181" s="1251"/>
      <c r="R181" s="1251"/>
      <c r="S181" s="1251"/>
      <c r="T181" s="1251"/>
      <c r="U181" s="1251"/>
      <c r="V181" s="1251"/>
      <c r="W181" s="1251"/>
      <c r="X181" s="1251"/>
      <c r="Y181" s="1251"/>
      <c r="Z181" s="1251"/>
      <c r="AA181" s="1251"/>
      <c r="AB181" s="1276"/>
      <c r="AC181" s="1276"/>
      <c r="AD181" s="1276"/>
      <c r="AE181" s="1276"/>
      <c r="AF181" s="1276"/>
      <c r="AG181" s="1276"/>
      <c r="AH181" s="1276"/>
      <c r="AI181" s="1276"/>
      <c r="AJ181" s="1250"/>
      <c r="AK181" s="1251"/>
      <c r="AL181" s="1250"/>
      <c r="AM181" s="1250"/>
      <c r="AN181" s="1252"/>
      <c r="AO181" s="13">
        <v>97</v>
      </c>
      <c r="AP181" s="74"/>
      <c r="AQ181" s="75"/>
    </row>
    <row r="182" spans="1:43" ht="26.25" customHeight="1" x14ac:dyDescent="0.4">
      <c r="A182" s="1214" t="s">
        <v>35</v>
      </c>
      <c r="B182" s="1200" t="s">
        <v>307</v>
      </c>
      <c r="C182" s="1192" t="s">
        <v>291</v>
      </c>
      <c r="D182" s="1199" t="s">
        <v>0</v>
      </c>
      <c r="E182" s="1199"/>
      <c r="F182" s="1199" t="s">
        <v>1</v>
      </c>
      <c r="G182" s="1199"/>
      <c r="H182" s="1199" t="s">
        <v>2</v>
      </c>
      <c r="I182" s="1199"/>
      <c r="J182" s="1199" t="s">
        <v>3</v>
      </c>
      <c r="K182" s="1199"/>
      <c r="L182" s="1199" t="s">
        <v>4</v>
      </c>
      <c r="M182" s="1199"/>
      <c r="N182" s="1199" t="s">
        <v>5</v>
      </c>
      <c r="O182" s="1199"/>
      <c r="P182" s="1199" t="s">
        <v>6</v>
      </c>
      <c r="Q182" s="1199"/>
      <c r="R182" s="1199" t="s">
        <v>7</v>
      </c>
      <c r="S182" s="1199"/>
      <c r="T182" s="1199" t="s">
        <v>8</v>
      </c>
      <c r="U182" s="1199"/>
      <c r="V182" s="1199" t="s">
        <v>23</v>
      </c>
      <c r="W182" s="1199"/>
      <c r="X182" s="1199" t="s">
        <v>24</v>
      </c>
      <c r="Y182" s="1199"/>
      <c r="Z182" s="1199" t="s">
        <v>9</v>
      </c>
      <c r="AA182" s="1207"/>
      <c r="AB182" s="1417"/>
      <c r="AC182" s="1231"/>
      <c r="AD182" s="1231"/>
      <c r="AE182" s="1231"/>
      <c r="AF182" s="1231"/>
      <c r="AG182" s="1231"/>
      <c r="AH182" s="1231"/>
      <c r="AI182" s="1232"/>
      <c r="AJ182" s="1378" t="s">
        <v>19</v>
      </c>
      <c r="AK182" s="1309" t="s">
        <v>340</v>
      </c>
      <c r="AL182" s="1291" t="s">
        <v>346</v>
      </c>
      <c r="AM182" s="1237" t="s">
        <v>347</v>
      </c>
      <c r="AN182" s="1300" t="s">
        <v>347</v>
      </c>
      <c r="AO182" s="13">
        <v>98</v>
      </c>
      <c r="AP182" s="74"/>
      <c r="AQ182" s="75"/>
    </row>
    <row r="183" spans="1:43" ht="27" customHeight="1" thickBot="1" x14ac:dyDescent="0.45">
      <c r="A183" s="1215"/>
      <c r="B183" s="1210"/>
      <c r="C183" s="1193"/>
      <c r="D183" s="68" t="s">
        <v>10</v>
      </c>
      <c r="E183" s="68" t="s">
        <v>11</v>
      </c>
      <c r="F183" s="68" t="s">
        <v>10</v>
      </c>
      <c r="G183" s="68" t="s">
        <v>11</v>
      </c>
      <c r="H183" s="68" t="s">
        <v>10</v>
      </c>
      <c r="I183" s="68" t="s">
        <v>11</v>
      </c>
      <c r="J183" s="68" t="s">
        <v>10</v>
      </c>
      <c r="K183" s="68" t="s">
        <v>11</v>
      </c>
      <c r="L183" s="68" t="s">
        <v>10</v>
      </c>
      <c r="M183" s="68" t="s">
        <v>11</v>
      </c>
      <c r="N183" s="68" t="s">
        <v>10</v>
      </c>
      <c r="O183" s="68" t="s">
        <v>11</v>
      </c>
      <c r="P183" s="68" t="s">
        <v>10</v>
      </c>
      <c r="Q183" s="68" t="s">
        <v>11</v>
      </c>
      <c r="R183" s="68" t="s">
        <v>10</v>
      </c>
      <c r="S183" s="68" t="s">
        <v>11</v>
      </c>
      <c r="T183" s="68" t="s">
        <v>10</v>
      </c>
      <c r="U183" s="68" t="s">
        <v>11</v>
      </c>
      <c r="V183" s="68" t="s">
        <v>10</v>
      </c>
      <c r="W183" s="68" t="s">
        <v>11</v>
      </c>
      <c r="X183" s="68" t="s">
        <v>10</v>
      </c>
      <c r="Y183" s="68" t="s">
        <v>11</v>
      </c>
      <c r="Z183" s="68" t="s">
        <v>10</v>
      </c>
      <c r="AA183" s="336" t="s">
        <v>11</v>
      </c>
      <c r="AB183" s="338"/>
      <c r="AC183" s="339"/>
      <c r="AD183" s="339"/>
      <c r="AE183" s="339"/>
      <c r="AF183" s="339"/>
      <c r="AG183" s="339"/>
      <c r="AH183" s="339"/>
      <c r="AI183" s="340"/>
      <c r="AJ183" s="1392"/>
      <c r="AK183" s="1310"/>
      <c r="AL183" s="1242"/>
      <c r="AM183" s="1237"/>
      <c r="AN183" s="1254"/>
      <c r="AO183" s="13">
        <v>99</v>
      </c>
      <c r="AP183" s="74"/>
      <c r="AQ183" s="75"/>
    </row>
    <row r="184" spans="1:43" ht="33.4" customHeight="1" thickBot="1" x14ac:dyDescent="0.45">
      <c r="A184" s="1249" t="s">
        <v>1287</v>
      </c>
      <c r="B184" s="1250"/>
      <c r="C184" s="1250"/>
      <c r="D184" s="1250"/>
      <c r="E184" s="1250"/>
      <c r="F184" s="1250"/>
      <c r="G184" s="1250"/>
      <c r="H184" s="1250"/>
      <c r="I184" s="1250"/>
      <c r="J184" s="1250"/>
      <c r="K184" s="1250"/>
      <c r="L184" s="1250"/>
      <c r="M184" s="1250"/>
      <c r="N184" s="1250"/>
      <c r="O184" s="1250"/>
      <c r="P184" s="1250"/>
      <c r="Q184" s="1250"/>
      <c r="R184" s="1250"/>
      <c r="S184" s="1250"/>
      <c r="T184" s="1250"/>
      <c r="U184" s="1250"/>
      <c r="V184" s="1250"/>
      <c r="W184" s="1250"/>
      <c r="X184" s="1250"/>
      <c r="Y184" s="1250"/>
      <c r="Z184" s="1250"/>
      <c r="AA184" s="1250"/>
      <c r="AB184" s="1250"/>
      <c r="AC184" s="1250"/>
      <c r="AD184" s="1250"/>
      <c r="AE184" s="1250"/>
      <c r="AF184" s="1250"/>
      <c r="AG184" s="1250"/>
      <c r="AH184" s="1250"/>
      <c r="AI184" s="1250"/>
      <c r="AJ184" s="1250"/>
      <c r="AK184" s="1250"/>
      <c r="AL184" s="1250"/>
      <c r="AM184" s="1250"/>
      <c r="AN184" s="1362"/>
      <c r="AO184" s="13">
        <v>97</v>
      </c>
      <c r="AP184" s="74"/>
      <c r="AQ184" s="75"/>
    </row>
    <row r="185" spans="1:43" s="61" customFormat="1" ht="47.25" customHeight="1" thickBot="1" x14ac:dyDescent="0.45">
      <c r="A185" s="1204" t="s">
        <v>1146</v>
      </c>
      <c r="B185" s="989" t="s">
        <v>1300</v>
      </c>
      <c r="C185" s="974" t="s">
        <v>1150</v>
      </c>
      <c r="D185" s="136"/>
      <c r="E185" s="72"/>
      <c r="F185" s="72"/>
      <c r="G185" s="72"/>
      <c r="H185" s="72"/>
      <c r="I185" s="72"/>
      <c r="J185" s="72"/>
      <c r="K185" s="72"/>
      <c r="L185" s="72"/>
      <c r="M185" s="72"/>
      <c r="N185" s="72"/>
      <c r="O185" s="72"/>
      <c r="P185" s="72"/>
      <c r="Q185" s="72"/>
      <c r="R185" s="72"/>
      <c r="S185" s="72"/>
      <c r="T185" s="72"/>
      <c r="U185" s="72"/>
      <c r="V185" s="72"/>
      <c r="W185" s="72"/>
      <c r="X185" s="72"/>
      <c r="Y185" s="72"/>
      <c r="Z185" s="72"/>
      <c r="AA185" s="289"/>
      <c r="AB185" s="354"/>
      <c r="AC185" s="325"/>
      <c r="AD185" s="325"/>
      <c r="AE185" s="325"/>
      <c r="AF185" s="325"/>
      <c r="AG185" s="325"/>
      <c r="AH185" s="325"/>
      <c r="AI185" s="285"/>
      <c r="AJ185" s="52">
        <f>SUM(D185:AA185)</f>
        <v>0</v>
      </c>
      <c r="AK185" s="137"/>
      <c r="AL185" s="970" t="str">
        <f>CONCATENATE(AK188,AK189,AK190,AK191,AK192,AK193,AK194,AK195,AK196,AK197,AK198,AK199,AK185)</f>
        <v/>
      </c>
      <c r="AM185" s="138"/>
      <c r="AN185" s="553"/>
      <c r="AO185" s="13">
        <v>100</v>
      </c>
      <c r="AP185" s="80"/>
      <c r="AQ185" s="75"/>
    </row>
    <row r="186" spans="1:43" s="61" customFormat="1" ht="83.65" customHeight="1" thickBot="1" x14ac:dyDescent="0.45">
      <c r="A186" s="1204"/>
      <c r="B186" s="990" t="s">
        <v>1299</v>
      </c>
      <c r="C186" s="973" t="s">
        <v>1278</v>
      </c>
      <c r="D186" s="496"/>
      <c r="E186" s="225"/>
      <c r="F186" s="225"/>
      <c r="G186" s="225"/>
      <c r="H186" s="225"/>
      <c r="I186" s="225"/>
      <c r="J186" s="225"/>
      <c r="K186" s="225"/>
      <c r="L186" s="225"/>
      <c r="M186" s="225"/>
      <c r="N186" s="225"/>
      <c r="O186" s="225"/>
      <c r="P186" s="225"/>
      <c r="Q186" s="225"/>
      <c r="R186" s="225"/>
      <c r="S186" s="225"/>
      <c r="T186" s="225"/>
      <c r="U186" s="225"/>
      <c r="V186" s="225"/>
      <c r="W186" s="225"/>
      <c r="X186" s="225"/>
      <c r="Y186" s="225"/>
      <c r="Z186" s="225"/>
      <c r="AA186" s="304"/>
      <c r="AB186" s="354"/>
      <c r="AC186" s="325"/>
      <c r="AD186" s="325"/>
      <c r="AE186" s="325"/>
      <c r="AF186" s="325"/>
      <c r="AG186" s="325"/>
      <c r="AH186" s="325"/>
      <c r="AI186" s="285"/>
      <c r="AJ186" s="182">
        <f>SUM(D186:AA186)</f>
        <v>0</v>
      </c>
      <c r="AK186" s="124"/>
      <c r="AL186" s="970"/>
      <c r="AM186" s="972"/>
      <c r="AN186" s="906"/>
      <c r="AO186" s="13"/>
      <c r="AP186" s="80"/>
      <c r="AQ186" s="75"/>
    </row>
    <row r="187" spans="1:43" ht="33.4" customHeight="1" thickBot="1" x14ac:dyDescent="0.45">
      <c r="A187" s="1249" t="s">
        <v>1301</v>
      </c>
      <c r="B187" s="1250"/>
      <c r="C187" s="1250"/>
      <c r="D187" s="1250"/>
      <c r="E187" s="1250"/>
      <c r="F187" s="1250"/>
      <c r="G187" s="1250"/>
      <c r="H187" s="1250"/>
      <c r="I187" s="1250"/>
      <c r="J187" s="1250"/>
      <c r="K187" s="1250"/>
      <c r="L187" s="1250"/>
      <c r="M187" s="1250"/>
      <c r="N187" s="1250"/>
      <c r="O187" s="1250"/>
      <c r="P187" s="1250"/>
      <c r="Q187" s="1250"/>
      <c r="R187" s="1250"/>
      <c r="S187" s="1250"/>
      <c r="T187" s="1250"/>
      <c r="U187" s="1250"/>
      <c r="V187" s="1250"/>
      <c r="W187" s="1250"/>
      <c r="X187" s="1250"/>
      <c r="Y187" s="1250"/>
      <c r="Z187" s="1250"/>
      <c r="AA187" s="1250"/>
      <c r="AB187" s="1250"/>
      <c r="AC187" s="1250"/>
      <c r="AD187" s="1250"/>
      <c r="AE187" s="1250"/>
      <c r="AF187" s="1250"/>
      <c r="AG187" s="1250"/>
      <c r="AH187" s="1250"/>
      <c r="AI187" s="1250"/>
      <c r="AJ187" s="1250"/>
      <c r="AK187" s="1250"/>
      <c r="AL187" s="1250"/>
      <c r="AM187" s="1250"/>
      <c r="AN187" s="1362"/>
      <c r="AO187" s="13">
        <v>97</v>
      </c>
      <c r="AP187" s="74"/>
      <c r="AQ187" s="75"/>
    </row>
    <row r="188" spans="1:43" s="61" customFormat="1" ht="38.450000000000003" customHeight="1" x14ac:dyDescent="0.4">
      <c r="A188" s="1447" t="s">
        <v>1155</v>
      </c>
      <c r="B188" s="69" t="s">
        <v>1157</v>
      </c>
      <c r="C188" s="950" t="s">
        <v>179</v>
      </c>
      <c r="D188" s="136"/>
      <c r="E188" s="72"/>
      <c r="F188" s="72"/>
      <c r="G188" s="72"/>
      <c r="H188" s="72"/>
      <c r="I188" s="72"/>
      <c r="J188" s="72"/>
      <c r="K188" s="72"/>
      <c r="L188" s="72"/>
      <c r="M188" s="72"/>
      <c r="N188" s="72"/>
      <c r="O188" s="72"/>
      <c r="P188" s="72"/>
      <c r="Q188" s="72"/>
      <c r="R188" s="72"/>
      <c r="S188" s="72"/>
      <c r="T188" s="72"/>
      <c r="U188" s="72"/>
      <c r="V188" s="72"/>
      <c r="W188" s="72"/>
      <c r="X188" s="72"/>
      <c r="Y188" s="72"/>
      <c r="Z188" s="72"/>
      <c r="AA188" s="289"/>
      <c r="AB188" s="354"/>
      <c r="AC188" s="325"/>
      <c r="AD188" s="325"/>
      <c r="AE188" s="325"/>
      <c r="AF188" s="325"/>
      <c r="AG188" s="325"/>
      <c r="AH188" s="325"/>
      <c r="AI188" s="285"/>
      <c r="AJ188" s="52">
        <f>SUM(D188:AA188)</f>
        <v>0</v>
      </c>
      <c r="AK188" s="137" t="str">
        <f>CONCATENATE(IF(D188&lt;&gt;SUM(D190,D192,D194,D196,D198)," *  Iniated On IPT New ON ART for Age "&amp;D20&amp;" "&amp;D21&amp;" is not equal to the sum of  Completed IPT New on ART+ Discontinued New on ART + LTFU New on ART + Died New on ART + Transferred Out New on ART)"&amp;CHAR(10),""),IF(E188&lt;&gt;SUM(E190,E192,E194,E196,E198)," *  Iniated On IPT New ON ART for Age "&amp;D20&amp;" "&amp;E21&amp;" is not equal to the sum of F03-03+F03-05+F03-07+F03-09+F03-11"&amp;CHAR(10),""),IF(F188&lt;&gt;SUM(F190,F192,F194,F196,F198)," *  Iniated On IPT New ON ART for Age "&amp;F20&amp;" "&amp;F21&amp;" is not equal to the sum of  Completed IPT New on ART+ Discontinued New on ART + LTFU New on ART + Died New on ART + Transferred Out New on ART)"&amp;CHAR(10),""),IF(G188&lt;&gt;SUM(G190,G192,G194,G196,G198)," *  Iniated On IPT New ON ART for Age "&amp;F20&amp;" "&amp;G21&amp;" is not equal to the sum of F03-03+F03-05+F03-07+F03-09+F03-11"&amp;CHAR(10),""),IF(H188&lt;&gt;SUM(H190,H192,H194,H196,H198)," *  Iniated On IPT New ON ART for Age "&amp;H20&amp;" "&amp;H21&amp;" is not equal to the sum of  Completed IPT New on ART+ Discontinued New on ART + LTFU New on ART + Died New on ART + Transferred Out New on ART)"&amp;CHAR(10),""),IF(I188&lt;&gt;SUM(I190,I192,I194,I196,I198)," *  Iniated On IPT New ON ART for Age "&amp;H20&amp;" "&amp;I21&amp;" is not equal to the sum of F03-03+F03-05+F03-07+F03-09+F03-11"&amp;CHAR(10),""),IF(J188&lt;&gt;SUM(J190,J192,J194,J196,J198)," *  Iniated On IPT New ON ART for Age "&amp;J20&amp;" "&amp;J21&amp;" is not equal to the sum of  Completed IPT New on ART+ Discontinued New on ART + LTFU New on ART + Died New on ART + Transferred Out New on ART)"&amp;CHAR(10),""),IF(K188&lt;&gt;SUM(K190,K192,K194,K196,K198)," *  Iniated On IPT New ON ART for Age "&amp;J20&amp;" "&amp;K21&amp;" is not equal to the sum of F03-03+F03-05+F03-07+F03-09+F03-11"&amp;CHAR(10),""),IF(L188&lt;&gt;SUM(L190,L192,L194,L196,L198)," *  Iniated On IPT New ON ART for Age "&amp;L20&amp;" "&amp;L21&amp;" is not equal to the sum of  Completed IPT New on ART+ Discontinued New on ART + LTFU New on ART + Died New on ART + Transferred Out New on ART)"&amp;CHAR(10),""),IF(M188&lt;&gt;SUM(M190,M192,M194,M196,M198)," *  Iniated On IPT New ON ART for Age "&amp;L20&amp;" "&amp;M21&amp;" is not equal to the sum of F03-03+F03-05+F03-07+F03-09+F03-11"&amp;CHAR(10),""),IF(N188&lt;&gt;SUM(N190,N192,N194,N196,N198)," *  Iniated On IPT New ON ART for Age "&amp;N20&amp;" "&amp;N21&amp;" is not equal to the sum of  Completed IPT New on ART+ Discontinued New on ART + LTFU New on ART + Died New on ART + Transferred Out New on ART)"&amp;CHAR(10),""),IF(O188&lt;&gt;SUM(O190,O192,O194,O196,O198)," *  Iniated On IPT New ON ART for Age "&amp;N20&amp;" "&amp;O21&amp;" is not equal to the sum of F03-03+F03-05+F03-07+F03-09+F03-11"&amp;CHAR(10),""),IF(P188&lt;&gt;SUM(P190,P192,P194,P196,P198)," *  Iniated On IPT New ON ART for Age "&amp;P20&amp;" "&amp;P21&amp;" is not equal to the sum of  Completed IPT New on ART+ Discontinued New on ART + LTFU New on ART + Died New on ART + Transferred Out New on ART)"&amp;CHAR(10),""),IF(Q188&lt;&gt;SUM(Q190,Q192,Q194,Q196,Q198)," *  Iniated On IPT New ON ART for Age "&amp;P20&amp;" "&amp;Q21&amp;" is not equal to the sum of F03-03+F03-05+F03-07+F03-09+F03-11"&amp;CHAR(10),""),IF(R188&lt;&gt;SUM(R190,R192,R194,R196,R198)," *  Iniated On IPT New ON ART for Age "&amp;R20&amp;" "&amp;R21&amp;" is not equal to the sum of  Completed IPT New on ART+ Discontinued New on ART + LTFU New on ART + Died New on ART + Transferred Out New on ART)"&amp;CHAR(10),""),IF(S188&lt;&gt;SUM(S190,S192,S194,S196,S198)," *  Iniated On IPT New ON ART for Age "&amp;R20&amp;" "&amp;S21&amp;" is not equal to the sum of F03-03+F03-05+F03-07+F03-09+F03-11"&amp;CHAR(10),""),IF(T188&lt;&gt;SUM(T190,T192,T194,T196,T198)," *  Iniated On IPT New ON ART for Age "&amp;T20&amp;" "&amp;T21&amp;" is not equal to the sum of  Completed IPT New on ART+ Discontinued New on ART + LTFU New on ART + Died New on ART + Transferred Out New on ART)"&amp;CHAR(10),""),IF(U188&lt;&gt;SUM(U190,U192,U194,U196,U198)," *  Iniated On IPT New ON ART for Age "&amp;T20&amp;" "&amp;U21&amp;" is not equal to the sum of F03-03+F03-05+F03-07+F03-09+F03-11"&amp;CHAR(10),""),IF(V188&lt;&gt;SUM(V190,V192,V194,V196,V198)," *  Iniated On IPT New ON ART for Age "&amp;V20&amp;" "&amp;V21&amp;" is not equal to the sum of  Completed IPT New on ART+ Discontinued New on ART + LTFU New on ART + Died New on ART + Transferred Out New on ART)"&amp;CHAR(10),""),IF(W188&lt;&gt;SUM(W190,W192,W194,W196,W198)," *  Iniated On IPT New ON ART for Age "&amp;V20&amp;" "&amp;W21&amp;" is not equal to the sum of F03-03+F03-05+F03-07+F03-09+F03-11"&amp;CHAR(10),""),IF(X188&lt;&gt;SUM(X190,X192,X194,X196,X198)," *  Iniated On IPT New ON ART for Age "&amp;X20&amp;" "&amp;X21&amp;" is not equal to the sum of  Completed IPT New on ART+ Discontinued New on ART + LTFU New on ART + Died New on ART + Transferred Out New on ART)"&amp;CHAR(10),""),IF(Y188&lt;&gt;SUM(Y190,Y192,Y194,Y196,Y198)," *  Iniated On IPT New ON ART for Age "&amp;X20&amp;" "&amp;Y21&amp;" is not equal to the sum of F03-03+F03-05+F03-07+F03-09+F03-11"&amp;CHAR(10),""),IF(Z188&lt;&gt;SUM(Z190,Z192,Z194,Z196,Z198)," *  Iniated On IPT New ON ART for Age "&amp;Z20&amp;" "&amp;Z21&amp;" is not equal to the sum of  Completed IPT New on ART+ Discontinued New on ART + LTFU New on ART + Died New on ART + Transferred Out New on ART)"&amp;CHAR(10),""),IF(AA188&lt;&gt;SUM(AA190,AA192,AA194,AA196,AA198)," *  Iniated On IPT New ON ART for Age "&amp;Z20&amp;" "&amp;AA21&amp;" is not equal to the sum of  Completed IPT New on ART+ Discontinued New on ART + LTFU New on ART + Died New on ART + Transferred Out New on ART)"&amp;CHAR(10),""))</f>
        <v/>
      </c>
      <c r="AL188" s="1284" t="str">
        <f>CONCATENATE(AK188,AK189,AK190,AK191,AK192,AK193,AK194,AK195,AK196,AK197,AK198,AK199,AK185)</f>
        <v/>
      </c>
      <c r="AM188" s="138"/>
      <c r="AN188" s="1458" t="str">
        <f>CONCATENATE(AM188,AM189,AM190,AM191,AM192,AM193,AM194,AM195,AM196,AM197,AM198,AM199)</f>
        <v/>
      </c>
      <c r="AO188" s="13">
        <v>100</v>
      </c>
      <c r="AP188" s="80"/>
      <c r="AQ188" s="75"/>
    </row>
    <row r="189" spans="1:43" s="61" customFormat="1" ht="38.450000000000003" customHeight="1" thickBot="1" x14ac:dyDescent="0.45">
      <c r="A189" s="1245"/>
      <c r="B189" s="87" t="s">
        <v>1158</v>
      </c>
      <c r="C189" s="808" t="s">
        <v>180</v>
      </c>
      <c r="D189" s="139"/>
      <c r="E189" s="89"/>
      <c r="F189" s="89"/>
      <c r="G189" s="89"/>
      <c r="H189" s="89"/>
      <c r="I189" s="89"/>
      <c r="J189" s="89"/>
      <c r="K189" s="89"/>
      <c r="L189" s="89"/>
      <c r="M189" s="89"/>
      <c r="N189" s="89"/>
      <c r="O189" s="89"/>
      <c r="P189" s="89"/>
      <c r="Q189" s="89"/>
      <c r="R189" s="89"/>
      <c r="S189" s="89"/>
      <c r="T189" s="89"/>
      <c r="U189" s="89"/>
      <c r="V189" s="89"/>
      <c r="W189" s="89"/>
      <c r="X189" s="89"/>
      <c r="Y189" s="89"/>
      <c r="Z189" s="89"/>
      <c r="AA189" s="292"/>
      <c r="AB189" s="354"/>
      <c r="AC189" s="325"/>
      <c r="AD189" s="325"/>
      <c r="AE189" s="325"/>
      <c r="AF189" s="325"/>
      <c r="AG189" s="325"/>
      <c r="AH189" s="325"/>
      <c r="AI189" s="285"/>
      <c r="AJ189" s="184">
        <f t="shared" ref="AJ189:AJ199" si="59">SUM(D189:AA189)</f>
        <v>0</v>
      </c>
      <c r="AK189" s="116" t="str">
        <f>CONCATENATE(IF(D189&lt;&gt;SUM(D191,D193,D195,D197,D199)," * F03-02 for Age "&amp;D20&amp;" "&amp;D21&amp;" is not equal to the sum of (F03-04+F03-06+F03-08+F03-10+F03-12)"&amp;CHAR(10),""),IF(E189&lt;&gt;SUM(E191,E193,E195,E197,E199)," * F03-02 for Age "&amp;D20&amp;" "&amp;E21&amp;" is not equal to the sum of F03-04+F03-06+F03-08+F03-10+F03-12"&amp;CHAR(10),""),IF(F189&lt;&gt;SUM(F191,F193,F195,F197,F199)," * F03-02 for Age "&amp;F20&amp;" "&amp;F21&amp;" is not equal to the sum of (F03-04+F03-06+F03-08+F03-10+F03-12)"&amp;CHAR(10),""),IF(G189&lt;&gt;SUM(G191,G193,G195,G197,G199)," * F03-02 for Age "&amp;F20&amp;" "&amp;G21&amp;" is not equal to the sum of F03-04+F03-06+F03-08+F03-10+F03-12"&amp;CHAR(10),""),IF(H189&lt;&gt;SUM(H191,H193,H195,H197,H199)," * F03-02 for Age "&amp;H20&amp;" "&amp;H21&amp;" is not equal to the sum of (F03-04+F03-06+F03-08+F03-10+F03-12)"&amp;CHAR(10),""),IF(I189&lt;&gt;SUM(I191,I193,I195,I197,I199)," * F03-02 for Age "&amp;H20&amp;" "&amp;I21&amp;" is not equal to the sum of F03-04+F03-06+F03-08+F03-10+F03-12"&amp;CHAR(10),""),IF(J189&lt;&gt;SUM(J191,J193,J195,J197,J199)," * F03-02 for Age "&amp;J20&amp;" "&amp;J21&amp;" is not equal to the sum of (F03-04+F03-06+F03-08+F03-10+F03-12)"&amp;CHAR(10),""),IF(K189&lt;&gt;SUM(K191,K193,K195,K197,K199)," * F03-02 for Age "&amp;J20&amp;" "&amp;K21&amp;" is not equal to the sum of F03-04+F03-06+F03-08+F03-10+F03-12"&amp;CHAR(10),""),IF(L189&lt;&gt;SUM(L191,L193,L195,L197,L199)," * F03-02 for Age "&amp;L20&amp;" "&amp;L21&amp;" is not equal to the sum of (F03-04+F03-06+F03-08+F03-10+F03-12)"&amp;CHAR(10),""),IF(M189&lt;&gt;SUM(M191,M193,M195,M197,M199)," * F03-02 for Age "&amp;L20&amp;" "&amp;M21&amp;" is not equal to the sum of F03-04+F03-06+F03-08+F03-10+F03-12"&amp;CHAR(10),""),IF(N189&lt;&gt;SUM(N191,N193,N195,N197,N199)," * F03-02 for Age "&amp;N20&amp;" "&amp;N21&amp;" is not equal to the sum of (F03-04+F03-06+F03-08+F03-10+F03-12)"&amp;CHAR(10),""),IF(O189&lt;&gt;SUM(O191,O193,O195,O197,O199)," * F03-02 for Age "&amp;N20&amp;" "&amp;O21&amp;" is not equal to the sum of F03-04+F03-06+F03-08+F03-10+F03-12"&amp;CHAR(10),""),IF(P189&lt;&gt;SUM(P191,P193,P195,P197,P199)," * F03-02 for Age "&amp;P20&amp;" "&amp;P21&amp;" is not equal to the sum of (F03-04+F03-06+F03-08+F03-10+F03-12)"&amp;CHAR(10),""),IF(Q189&lt;&gt;SUM(Q191,Q193,Q195,Q197,Q199)," * F03-02 for Age "&amp;P20&amp;" "&amp;Q21&amp;" is not equal to the sum of F03-04+F03-06+F03-08+F03-10+F03-12"&amp;CHAR(10),""),IF(R189&lt;&gt;SUM(R191,R193,R195,R197,R199)," * F03-02 for Age "&amp;R20&amp;" "&amp;R21&amp;" is not equal to the sum of (F03-04+F03-06+F03-08+F03-10+F03-12)"&amp;CHAR(10),""),IF(S189&lt;&gt;SUM(S191,S193,S195,S197,S199)," * F03-02 for Age "&amp;R20&amp;" "&amp;S21&amp;" is not equal to the sum of F03-04+F03-06+F03-08+F03-10+F03-12"&amp;CHAR(10),""),IF(T189&lt;&gt;SUM(T191,T193,T195,T197,T199)," * F03-02 for Age "&amp;T20&amp;" "&amp;T21&amp;" is not equal to the sum of (F03-04+F03-06+F03-08+F03-10+F03-12)"&amp;CHAR(10),""),IF(U189&lt;&gt;SUM(U191,U193,U195,U197,U199)," * F03-02 for Age "&amp;T20&amp;" "&amp;U21&amp;" is not equal to the sum of F03-04+F03-06+F03-08+F03-10+F03-12"&amp;CHAR(10),""),IF(V189&lt;&gt;SUM(V191,V193,V195,V197,V199)," * F03-02 for Age "&amp;V20&amp;" "&amp;V21&amp;" is not equal to the sum of (F03-04+F03-06+F03-08+F03-10+F03-12)"&amp;CHAR(10),""),IF(W189&lt;&gt;SUM(W191,W193,W195,W197,W199)," * F03-02 for Age "&amp;V20&amp;" "&amp;W21&amp;" is not equal to the sum of F03-04+F03-06+F03-08+F03-10+F03-12"&amp;CHAR(10),""),IF(X189&lt;&gt;SUM(X191,X193,X195,X197,X199)," * F03-02 for Age "&amp;X20&amp;" "&amp;X21&amp;" is not equal to the sum of (F03-04+F03-06+F03-08+F03-10+F03-12)"&amp;CHAR(10),""),IF(Y189&lt;&gt;SUM(Y191,Y193,Y195,Y197,Y199)," * F03-02 for Age "&amp;X20&amp;" "&amp;Y21&amp;" is not equal to the sum of F03-04+F03-06+F03-08+F03-10+F03-12"&amp;CHAR(10),""),IF(Z189&lt;&gt;SUM(Z191,Z193,Z195,Z197,Z199)," * F03-02 for Age "&amp;Z20&amp;" "&amp;Z21&amp;" is not equal to the sum of (F03-04+F03-06+F03-08+F03-10+F03-12)"&amp;CHAR(10),""),IF(AA189&lt;&gt;SUM(AA191,AA193,AA195,AA197,AA199)," * F03-02 for Age "&amp;Z20&amp;" "&amp;AA21&amp;" is not equal to the sum of (F03-04+F03-06+F03-08+F03-10+F03-12)"&amp;CHAR(10),""))</f>
        <v/>
      </c>
      <c r="AL189" s="1285"/>
      <c r="AM189" s="60"/>
      <c r="AN189" s="1459"/>
      <c r="AO189" s="13">
        <v>101</v>
      </c>
      <c r="AP189" s="80"/>
      <c r="AQ189" s="75"/>
    </row>
    <row r="190" spans="1:43" ht="38.450000000000003" customHeight="1" x14ac:dyDescent="0.4">
      <c r="A190" s="1244" t="s">
        <v>1156</v>
      </c>
      <c r="B190" s="91" t="s">
        <v>1159</v>
      </c>
      <c r="C190" s="525" t="s">
        <v>181</v>
      </c>
      <c r="D190" s="140"/>
      <c r="E190" s="141"/>
      <c r="F190" s="141"/>
      <c r="G190" s="141"/>
      <c r="H190" s="141"/>
      <c r="I190" s="141"/>
      <c r="J190" s="141"/>
      <c r="K190" s="141"/>
      <c r="L190" s="141"/>
      <c r="M190" s="141"/>
      <c r="N190" s="141"/>
      <c r="O190" s="141"/>
      <c r="P190" s="141"/>
      <c r="Q190" s="141"/>
      <c r="R190" s="141"/>
      <c r="S190" s="141"/>
      <c r="T190" s="141"/>
      <c r="U190" s="141"/>
      <c r="V190" s="141"/>
      <c r="W190" s="141"/>
      <c r="X190" s="141"/>
      <c r="Y190" s="141"/>
      <c r="Z190" s="141"/>
      <c r="AA190" s="306"/>
      <c r="AB190" s="354"/>
      <c r="AC190" s="325"/>
      <c r="AD190" s="325"/>
      <c r="AE190" s="325"/>
      <c r="AF190" s="325"/>
      <c r="AG190" s="325"/>
      <c r="AH190" s="325"/>
      <c r="AI190" s="285"/>
      <c r="AJ190" s="183">
        <f t="shared" si="59"/>
        <v>0</v>
      </c>
      <c r="AK190" s="116" t="str">
        <f>CONCATENATE(IF(D190&gt;D188," * F03-03 for Age "&amp;D20&amp;" "&amp;D21&amp;" is more than F03-01"&amp;CHAR(10),""),IF(E190&gt;E188," * F03-03 for Age "&amp;D20&amp;" "&amp;E21&amp;" is more than F03-01"&amp;CHAR(10),""),IF(F190&gt;F188," * F03-03 for Age "&amp;F20&amp;" "&amp;F21&amp;" is more than F03-01"&amp;CHAR(10),""),IF(G190&gt;G188," * F03-03 for Age "&amp;F20&amp;" "&amp;G21&amp;" is more than F03-01"&amp;CHAR(10),""),IF(H190&gt;H188," * F03-03 for Age "&amp;H20&amp;" "&amp;H21&amp;" is more than F03-01"&amp;CHAR(10),""),IF(I190&gt;I188," * F03-03 for Age "&amp;H20&amp;" "&amp;I21&amp;" is more than F03-01"&amp;CHAR(10),""),IF(J190&gt;J188," * F03-03 for Age "&amp;J20&amp;" "&amp;J21&amp;" is more than F03-01"&amp;CHAR(10),""),IF(K190&gt;K188," * F03-03 for Age "&amp;J20&amp;" "&amp;K21&amp;" is more than F03-01"&amp;CHAR(10),""),IF(L190&gt;L188," * F03-03 for Age "&amp;L20&amp;" "&amp;L21&amp;" is more than F03-01"&amp;CHAR(10),""),IF(M190&gt;M188," * F03-03 for Age "&amp;L20&amp;" "&amp;M21&amp;" is more than F03-01"&amp;CHAR(10),""),IF(N190&gt;N188," * F03-03 for Age "&amp;N20&amp;" "&amp;N21&amp;" is more than F03-01"&amp;CHAR(10),""),IF(O190&gt;O188," * F03-03 for Age "&amp;N20&amp;" "&amp;O21&amp;" is more than F03-01"&amp;CHAR(10),""),IF(P190&gt;P188," * F03-03 for Age "&amp;P20&amp;" "&amp;P21&amp;" is more than F03-01"&amp;CHAR(10),""),IF(Q190&gt;Q188," * F03-03 for Age "&amp;P20&amp;" "&amp;Q21&amp;" is more than F03-01"&amp;CHAR(10),""),IF(R190&gt;R188," * F03-03 for Age "&amp;R20&amp;" "&amp;R21&amp;" is more than F03-01"&amp;CHAR(10),""),IF(S190&gt;S188," * F03-03 for Age "&amp;R20&amp;" "&amp;S21&amp;" is more than F03-01"&amp;CHAR(10),""),IF(T190&gt;T188," * F03-03 for Age "&amp;T20&amp;" "&amp;T21&amp;" is more than F03-01"&amp;CHAR(10),""),IF(U190&gt;U188," * F03-03 for Age "&amp;T20&amp;" "&amp;U21&amp;" is more than F03-01"&amp;CHAR(10),""),IF(V190&gt;V188," * F03-03 for Age "&amp;V20&amp;" "&amp;V21&amp;" is more than F03-01"&amp;CHAR(10),""),IF(W190&gt;W188," * F03-03 for Age "&amp;V20&amp;" "&amp;W21&amp;" is more than F03-01"&amp;CHAR(10),""),IF(X190&gt;X188," * F03-03 for Age "&amp;X20&amp;" "&amp;X21&amp;" is more than F03-01"&amp;CHAR(10),""),IF(Y190&gt;Y188," * F03-03 for Age "&amp;X20&amp;" "&amp;Y21&amp;" is more than F03-01"&amp;CHAR(10),""),IF(Z190&gt;Z188," * F03-03 for Age "&amp;Z20&amp;" "&amp;Z21&amp;" is more than F03-01"&amp;CHAR(10),""),IF(AA190&gt;AA188," * F03-03 for Age "&amp;Z20&amp;" "&amp;AA21&amp;" is more than F03-01"&amp;CHAR(10),""))</f>
        <v/>
      </c>
      <c r="AL190" s="1285"/>
      <c r="AM190" s="31"/>
      <c r="AN190" s="1459"/>
      <c r="AO190" s="13">
        <v>102</v>
      </c>
      <c r="AP190" s="74"/>
      <c r="AQ190" s="75"/>
    </row>
    <row r="191" spans="1:43" ht="38.450000000000003" customHeight="1" thickBot="1" x14ac:dyDescent="0.45">
      <c r="A191" s="1245"/>
      <c r="B191" s="87" t="s">
        <v>1158</v>
      </c>
      <c r="C191" s="527" t="s">
        <v>182</v>
      </c>
      <c r="D191" s="142"/>
      <c r="E191" s="143"/>
      <c r="F191" s="143"/>
      <c r="G191" s="143"/>
      <c r="H191" s="143"/>
      <c r="I191" s="143"/>
      <c r="J191" s="143"/>
      <c r="K191" s="143"/>
      <c r="L191" s="143"/>
      <c r="M191" s="143"/>
      <c r="N191" s="143"/>
      <c r="O191" s="143"/>
      <c r="P191" s="143"/>
      <c r="Q191" s="143"/>
      <c r="R191" s="143"/>
      <c r="S191" s="143"/>
      <c r="T191" s="143"/>
      <c r="U191" s="143"/>
      <c r="V191" s="143"/>
      <c r="W191" s="143"/>
      <c r="X191" s="143"/>
      <c r="Y191" s="143"/>
      <c r="Z191" s="143"/>
      <c r="AA191" s="307"/>
      <c r="AB191" s="354"/>
      <c r="AC191" s="325"/>
      <c r="AD191" s="325"/>
      <c r="AE191" s="325"/>
      <c r="AF191" s="325"/>
      <c r="AG191" s="325"/>
      <c r="AH191" s="325"/>
      <c r="AI191" s="285"/>
      <c r="AJ191" s="184">
        <f t="shared" si="59"/>
        <v>0</v>
      </c>
      <c r="AK191" s="116" t="str">
        <f>CONCATENATE(IF(D191&gt;D189," * F03-04 for Age "&amp;D20&amp;" "&amp;D21&amp;" is more than F03-02"&amp;CHAR(10),""),IF(E191&gt;E189," * F03-04 for Age "&amp;D20&amp;" "&amp;E21&amp;" is more than F03-02"&amp;CHAR(10),""),IF(F191&gt;F189," * F03-04 for Age "&amp;F20&amp;" "&amp;F21&amp;" is more than F03-02"&amp;CHAR(10),""),IF(G191&gt;G189," * F03-04 for Age "&amp;F20&amp;" "&amp;G21&amp;" is more than F03-02"&amp;CHAR(10),""),IF(H191&gt;H189," * F03-04 for Age "&amp;H20&amp;" "&amp;H21&amp;" is more than F03-02"&amp;CHAR(10),""),IF(I191&gt;I189," * F03-04 for Age "&amp;H20&amp;" "&amp;I21&amp;" is more than F03-02"&amp;CHAR(10),""),IF(J191&gt;J189," * F03-04 for Age "&amp;J20&amp;" "&amp;J21&amp;" is more than F03-02"&amp;CHAR(10),""),IF(K191&gt;K189," * F03-04 for Age "&amp;J20&amp;" "&amp;K21&amp;" is more than F03-02"&amp;CHAR(10),""),IF(L191&gt;L189," * F03-04 for Age "&amp;L20&amp;" "&amp;L21&amp;" is more than F03-02"&amp;CHAR(10),""),IF(M191&gt;M189," * F03-04 for Age "&amp;L20&amp;" "&amp;M21&amp;" is more than F03-02"&amp;CHAR(10),""),IF(N191&gt;N189," * F03-04 for Age "&amp;N20&amp;" "&amp;N21&amp;" is more than F03-02"&amp;CHAR(10),""),IF(O191&gt;O189," * F03-04 for Age "&amp;N20&amp;" "&amp;O21&amp;" is more than F03-02"&amp;CHAR(10),""),IF(P191&gt;P189," * F03-04 for Age "&amp;P20&amp;" "&amp;P21&amp;" is more than F03-02"&amp;CHAR(10),""),IF(Q191&gt;Q189," * F03-04 for Age "&amp;P20&amp;" "&amp;Q21&amp;" is more than F03-02"&amp;CHAR(10),""),IF(R191&gt;R189," * F03-04 for Age "&amp;R20&amp;" "&amp;R21&amp;" is more than F03-02"&amp;CHAR(10),""),IF(S191&gt;S189," * F03-04 for Age "&amp;R20&amp;" "&amp;S21&amp;" is more than F03-02"&amp;CHAR(10),""),IF(T191&gt;T189," * F03-04 for Age "&amp;T20&amp;" "&amp;T21&amp;" is more than F03-02"&amp;CHAR(10),""),IF(U191&gt;U189," * F03-04 for Age "&amp;T20&amp;" "&amp;U21&amp;" is more than F03-02"&amp;CHAR(10),""),IF(V191&gt;V189," * F03-04 for Age "&amp;V20&amp;" "&amp;V21&amp;" is more than F03-02"&amp;CHAR(10),""),IF(W191&gt;W189," * F03-04 for Age "&amp;V20&amp;" "&amp;W21&amp;" is more than F03-02"&amp;CHAR(10),""),IF(X191&gt;X189," * F03-04 for Age "&amp;X20&amp;" "&amp;X21&amp;" is more than F03-02"&amp;CHAR(10),""),IF(Y191&gt;Y189," * F03-04 for Age "&amp;X20&amp;" "&amp;Y21&amp;" is more than F03-02"&amp;CHAR(10),""),IF(Z191&gt;Z189," * F03-04 for Age "&amp;Z20&amp;" "&amp;Z21&amp;" is more than F03-02"&amp;CHAR(10),""),IF(AA191&gt;AA189," * F03-04 for Age "&amp;Z20&amp;" "&amp;AA21&amp;" is more than F03-02"&amp;CHAR(10),""),IF(AJ191&gt;AJ189," * Total F03-04 is more than Total F03-02"&amp;CHAR(10),""))</f>
        <v/>
      </c>
      <c r="AL191" s="1285"/>
      <c r="AM191" s="31"/>
      <c r="AN191" s="1459"/>
      <c r="AO191" s="13">
        <v>103</v>
      </c>
      <c r="AP191" s="74"/>
      <c r="AQ191" s="75"/>
    </row>
    <row r="192" spans="1:43" s="14" customFormat="1" ht="38.450000000000003" customHeight="1" x14ac:dyDescent="0.4">
      <c r="A192" s="1396" t="s">
        <v>1179</v>
      </c>
      <c r="B192" s="144" t="s">
        <v>608</v>
      </c>
      <c r="C192" s="540" t="s">
        <v>183</v>
      </c>
      <c r="D192" s="145"/>
      <c r="E192" s="146"/>
      <c r="F192" s="146"/>
      <c r="G192" s="146"/>
      <c r="H192" s="146"/>
      <c r="I192" s="146"/>
      <c r="J192" s="146"/>
      <c r="K192" s="146"/>
      <c r="L192" s="146"/>
      <c r="M192" s="146"/>
      <c r="N192" s="146"/>
      <c r="O192" s="146"/>
      <c r="P192" s="146"/>
      <c r="Q192" s="146"/>
      <c r="R192" s="146"/>
      <c r="S192" s="146"/>
      <c r="T192" s="146"/>
      <c r="U192" s="146"/>
      <c r="V192" s="146"/>
      <c r="W192" s="146"/>
      <c r="X192" s="146"/>
      <c r="Y192" s="146"/>
      <c r="Z192" s="146"/>
      <c r="AA192" s="308"/>
      <c r="AB192" s="354"/>
      <c r="AC192" s="325"/>
      <c r="AD192" s="325"/>
      <c r="AE192" s="325"/>
      <c r="AF192" s="325"/>
      <c r="AG192" s="325"/>
      <c r="AH192" s="325"/>
      <c r="AI192" s="285"/>
      <c r="AJ192" s="183">
        <f t="shared" si="59"/>
        <v>0</v>
      </c>
      <c r="AK192" s="116" t="str">
        <f>CONCATENATE(IF(D371&lt;SUM(D188,D189)," * Total Initiated on IPT for Age "&amp;D20&amp;" "&amp;D21&amp;" is More than Current ON ART "&amp;CHAR(10),""),IF(E371&lt;SUM(E188,E189)," * Total Initiated on IPT for Age "&amp;D20&amp;" "&amp;E21&amp;" is More than Current ON ART"&amp;CHAR(10),""),IF(F371&lt;SUM(F188,F189)," * Total Initiated on IPT for Age "&amp;F20&amp;" "&amp;F21&amp;" is More than Current ON ART "&amp;CHAR(10),""),IF(G371&lt;SUM(G188,G189)," * Total Initiated on IPT for Age "&amp;F20&amp;" "&amp;G21&amp;" is More than Current ON ART"&amp;CHAR(10),""),IF(H371&lt;SUM(H188,H189)," * Total Initiated on IPT for Age "&amp;H20&amp;" "&amp;H21&amp;" is More than Current ON ART "&amp;CHAR(10),""),IF(I371&lt;SUM(I188,I189)," * Total Initiated on IPT for Age "&amp;H20&amp;" "&amp;I21&amp;" is More than Current ON ART"&amp;CHAR(10),""),IF(J371&lt;SUM(J188,J189)," * Total Initiated on IPT for Age "&amp;J20&amp;" "&amp;J21&amp;" is More than Current ON ART "&amp;CHAR(10),""),IF(K371&lt;SUM(K188,K189)," * Total Initiated on IPT for Age "&amp;J20&amp;" "&amp;K21&amp;" is More than Current ON ART"&amp;CHAR(10),""),IF(L371&lt;SUM(L188,L189)," * Total Initiated on IPT for Age "&amp;L20&amp;" "&amp;L21&amp;" is More than Current ON ART "&amp;CHAR(10),""),IF(M371&lt;SUM(M188,M189)," * Total Initiated on IPT for Age "&amp;L20&amp;" "&amp;M21&amp;" is More than Current ON ART"&amp;CHAR(10),""),IF(N371&lt;SUM(N188,N189)," * Total Initiated on IPT for Age "&amp;N20&amp;" "&amp;N21&amp;" is More than Current ON ART "&amp;CHAR(10),""),IF(O371&lt;SUM(O188,O189)," * Total Initiated on IPT for Age "&amp;N20&amp;" "&amp;O21&amp;" is More than Current ON ART"&amp;CHAR(10),""),IF(P371&lt;SUM(P188,P189)," * Total Initiated on IPT for Age "&amp;P20&amp;" "&amp;P21&amp;" is More than Current ON ART "&amp;CHAR(10),""),IF(Q371&lt;SUM(Q188,Q189)," * Total Initiated on IPT for Age "&amp;P20&amp;" "&amp;Q21&amp;" is More than Current ON ART"&amp;CHAR(10),""),IF(R371&lt;SUM(R188,R189)," * Total Initiated on IPT for Age "&amp;R20&amp;" "&amp;R21&amp;" is More than Current ON ART "&amp;CHAR(10),""),IF(S371&lt;SUM(S188,S189)," * Total Initiated on IPT for Age "&amp;R20&amp;" "&amp;S21&amp;" is More than Current ON ART"&amp;CHAR(10),""),IF(T371&lt;SUM(T188,T189)," * Total Initiated on IPT for Age "&amp;T20&amp;" "&amp;T21&amp;" is More than Current ON ART "&amp;CHAR(10),""),IF(U371&lt;SUM(U188,U189)," * Total Initiated on IPT for Age "&amp;T20&amp;" "&amp;U21&amp;" is More than Current ON ART"&amp;CHAR(10),""),IF(V371&lt;SUM(V188,V189)," * Total Initiated on IPT for Age "&amp;V20&amp;" "&amp;V21&amp;" is More than Current ON ART "&amp;CHAR(10),""),IF(W371&lt;SUM(W188,W189)," * Total Initiated on IPT for Age "&amp;V20&amp;" "&amp;W21&amp;" is More than Current ON ART"&amp;CHAR(10),""),IF(X371&lt;SUM(X188,X189)," * Total Initiated on IPT for Age "&amp;X20&amp;" "&amp;X21&amp;" is More than Current ON ART "&amp;CHAR(10),""),IF(Y371&lt;SUM(Y188,Y189)," * Total Initiated on IPT for Age "&amp;X20&amp;" "&amp;Y21&amp;" is More than Current ON ART"&amp;CHAR(10),""),IF(Z371&lt;SUM(Z188,Z189)," * Total Initiated on IPT for Age "&amp;Z20&amp;" "&amp;Z21&amp;" is More than Current ON ART "&amp;CHAR(10),""),IF(AA371&lt;SUM(AA188,AA189)," * Total Initiated on IPT for Age "&amp;Z20&amp;" "&amp;AA21&amp;" is More than Current ON ART "&amp;CHAR(10),""))</f>
        <v/>
      </c>
      <c r="AL192" s="1285"/>
      <c r="AM192" s="31"/>
      <c r="AN192" s="1459"/>
      <c r="AO192" s="13">
        <v>104</v>
      </c>
      <c r="AP192" s="74"/>
      <c r="AQ192" s="147"/>
    </row>
    <row r="193" spans="1:43" s="14" customFormat="1" ht="38.450000000000003" customHeight="1" thickBot="1" x14ac:dyDescent="0.45">
      <c r="A193" s="1397"/>
      <c r="B193" s="148" t="s">
        <v>609</v>
      </c>
      <c r="C193" s="541" t="s">
        <v>184</v>
      </c>
      <c r="D193" s="149"/>
      <c r="E193" s="150"/>
      <c r="F193" s="150"/>
      <c r="G193" s="150"/>
      <c r="H193" s="150"/>
      <c r="I193" s="150"/>
      <c r="J193" s="150"/>
      <c r="K193" s="150"/>
      <c r="L193" s="150"/>
      <c r="M193" s="150"/>
      <c r="N193" s="150"/>
      <c r="O193" s="150"/>
      <c r="P193" s="150"/>
      <c r="Q193" s="150"/>
      <c r="R193" s="150"/>
      <c r="S193" s="150"/>
      <c r="T193" s="150"/>
      <c r="U193" s="150"/>
      <c r="V193" s="150"/>
      <c r="W193" s="150"/>
      <c r="X193" s="150"/>
      <c r="Y193" s="150"/>
      <c r="Z193" s="150"/>
      <c r="AA193" s="309"/>
      <c r="AB193" s="354"/>
      <c r="AC193" s="325"/>
      <c r="AD193" s="325"/>
      <c r="AE193" s="325"/>
      <c r="AF193" s="325"/>
      <c r="AG193" s="325"/>
      <c r="AH193" s="325"/>
      <c r="AI193" s="285"/>
      <c r="AJ193" s="184">
        <f t="shared" si="59"/>
        <v>0</v>
      </c>
      <c r="AK193" s="116"/>
      <c r="AL193" s="1285"/>
      <c r="AM193" s="31"/>
      <c r="AN193" s="1459"/>
      <c r="AO193" s="13">
        <v>105</v>
      </c>
      <c r="AP193" s="74"/>
      <c r="AQ193" s="147"/>
    </row>
    <row r="194" spans="1:43" s="14" customFormat="1" ht="38.450000000000003" customHeight="1" x14ac:dyDescent="0.4">
      <c r="A194" s="1396" t="s">
        <v>1178</v>
      </c>
      <c r="B194" s="144" t="s">
        <v>608</v>
      </c>
      <c r="C194" s="540" t="s">
        <v>185</v>
      </c>
      <c r="D194" s="145"/>
      <c r="E194" s="146"/>
      <c r="F194" s="146"/>
      <c r="G194" s="146"/>
      <c r="H194" s="146"/>
      <c r="I194" s="146"/>
      <c r="J194" s="146"/>
      <c r="K194" s="146"/>
      <c r="L194" s="146"/>
      <c r="M194" s="146"/>
      <c r="N194" s="146"/>
      <c r="O194" s="146"/>
      <c r="P194" s="146"/>
      <c r="Q194" s="146"/>
      <c r="R194" s="146"/>
      <c r="S194" s="146"/>
      <c r="T194" s="146"/>
      <c r="U194" s="146"/>
      <c r="V194" s="146"/>
      <c r="W194" s="146"/>
      <c r="X194" s="146"/>
      <c r="Y194" s="146"/>
      <c r="Z194" s="146"/>
      <c r="AA194" s="308"/>
      <c r="AB194" s="354"/>
      <c r="AC194" s="325"/>
      <c r="AD194" s="325"/>
      <c r="AE194" s="325"/>
      <c r="AF194" s="325"/>
      <c r="AG194" s="325"/>
      <c r="AH194" s="325"/>
      <c r="AI194" s="285"/>
      <c r="AJ194" s="183">
        <f t="shared" si="59"/>
        <v>0</v>
      </c>
      <c r="AK194" s="116"/>
      <c r="AL194" s="1285"/>
      <c r="AM194" s="31"/>
      <c r="AN194" s="1459"/>
      <c r="AO194" s="13">
        <v>106</v>
      </c>
      <c r="AP194" s="74"/>
      <c r="AQ194" s="147"/>
    </row>
    <row r="195" spans="1:43" s="14" customFormat="1" ht="38.450000000000003" customHeight="1" thickBot="1" x14ac:dyDescent="0.45">
      <c r="A195" s="1397"/>
      <c r="B195" s="148" t="s">
        <v>609</v>
      </c>
      <c r="C195" s="541" t="s">
        <v>186</v>
      </c>
      <c r="D195" s="149"/>
      <c r="E195" s="150"/>
      <c r="F195" s="150"/>
      <c r="G195" s="150"/>
      <c r="H195" s="150"/>
      <c r="I195" s="150"/>
      <c r="J195" s="150"/>
      <c r="K195" s="150"/>
      <c r="L195" s="150"/>
      <c r="M195" s="150"/>
      <c r="N195" s="150"/>
      <c r="O195" s="150"/>
      <c r="P195" s="150"/>
      <c r="Q195" s="150"/>
      <c r="R195" s="150"/>
      <c r="S195" s="150"/>
      <c r="T195" s="150"/>
      <c r="U195" s="150"/>
      <c r="V195" s="150"/>
      <c r="W195" s="150"/>
      <c r="X195" s="150"/>
      <c r="Y195" s="150"/>
      <c r="Z195" s="150"/>
      <c r="AA195" s="309"/>
      <c r="AB195" s="354"/>
      <c r="AC195" s="325"/>
      <c r="AD195" s="325"/>
      <c r="AE195" s="325"/>
      <c r="AF195" s="325"/>
      <c r="AG195" s="325"/>
      <c r="AH195" s="325"/>
      <c r="AI195" s="285"/>
      <c r="AJ195" s="184">
        <f t="shared" si="59"/>
        <v>0</v>
      </c>
      <c r="AK195" s="116"/>
      <c r="AL195" s="1285"/>
      <c r="AM195" s="31"/>
      <c r="AN195" s="1459"/>
      <c r="AO195" s="13">
        <v>107</v>
      </c>
      <c r="AP195" s="74"/>
      <c r="AQ195" s="147"/>
    </row>
    <row r="196" spans="1:43" s="14" customFormat="1" ht="38.450000000000003" customHeight="1" x14ac:dyDescent="0.4">
      <c r="A196" s="1396" t="s">
        <v>1180</v>
      </c>
      <c r="B196" s="144" t="s">
        <v>608</v>
      </c>
      <c r="C196" s="540" t="s">
        <v>187</v>
      </c>
      <c r="D196" s="145"/>
      <c r="E196" s="146"/>
      <c r="F196" s="146"/>
      <c r="G196" s="146"/>
      <c r="H196" s="146"/>
      <c r="I196" s="146"/>
      <c r="J196" s="146"/>
      <c r="K196" s="146"/>
      <c r="L196" s="146"/>
      <c r="M196" s="146"/>
      <c r="N196" s="146"/>
      <c r="O196" s="146"/>
      <c r="P196" s="146"/>
      <c r="Q196" s="146"/>
      <c r="R196" s="146"/>
      <c r="S196" s="146"/>
      <c r="T196" s="146"/>
      <c r="U196" s="146"/>
      <c r="V196" s="146"/>
      <c r="W196" s="146"/>
      <c r="X196" s="146"/>
      <c r="Y196" s="146"/>
      <c r="Z196" s="146"/>
      <c r="AA196" s="308"/>
      <c r="AB196" s="354"/>
      <c r="AC196" s="325"/>
      <c r="AD196" s="325"/>
      <c r="AE196" s="325"/>
      <c r="AF196" s="325"/>
      <c r="AG196" s="325"/>
      <c r="AH196" s="325"/>
      <c r="AI196" s="285"/>
      <c r="AJ196" s="183">
        <f t="shared" si="59"/>
        <v>0</v>
      </c>
      <c r="AK196" s="116"/>
      <c r="AL196" s="1285"/>
      <c r="AM196" s="31"/>
      <c r="AN196" s="1459"/>
      <c r="AO196" s="13">
        <v>108</v>
      </c>
      <c r="AP196" s="74"/>
      <c r="AQ196" s="147"/>
    </row>
    <row r="197" spans="1:43" s="14" customFormat="1" ht="38.450000000000003" customHeight="1" thickBot="1" x14ac:dyDescent="0.45">
      <c r="A197" s="1397"/>
      <c r="B197" s="148" t="s">
        <v>609</v>
      </c>
      <c r="C197" s="541" t="s">
        <v>188</v>
      </c>
      <c r="D197" s="149"/>
      <c r="E197" s="150"/>
      <c r="F197" s="150"/>
      <c r="G197" s="150"/>
      <c r="H197" s="150"/>
      <c r="I197" s="150"/>
      <c r="J197" s="150"/>
      <c r="K197" s="150"/>
      <c r="L197" s="150"/>
      <c r="M197" s="150"/>
      <c r="N197" s="150"/>
      <c r="O197" s="150"/>
      <c r="P197" s="150"/>
      <c r="Q197" s="150"/>
      <c r="R197" s="150"/>
      <c r="S197" s="150"/>
      <c r="T197" s="150"/>
      <c r="U197" s="150"/>
      <c r="V197" s="150"/>
      <c r="W197" s="150"/>
      <c r="X197" s="150"/>
      <c r="Y197" s="150"/>
      <c r="Z197" s="150"/>
      <c r="AA197" s="309"/>
      <c r="AB197" s="354"/>
      <c r="AC197" s="325"/>
      <c r="AD197" s="325"/>
      <c r="AE197" s="325"/>
      <c r="AF197" s="325"/>
      <c r="AG197" s="325"/>
      <c r="AH197" s="325"/>
      <c r="AI197" s="285"/>
      <c r="AJ197" s="184">
        <f t="shared" si="59"/>
        <v>0</v>
      </c>
      <c r="AK197" s="116"/>
      <c r="AL197" s="1285"/>
      <c r="AM197" s="31"/>
      <c r="AN197" s="1459"/>
      <c r="AO197" s="13">
        <v>109</v>
      </c>
      <c r="AP197" s="74"/>
      <c r="AQ197" s="147"/>
    </row>
    <row r="198" spans="1:43" s="14" customFormat="1" ht="38.450000000000003" customHeight="1" x14ac:dyDescent="0.4">
      <c r="A198" s="1396" t="s">
        <v>30</v>
      </c>
      <c r="B198" s="151" t="s">
        <v>608</v>
      </c>
      <c r="C198" s="542" t="s">
        <v>189</v>
      </c>
      <c r="D198" s="152"/>
      <c r="E198" s="127"/>
      <c r="F198" s="127"/>
      <c r="G198" s="127"/>
      <c r="H198" s="127"/>
      <c r="I198" s="127"/>
      <c r="J198" s="127"/>
      <c r="K198" s="127"/>
      <c r="L198" s="127"/>
      <c r="M198" s="127"/>
      <c r="N198" s="127"/>
      <c r="O198" s="127"/>
      <c r="P198" s="127"/>
      <c r="Q198" s="127"/>
      <c r="R198" s="127"/>
      <c r="S198" s="127"/>
      <c r="T198" s="127"/>
      <c r="U198" s="127"/>
      <c r="V198" s="127"/>
      <c r="W198" s="127"/>
      <c r="X198" s="127"/>
      <c r="Y198" s="127"/>
      <c r="Z198" s="127"/>
      <c r="AA198" s="302"/>
      <c r="AB198" s="354"/>
      <c r="AC198" s="325"/>
      <c r="AD198" s="325"/>
      <c r="AE198" s="325"/>
      <c r="AF198" s="325"/>
      <c r="AG198" s="325"/>
      <c r="AH198" s="325"/>
      <c r="AI198" s="285"/>
      <c r="AJ198" s="52">
        <f t="shared" si="59"/>
        <v>0</v>
      </c>
      <c r="AK198" s="116"/>
      <c r="AL198" s="1285"/>
      <c r="AM198" s="31"/>
      <c r="AN198" s="1459"/>
      <c r="AO198" s="13">
        <v>110</v>
      </c>
      <c r="AP198" s="74"/>
      <c r="AQ198" s="147"/>
    </row>
    <row r="199" spans="1:43" s="14" customFormat="1" ht="38.450000000000003" customHeight="1" thickBot="1" x14ac:dyDescent="0.45">
      <c r="A199" s="1401"/>
      <c r="B199" s="153" t="s">
        <v>609</v>
      </c>
      <c r="C199" s="748" t="s">
        <v>190</v>
      </c>
      <c r="D199" s="154"/>
      <c r="E199" s="155"/>
      <c r="F199" s="155"/>
      <c r="G199" s="155"/>
      <c r="H199" s="155"/>
      <c r="I199" s="155"/>
      <c r="J199" s="155"/>
      <c r="K199" s="155"/>
      <c r="L199" s="155"/>
      <c r="M199" s="155"/>
      <c r="N199" s="155"/>
      <c r="O199" s="155"/>
      <c r="P199" s="155"/>
      <c r="Q199" s="155"/>
      <c r="R199" s="155"/>
      <c r="S199" s="155"/>
      <c r="T199" s="155"/>
      <c r="U199" s="155"/>
      <c r="V199" s="155"/>
      <c r="W199" s="155"/>
      <c r="X199" s="155"/>
      <c r="Y199" s="155"/>
      <c r="Z199" s="155"/>
      <c r="AA199" s="310"/>
      <c r="AB199" s="354"/>
      <c r="AC199" s="325"/>
      <c r="AD199" s="325"/>
      <c r="AE199" s="325"/>
      <c r="AF199" s="325"/>
      <c r="AG199" s="325"/>
      <c r="AH199" s="325"/>
      <c r="AI199" s="285"/>
      <c r="AJ199" s="359">
        <f t="shared" si="59"/>
        <v>0</v>
      </c>
      <c r="AK199" s="122"/>
      <c r="AL199" s="1302"/>
      <c r="AM199" s="123"/>
      <c r="AN199" s="1460"/>
      <c r="AO199" s="13">
        <v>111</v>
      </c>
      <c r="AP199" s="74"/>
      <c r="AQ199" s="147"/>
    </row>
    <row r="200" spans="1:43" ht="34.5" customHeight="1" thickBot="1" x14ac:dyDescent="0.45">
      <c r="A200" s="1367" t="s">
        <v>1187</v>
      </c>
      <c r="B200" s="1368"/>
      <c r="C200" s="1251"/>
      <c r="D200" s="1251"/>
      <c r="E200" s="1251"/>
      <c r="F200" s="1251"/>
      <c r="G200" s="1251"/>
      <c r="H200" s="1251"/>
      <c r="I200" s="1251"/>
      <c r="J200" s="1251"/>
      <c r="K200" s="1251"/>
      <c r="L200" s="1251"/>
      <c r="M200" s="1251"/>
      <c r="N200" s="1251"/>
      <c r="O200" s="1251"/>
      <c r="P200" s="1251"/>
      <c r="Q200" s="1251"/>
      <c r="R200" s="1251"/>
      <c r="S200" s="1251"/>
      <c r="T200" s="1251"/>
      <c r="U200" s="1251"/>
      <c r="V200" s="1251"/>
      <c r="W200" s="1251"/>
      <c r="X200" s="1251"/>
      <c r="Y200" s="1251"/>
      <c r="Z200" s="1251"/>
      <c r="AA200" s="1251"/>
      <c r="AB200" s="1276"/>
      <c r="AC200" s="1276"/>
      <c r="AD200" s="1276"/>
      <c r="AE200" s="1276"/>
      <c r="AF200" s="1276"/>
      <c r="AG200" s="1276"/>
      <c r="AH200" s="1276"/>
      <c r="AI200" s="1276"/>
      <c r="AJ200" s="1250"/>
      <c r="AK200" s="1251"/>
      <c r="AL200" s="1250"/>
      <c r="AM200" s="1250"/>
      <c r="AN200" s="1252"/>
      <c r="AO200" s="13">
        <v>97</v>
      </c>
      <c r="AP200" s="74"/>
      <c r="AQ200" s="75"/>
    </row>
    <row r="201" spans="1:43" s="61" customFormat="1" ht="67.150000000000006" customHeight="1" thickBot="1" x14ac:dyDescent="0.45">
      <c r="A201" s="1442" t="s">
        <v>1185</v>
      </c>
      <c r="B201" s="765" t="s">
        <v>1308</v>
      </c>
      <c r="C201" s="877" t="s">
        <v>1184</v>
      </c>
      <c r="D201" s="139"/>
      <c r="E201" s="139"/>
      <c r="F201" s="139"/>
      <c r="G201" s="139"/>
      <c r="H201" s="139"/>
      <c r="I201" s="139"/>
      <c r="J201" s="139"/>
      <c r="K201" s="139"/>
      <c r="L201" s="139"/>
      <c r="M201" s="139"/>
      <c r="N201" s="139"/>
      <c r="O201" s="139"/>
      <c r="P201" s="139"/>
      <c r="Q201" s="139"/>
      <c r="R201" s="139"/>
      <c r="S201" s="139"/>
      <c r="T201" s="139"/>
      <c r="U201" s="139"/>
      <c r="V201" s="139"/>
      <c r="W201" s="139"/>
      <c r="X201" s="139"/>
      <c r="Y201" s="139"/>
      <c r="Z201" s="139"/>
      <c r="AA201" s="139"/>
      <c r="AB201" s="354"/>
      <c r="AC201" s="325"/>
      <c r="AD201" s="325"/>
      <c r="AE201" s="325"/>
      <c r="AF201" s="325"/>
      <c r="AG201" s="325"/>
      <c r="AH201" s="325"/>
      <c r="AI201" s="285"/>
      <c r="AJ201" s="184">
        <f>SUM(D201:AA201)</f>
        <v>0</v>
      </c>
      <c r="AK201" s="747"/>
      <c r="AL201" s="1284"/>
      <c r="AM201" s="60"/>
      <c r="AN201" s="746"/>
      <c r="AO201" s="13">
        <v>101</v>
      </c>
      <c r="AP201" s="80"/>
      <c r="AQ201" s="75"/>
    </row>
    <row r="202" spans="1:43" s="61" customFormat="1" ht="80.25" customHeight="1" thickBot="1" x14ac:dyDescent="0.45">
      <c r="A202" s="1443"/>
      <c r="B202" s="475" t="s">
        <v>1309</v>
      </c>
      <c r="C202" s="913" t="s">
        <v>1277</v>
      </c>
      <c r="D202" s="496"/>
      <c r="E202" s="225"/>
      <c r="F202" s="225"/>
      <c r="G202" s="225"/>
      <c r="H202" s="225"/>
      <c r="I202" s="225"/>
      <c r="J202" s="225"/>
      <c r="K202" s="225"/>
      <c r="L202" s="225"/>
      <c r="M202" s="225"/>
      <c r="N202" s="225"/>
      <c r="O202" s="225"/>
      <c r="P202" s="225"/>
      <c r="Q202" s="225"/>
      <c r="R202" s="225"/>
      <c r="S202" s="225"/>
      <c r="T202" s="225"/>
      <c r="U202" s="225"/>
      <c r="V202" s="225"/>
      <c r="W202" s="225"/>
      <c r="X202" s="225"/>
      <c r="Y202" s="225"/>
      <c r="Z202" s="225"/>
      <c r="AA202" s="304"/>
      <c r="AB202" s="354"/>
      <c r="AC202" s="325"/>
      <c r="AD202" s="325"/>
      <c r="AE202" s="325"/>
      <c r="AF202" s="325"/>
      <c r="AG202" s="325"/>
      <c r="AH202" s="325"/>
      <c r="AI202" s="285"/>
      <c r="AJ202" s="359">
        <f>SUM(D202:AA202)</f>
        <v>0</v>
      </c>
      <c r="AK202" s="124"/>
      <c r="AL202" s="1302"/>
      <c r="AM202" s="972"/>
      <c r="AN202" s="914"/>
      <c r="AO202" s="13"/>
      <c r="AP202" s="80"/>
      <c r="AQ202" s="75"/>
    </row>
    <row r="203" spans="1:43" ht="33.4" customHeight="1" thickBot="1" x14ac:dyDescent="0.45">
      <c r="A203" s="1249" t="s">
        <v>1302</v>
      </c>
      <c r="B203" s="1250"/>
      <c r="C203" s="1250"/>
      <c r="D203" s="1250"/>
      <c r="E203" s="1250"/>
      <c r="F203" s="1250"/>
      <c r="G203" s="1250"/>
      <c r="H203" s="1250"/>
      <c r="I203" s="1250"/>
      <c r="J203" s="1250"/>
      <c r="K203" s="1250"/>
      <c r="L203" s="1250"/>
      <c r="M203" s="1250"/>
      <c r="N203" s="1250"/>
      <c r="O203" s="1250"/>
      <c r="P203" s="1250"/>
      <c r="Q203" s="1250"/>
      <c r="R203" s="1250"/>
      <c r="S203" s="1250"/>
      <c r="T203" s="1250"/>
      <c r="U203" s="1250"/>
      <c r="V203" s="1250"/>
      <c r="W203" s="1250"/>
      <c r="X203" s="1250"/>
      <c r="Y203" s="1250"/>
      <c r="Z203" s="1250"/>
      <c r="AA203" s="1250"/>
      <c r="AB203" s="1250"/>
      <c r="AC203" s="1250"/>
      <c r="AD203" s="1250"/>
      <c r="AE203" s="1250"/>
      <c r="AF203" s="1250"/>
      <c r="AG203" s="1250"/>
      <c r="AH203" s="1250"/>
      <c r="AI203" s="1250"/>
      <c r="AJ203" s="1250"/>
      <c r="AK203" s="1250"/>
      <c r="AL203" s="1250"/>
      <c r="AM203" s="1250"/>
      <c r="AN203" s="1362"/>
      <c r="AO203" s="13">
        <v>97</v>
      </c>
      <c r="AP203" s="74"/>
      <c r="AQ203" s="75"/>
    </row>
    <row r="204" spans="1:43" s="61" customFormat="1" ht="45.4" customHeight="1" x14ac:dyDescent="0.4">
      <c r="A204" s="1447" t="s">
        <v>1160</v>
      </c>
      <c r="B204" s="915" t="s">
        <v>1147</v>
      </c>
      <c r="C204" s="950" t="s">
        <v>1162</v>
      </c>
      <c r="D204" s="136"/>
      <c r="E204" s="72"/>
      <c r="F204" s="72"/>
      <c r="G204" s="72"/>
      <c r="H204" s="72"/>
      <c r="I204" s="72"/>
      <c r="J204" s="72"/>
      <c r="K204" s="72"/>
      <c r="L204" s="72"/>
      <c r="M204" s="72"/>
      <c r="N204" s="72"/>
      <c r="O204" s="72"/>
      <c r="P204" s="72"/>
      <c r="Q204" s="72"/>
      <c r="R204" s="72"/>
      <c r="S204" s="72"/>
      <c r="T204" s="72"/>
      <c r="U204" s="72"/>
      <c r="V204" s="72"/>
      <c r="W204" s="72"/>
      <c r="X204" s="72"/>
      <c r="Y204" s="72"/>
      <c r="Z204" s="72"/>
      <c r="AA204" s="289"/>
      <c r="AB204" s="354"/>
      <c r="AC204" s="325"/>
      <c r="AD204" s="325"/>
      <c r="AE204" s="325"/>
      <c r="AF204" s="325"/>
      <c r="AG204" s="325"/>
      <c r="AH204" s="325"/>
      <c r="AI204" s="285"/>
      <c r="AJ204" s="52">
        <f>SUM(D204:AA204)</f>
        <v>0</v>
      </c>
      <c r="AK204" s="137" t="str">
        <f>CONCATENATE(IF(D206&gt;D204," * Completed Other Forms Of TPT for Age "&amp;D34&amp;" "&amp;D35&amp;" is more than Initiated on  Other Forms of TPT"&amp;CHAR(10),""),IF(E206&gt;E204," * Completed Other Forms Of TPT for Age "&amp;D34&amp;" "&amp;E35&amp;" is more than Initiated on  Other Forms of TPT"&amp;CHAR(10),""),IF(F206&gt;F204," * Completed Other Forms Of TPT for Age "&amp;F34&amp;" "&amp;F35&amp;" is more than Initiated on  Other Forms of TPT"&amp;CHAR(10),""),IF(G206&gt;G204," * Completed Other Forms Of TPT for Age "&amp;F34&amp;" "&amp;G35&amp;" is more than Initiated on  Other Forms of TPT"&amp;CHAR(10),""),IF(H206&gt;H204," * Completed Other Forms Of TPT for Age "&amp;H34&amp;" "&amp;H35&amp;" is more than Initiated on  Other Forms of TPT"&amp;CHAR(10),""),IF(I206&gt;I204," * Completed Other Forms Of TPT for Age "&amp;H34&amp;" "&amp;I35&amp;" is more than Initiated on  Other Forms of TPT"&amp;CHAR(10),""),IF(J206&gt;J204," * Completed Other Forms Of TPT for Age "&amp;J34&amp;" "&amp;J35&amp;" is more than Initiated on  Other Forms of TPT"&amp;CHAR(10),""),IF(K206&gt;K204," * Completed Other Forms Of TPT for Age "&amp;J34&amp;" "&amp;K35&amp;" is more than Initiated on  Other Forms of TPT"&amp;CHAR(10),""),IF(L206&gt;L204," * Completed Other Forms Of TPT for Age "&amp;L34&amp;" "&amp;L35&amp;" is more than Initiated on  Other Forms of TPT"&amp;CHAR(10),""),IF(M206&gt;M204," * Completed Other Forms Of TPT for Age "&amp;L34&amp;" "&amp;M35&amp;" is more than Initiated on  Other Forms of TPT"&amp;CHAR(10),""),IF(N206&gt;N204," * Completed Other Forms Of TPT for Age "&amp;N34&amp;" "&amp;N35&amp;" is more than Initiated on  Other Forms of TPT"&amp;CHAR(10),""),IF(O206&gt;O204," * Completed Other Forms Of TPT for Age "&amp;N34&amp;" "&amp;O35&amp;" is more than Initiated on  Other Forms of TPT"&amp;CHAR(10),""),IF(P206&gt;P204," * Completed Other Forms Of TPT for Age "&amp;P34&amp;" "&amp;P35&amp;" is more than Initiated on  Other Forms of TPT"&amp;CHAR(10),""),IF(Q206&gt;Q204," * Completed Other Forms Of TPT for Age "&amp;P34&amp;" "&amp;Q35&amp;" is more than Initiated on  Other Forms of TPT"&amp;CHAR(10),""),IF(R206&gt;R204," * Completed Other Forms Of TPT for Age "&amp;R34&amp;" "&amp;R35&amp;" is more than Initiated on  Other Forms of TPT"&amp;CHAR(10),""),IF(S206&gt;S204," * Completed Other Forms Of TPT for Age "&amp;R34&amp;" "&amp;S35&amp;" is more than Initiated on  Other Forms of TPT"&amp;CHAR(10),""),IF(T206&gt;T204," * Completed Other Forms Of TPT for Age "&amp;T34&amp;" "&amp;T35&amp;" is more than Initiated on  Other Forms of TPT"&amp;CHAR(10),""),IF(U206&gt;U204," * Completed Other Forms Of TPT for Age "&amp;T34&amp;" "&amp;U35&amp;" is more than Initiated on  Other Forms of TPT"&amp;CHAR(10),""),IF(V206&gt;V204," * Completed Other Forms Of TPT for Age "&amp;V34&amp;" "&amp;V35&amp;" is more than Initiated on  Other Forms of TPT"&amp;CHAR(10),""),IF(W206&gt;W204," * Completed Other Forms Of TPT for Age "&amp;V34&amp;" "&amp;W35&amp;" is more than Initiated on  Other Forms of TPT"&amp;CHAR(10),""),IF(X206&gt;X204," * Completed Other Forms Of TPT for Age "&amp;X34&amp;" "&amp;X35&amp;" is more than Initiated on  Other Forms of TPT"&amp;CHAR(10),""),IF(Y206&gt;Y204," * Completed Other Forms Of TPT for Age "&amp;X34&amp;" "&amp;Y35&amp;" is more than Initiated on  Other Forms of TPT"&amp;CHAR(10),""),IF(Z206&gt;Z204," * Completed Other Forms Of TPT for Age "&amp;Z34&amp;" "&amp;Z35&amp;" is more than Initiated on  Other Forms of TPT"&amp;CHAR(10),""),IF(AA206&gt;AA204," * Completed Other Forms Of TPT for Age "&amp;Z34&amp;" "&amp;AA35&amp;" is more than Initiated on  Other Forms of TPT"&amp;CHAR(10),""))</f>
        <v/>
      </c>
      <c r="AL204" s="1284" t="str">
        <f>CONCATENATE(AK201,AK204,AK205,AK206,AK207,AK208,AK209,AK210,AK211,AK212,AK213,AK214,AK215)</f>
        <v/>
      </c>
      <c r="AM204" s="138"/>
      <c r="AN204" s="126"/>
      <c r="AO204" s="13">
        <v>100</v>
      </c>
      <c r="AP204" s="80"/>
      <c r="AQ204" s="75"/>
    </row>
    <row r="205" spans="1:43" s="61" customFormat="1" ht="46.5" customHeight="1" thickBot="1" x14ac:dyDescent="0.45">
      <c r="A205" s="1245"/>
      <c r="B205" s="751" t="s">
        <v>1148</v>
      </c>
      <c r="C205" s="808" t="s">
        <v>1163</v>
      </c>
      <c r="D205" s="139"/>
      <c r="E205" s="89"/>
      <c r="F205" s="89"/>
      <c r="G205" s="89"/>
      <c r="H205" s="89"/>
      <c r="I205" s="89"/>
      <c r="J205" s="89"/>
      <c r="K205" s="89"/>
      <c r="L205" s="89"/>
      <c r="M205" s="89"/>
      <c r="N205" s="89"/>
      <c r="O205" s="89"/>
      <c r="P205" s="89"/>
      <c r="Q205" s="89"/>
      <c r="R205" s="89"/>
      <c r="S205" s="89"/>
      <c r="T205" s="89"/>
      <c r="U205" s="89"/>
      <c r="V205" s="89"/>
      <c r="W205" s="89"/>
      <c r="X205" s="89"/>
      <c r="Y205" s="89"/>
      <c r="Z205" s="89"/>
      <c r="AA205" s="292"/>
      <c r="AB205" s="355"/>
      <c r="AC205" s="356"/>
      <c r="AD205" s="356"/>
      <c r="AE205" s="356"/>
      <c r="AF205" s="356"/>
      <c r="AG205" s="356"/>
      <c r="AH205" s="356"/>
      <c r="AI205" s="286"/>
      <c r="AJ205" s="184">
        <f t="shared" ref="AJ205:AJ215" si="60">SUM(D205:AA205)</f>
        <v>0</v>
      </c>
      <c r="AK205" s="747"/>
      <c r="AL205" s="1285"/>
      <c r="AM205" s="60"/>
      <c r="AN205" s="126"/>
      <c r="AO205" s="13">
        <v>101</v>
      </c>
      <c r="AP205" s="80"/>
      <c r="AQ205" s="75"/>
    </row>
    <row r="206" spans="1:43" ht="46.5" customHeight="1" x14ac:dyDescent="0.4">
      <c r="A206" s="1447" t="s">
        <v>1161</v>
      </c>
      <c r="B206" s="69" t="s">
        <v>1149</v>
      </c>
      <c r="C206" s="810" t="s">
        <v>1164</v>
      </c>
      <c r="D206" s="185"/>
      <c r="E206" s="749"/>
      <c r="F206" s="749"/>
      <c r="G206" s="749"/>
      <c r="H206" s="749"/>
      <c r="I206" s="749"/>
      <c r="J206" s="749"/>
      <c r="K206" s="749"/>
      <c r="L206" s="749"/>
      <c r="M206" s="749"/>
      <c r="N206" s="749"/>
      <c r="O206" s="749"/>
      <c r="P206" s="749"/>
      <c r="Q206" s="749"/>
      <c r="R206" s="749"/>
      <c r="S206" s="749"/>
      <c r="T206" s="749"/>
      <c r="U206" s="749"/>
      <c r="V206" s="749"/>
      <c r="W206" s="749"/>
      <c r="X206" s="749"/>
      <c r="Y206" s="749"/>
      <c r="Z206" s="749"/>
      <c r="AA206" s="750"/>
      <c r="AB206" s="354"/>
      <c r="AC206" s="325"/>
      <c r="AD206" s="325"/>
      <c r="AE206" s="325"/>
      <c r="AF206" s="325"/>
      <c r="AG206" s="325"/>
      <c r="AH206" s="325"/>
      <c r="AI206" s="285"/>
      <c r="AJ206" s="52">
        <f t="shared" si="60"/>
        <v>0</v>
      </c>
      <c r="AK206" s="747" t="str">
        <f>CONCATENATE(IF(D206&gt;D204," * F03-03 for Age "&amp;D38&amp;" "&amp;D39&amp;" is more than F03-01"&amp;CHAR(10),""),IF(E206&gt;E204," * F03-03 for Age "&amp;D38&amp;" "&amp;E39&amp;" is more than F03-01"&amp;CHAR(10),""),IF(F206&gt;F204," * F03-03 for Age "&amp;F38&amp;" "&amp;F39&amp;" is more than F03-01"&amp;CHAR(10),""),IF(G206&gt;G204," * F03-03 for Age "&amp;F38&amp;" "&amp;G39&amp;" is more than F03-01"&amp;CHAR(10),""),IF(H206&gt;H204," * F03-03 for Age "&amp;H38&amp;" "&amp;H39&amp;" is more than F03-01"&amp;CHAR(10),""),IF(I206&gt;I204," * F03-03 for Age "&amp;H38&amp;" "&amp;I39&amp;" is more than F03-01"&amp;CHAR(10),""),IF(J206&gt;J204," * F03-03 for Age "&amp;J38&amp;" "&amp;J39&amp;" is more than F03-01"&amp;CHAR(10),""),IF(K206&gt;K204," * F03-03 for Age "&amp;J38&amp;" "&amp;K39&amp;" is more than F03-01"&amp;CHAR(10),""),IF(L206&gt;L204," * F03-03 for Age "&amp;L38&amp;" "&amp;L39&amp;" is more than F03-01"&amp;CHAR(10),""),IF(M206&gt;M204," * F03-03 for Age "&amp;L38&amp;" "&amp;M39&amp;" is more than F03-01"&amp;CHAR(10),""),IF(N206&gt;N204," * F03-03 for Age "&amp;N38&amp;" "&amp;N39&amp;" is more than F03-01"&amp;CHAR(10),""),IF(O206&gt;O204," * F03-03 for Age "&amp;N38&amp;" "&amp;O39&amp;" is more than F03-01"&amp;CHAR(10),""),IF(P206&gt;P204," * F03-03 for Age "&amp;P38&amp;" "&amp;P39&amp;" is more than F03-01"&amp;CHAR(10),""),IF(Q206&gt;Q204," * F03-03 for Age "&amp;P38&amp;" "&amp;Q39&amp;" is more than F03-01"&amp;CHAR(10),""),IF(R206&gt;R204," * F03-03 for Age "&amp;R38&amp;" "&amp;R39&amp;" is more than F03-01"&amp;CHAR(10),""),IF(S206&gt;S204," * F03-03 for Age "&amp;R38&amp;" "&amp;S39&amp;" is more than F03-01"&amp;CHAR(10),""),IF(T206&gt;T204," * F03-03 for Age "&amp;T38&amp;" "&amp;T39&amp;" is more than F03-01"&amp;CHAR(10),""),IF(U206&gt;U204," * F03-03 for Age "&amp;T38&amp;" "&amp;U39&amp;" is more than F03-01"&amp;CHAR(10),""),IF(V206&gt;V204," * F03-03 for Age "&amp;V38&amp;" "&amp;V39&amp;" is more than F03-01"&amp;CHAR(10),""),IF(W206&gt;W204," * F03-03 for Age "&amp;V38&amp;" "&amp;W39&amp;" is more than F03-01"&amp;CHAR(10),""),IF(X206&gt;X204," * F03-03 for Age "&amp;X38&amp;" "&amp;X39&amp;" is more than F03-01"&amp;CHAR(10),""),IF(Y206&gt;Y204," * F03-03 for Age "&amp;X38&amp;" "&amp;Y39&amp;" is more than F03-01"&amp;CHAR(10),""),IF(Z206&gt;Z204," * F03-03 for Age "&amp;Z38&amp;" "&amp;Z39&amp;" is more than F03-01"&amp;CHAR(10),""),IF(AA206&gt;AA204," * F03-03 for Age "&amp;Z38&amp;" "&amp;AA39&amp;" is more than F03-01"&amp;CHAR(10),""))</f>
        <v/>
      </c>
      <c r="AL206" s="1285"/>
      <c r="AM206" s="31"/>
      <c r="AN206" s="126"/>
      <c r="AO206" s="13">
        <v>102</v>
      </c>
      <c r="AP206" s="74"/>
      <c r="AQ206" s="75"/>
    </row>
    <row r="207" spans="1:43" ht="40.9" customHeight="1" thickBot="1" x14ac:dyDescent="0.45">
      <c r="A207" s="1245"/>
      <c r="B207" s="87" t="s">
        <v>1148</v>
      </c>
      <c r="C207" s="808" t="s">
        <v>1165</v>
      </c>
      <c r="D207" s="142"/>
      <c r="E207" s="143"/>
      <c r="F207" s="143"/>
      <c r="G207" s="143"/>
      <c r="H207" s="143"/>
      <c r="I207" s="143"/>
      <c r="J207" s="143"/>
      <c r="K207" s="143"/>
      <c r="L207" s="143"/>
      <c r="M207" s="143"/>
      <c r="N207" s="143"/>
      <c r="O207" s="143"/>
      <c r="P207" s="143"/>
      <c r="Q207" s="143"/>
      <c r="R207" s="143"/>
      <c r="S207" s="143"/>
      <c r="T207" s="143"/>
      <c r="U207" s="143"/>
      <c r="V207" s="143"/>
      <c r="W207" s="143"/>
      <c r="X207" s="143"/>
      <c r="Y207" s="143"/>
      <c r="Z207" s="143"/>
      <c r="AA207" s="307"/>
      <c r="AB207" s="354"/>
      <c r="AC207" s="325"/>
      <c r="AD207" s="325"/>
      <c r="AE207" s="325"/>
      <c r="AF207" s="325"/>
      <c r="AG207" s="325"/>
      <c r="AH207" s="325"/>
      <c r="AI207" s="285"/>
      <c r="AJ207" s="184">
        <f t="shared" si="60"/>
        <v>0</v>
      </c>
      <c r="AK207" s="747" t="str">
        <f>CONCATENATE(IF(D207&gt;D205," * Already On ART Completed IPT for Age "&amp;D38&amp;" "&amp;D39&amp;" is more than Already On ART Initiated on Other Forms of  IPT"&amp;CHAR(10),""),IF(E207&gt;E205," * Already On ART Completed IPT for Age "&amp;D38&amp;" "&amp;E39&amp;" is more than Already On ART Initiated on Other Forms of  IPT"&amp;CHAR(10),""),IF(F207&gt;F205," * Already On ART Completed IPT for Age "&amp;F38&amp;" "&amp;F39&amp;" is more than Already On ART Initiated on Other Forms of  IPT"&amp;CHAR(10),""),IF(G207&gt;G205," * Already On ART Completed IPT for Age "&amp;F38&amp;" "&amp;G39&amp;" is more than Already On ART Initiated on Other Forms of  IPT"&amp;CHAR(10),""),IF(H207&gt;H205," * Already On ART Completed IPT for Age "&amp;H38&amp;" "&amp;H39&amp;" is more than Already On ART Initiated on Other Forms of  IPT"&amp;CHAR(10),""),IF(I207&gt;I205," * Already On ART Completed IPT for Age "&amp;H38&amp;" "&amp;I39&amp;" is more than Already On ART Initiated on Other Forms of  IPT"&amp;CHAR(10),""),IF(J207&gt;J205," * Already On ART Completed IPT for Age "&amp;J38&amp;" "&amp;J39&amp;" is more than Already On ART Initiated on Other Forms of  IPT"&amp;CHAR(10),""),IF(K207&gt;K205," * Already On ART Completed IPT for Age "&amp;J38&amp;" "&amp;K39&amp;" is more than Already On ART Initiated on Other Forms of  IPT"&amp;CHAR(10),""),IF(L207&gt;L205," * Already On ART Completed IPT for Age "&amp;L38&amp;" "&amp;L39&amp;" is more than Already On ART Initiated on Other Forms of  IPT"&amp;CHAR(10),""),IF(M207&gt;M205," * Already On ART Completed IPT for Age "&amp;L38&amp;" "&amp;M39&amp;" is more than Already On ART Initiated on Other Forms of  IPT"&amp;CHAR(10),""),IF(N207&gt;N205," * Already On ART Completed IPT for Age "&amp;N38&amp;" "&amp;N39&amp;" is more than Already On ART Initiated on Other Forms of  IPT"&amp;CHAR(10),""),IF(O207&gt;O205," * Already On ART Completed IPT for Age "&amp;N38&amp;" "&amp;O39&amp;" is more than Already On ART Initiated on Other Forms of  IPT"&amp;CHAR(10),""),IF(P207&gt;P205," * Already On ART Completed IPT for Age "&amp;P38&amp;" "&amp;P39&amp;" is more than Already On ART Initiated on Other Forms of  IPT"&amp;CHAR(10),""),IF(Q207&gt;Q205," * Already On ART Completed IPT for Age "&amp;P38&amp;" "&amp;Q39&amp;" is more than Already On ART Initiated on Other Forms of  IPT"&amp;CHAR(10),""),IF(R207&gt;R205," * Already On ART Completed IPT for Age "&amp;R38&amp;" "&amp;R39&amp;" is more than Already On ART Initiated on Other Forms of  IPT"&amp;CHAR(10),""),IF(S207&gt;S205," * Already On ART Completed IPT for Age "&amp;R38&amp;" "&amp;S39&amp;" is more than Already On ART Initiated on Other Forms of  IPT"&amp;CHAR(10),""),IF(T207&gt;T205," * Already On ART Completed IPT for Age "&amp;T38&amp;" "&amp;T39&amp;" is more than Already On ART Initiated on Other Forms of  IPT"&amp;CHAR(10),""),IF(U207&gt;U205," * Already On ART Completed IPT for Age "&amp;T38&amp;" "&amp;U39&amp;" is more than Already On ART Initiated on Other Forms of  IPT"&amp;CHAR(10),""),IF(V207&gt;V205," * Already On ART Completed IPT for Age "&amp;V38&amp;" "&amp;V39&amp;" is more than Already On ART Initiated on Other Forms of  IPT"&amp;CHAR(10),""),IF(W207&gt;W205," * Already On ART Completed IPT for Age "&amp;V38&amp;" "&amp;W39&amp;" is more than Already On ART Initiated on Other Forms of  IPT"&amp;CHAR(10),""),IF(X207&gt;X205," * Already On ART Completed IPT for Age "&amp;X38&amp;" "&amp;X39&amp;" is more than Already On ART Initiated on Other Forms of  IPT"&amp;CHAR(10),""),IF(Y207&gt;Y205," * Already On ART Completed IPT for Age "&amp;X38&amp;" "&amp;Y39&amp;" is more than Already On ART Initiated on Other Forms of  IPT"&amp;CHAR(10),""),IF(Z207&gt;Z205," * Already On ART Completed IPT for Age "&amp;Z38&amp;" "&amp;Z39&amp;" is more than Already On ART Initiated on Other Forms of  IPT"&amp;CHAR(10),""),IF(AA207&gt;AA205," * Already On ART Completed IPT for Age "&amp;Z38&amp;" "&amp;AA39&amp;" is more than Already On ART Initiated on Other Forms of  IPT"&amp;CHAR(10),""))</f>
        <v/>
      </c>
      <c r="AL207" s="1285"/>
      <c r="AM207" s="31"/>
      <c r="AN207" s="126"/>
      <c r="AO207" s="13">
        <v>103</v>
      </c>
      <c r="AP207" s="74"/>
      <c r="AQ207" s="75"/>
    </row>
    <row r="208" spans="1:43" s="14" customFormat="1" ht="44.85" customHeight="1" x14ac:dyDescent="0.4">
      <c r="A208" s="1396" t="s">
        <v>1175</v>
      </c>
      <c r="B208" s="144" t="s">
        <v>608</v>
      </c>
      <c r="C208" s="807" t="s">
        <v>1166</v>
      </c>
      <c r="D208" s="145"/>
      <c r="E208" s="146"/>
      <c r="F208" s="146"/>
      <c r="G208" s="146"/>
      <c r="H208" s="146"/>
      <c r="I208" s="146"/>
      <c r="J208" s="146"/>
      <c r="K208" s="146"/>
      <c r="L208" s="146"/>
      <c r="M208" s="146"/>
      <c r="N208" s="146"/>
      <c r="O208" s="146"/>
      <c r="P208" s="146"/>
      <c r="Q208" s="146"/>
      <c r="R208" s="146"/>
      <c r="S208" s="146"/>
      <c r="T208" s="146"/>
      <c r="U208" s="146"/>
      <c r="V208" s="146"/>
      <c r="W208" s="146"/>
      <c r="X208" s="146"/>
      <c r="Y208" s="146"/>
      <c r="Z208" s="146"/>
      <c r="AA208" s="308"/>
      <c r="AB208" s="354"/>
      <c r="AC208" s="325"/>
      <c r="AD208" s="325"/>
      <c r="AE208" s="325"/>
      <c r="AF208" s="325"/>
      <c r="AG208" s="325"/>
      <c r="AH208" s="325"/>
      <c r="AI208" s="285"/>
      <c r="AJ208" s="183">
        <f t="shared" si="60"/>
        <v>0</v>
      </c>
      <c r="AK208" s="747" t="str">
        <f>CONCATENATE(IF(D204&lt;&gt;SUM(D206,D208,D210,D212,D214)," * No. Initiated on other forms of TPT 3 Months Ago while New on ART  for Age "&amp;D20&amp;" "&amp;D21&amp;" is not equal to the sum of (No. completed other forms of TPT, New on ART+No. discontinued +No. Lost to Follow up  +No. died  +No. transferred out after initiation on other forms of TPT  )"&amp;CHAR(10),""),IF(E204&lt;&gt;SUM(E206,E208,E210,E212,E214)," * No. Initiated on other forms of TPT 3 Months Ago while New on ART  for Age "&amp;D20&amp;" "&amp;E21&amp;" is not equal to the sum of No. completed other forms of TPT, New on ART+No. discontinued +No. Lost to Follow up  +No. died  +No. transferred out after initiation on other forms of TPT  "&amp;CHAR(10),""),IF(F204&lt;&gt;SUM(F206,F208,F210,F212,F214)," * No. Initiated on other forms of TPT 3 Months Ago while New on ART  for Age "&amp;F20&amp;" "&amp;F21&amp;" is not equal to the sum of (No. completed other forms of TPT, New on ART+No. discontinued +No. Lost to Follow up  +No. died  +No. transferred out after initiation on other forms of TPT  )"&amp;CHAR(10),""),IF(G204&lt;&gt;SUM(G206,G208,G210,G212,G214)," * No. Initiated on other forms of TPT 3 Months Ago while New on ART  for Age "&amp;F20&amp;" "&amp;G21&amp;" is not equal to the sum of No. completed other forms of TPT, New on ART+No. discontinued +No. Lost to Follow up  +No. died  +No. transferred out after initiation on other forms of TPT  "&amp;CHAR(10),""),IF(H204&lt;&gt;SUM(H206,H208,H210,H212,H214)," * No. Initiated on other forms of TPT 3 Months Ago while New on ART  for Age "&amp;H20&amp;" "&amp;H21&amp;" is not equal to the sum of (No. completed other forms of TPT, New on ART+No. discontinued +No. Lost to Follow up  +No. died  +No. transferred out after initiation on other forms of TPT  )"&amp;CHAR(10),""),IF(I204&lt;&gt;SUM(I206,I208,I210,I212,I214)," * No. Initiated on other forms of TPT 3 Months Ago while New on ART  for Age "&amp;H20&amp;" "&amp;I21&amp;" is not equal to the sum of No. completed other forms of TPT, New on ART+No. discontinued +No. Lost to Follow up  +No. died  +No. transferred out after initiation on other forms of TPT  "&amp;CHAR(10),""),IF(J204&lt;&gt;SUM(J206,J208,J210,J212,J214)," * No. Initiated on other forms of TPT 3 Months Ago while New on ART  for Age "&amp;J20&amp;" "&amp;J21&amp;" is not equal to the sum of (No. completed other forms of TPT, New on ART+No. discontinued +No. Lost to Follow up  +No. died  +No. transferred out after initiation on other forms of TPT  )"&amp;CHAR(10),""),IF(K204&lt;&gt;SUM(K206,K208,K210,K212,K214)," * No. Initiated on other forms of TPT 3 Months Ago while New on ART  for Age "&amp;J20&amp;" "&amp;K21&amp;" is not equal to the sum of No. completed other forms of TPT, New on ART+No. discontinued +No. Lost to Follow up  +No. died  +No. transferred out after initiation on other forms of TPT  "&amp;CHAR(10),""),IF(L204&lt;&gt;SUM(L206,L208,L210,L212,L214)," * No. Initiated on other forms of TPT 3 Months Ago while New on ART  for Age "&amp;L20&amp;" "&amp;L21&amp;" is not equal to the sum of (No. completed other forms of TPT, New on ART+No. discontinued +No. Lost to Follow up  +No. died  +No. transferred out after initiation on other forms of TPT  )"&amp;CHAR(10),""),IF(M204&lt;&gt;SUM(M206,M208,M210,M212,M214)," * No. Initiated on other forms of TPT 3 Months Ago while New on ART  for Age "&amp;L20&amp;" "&amp;M21&amp;" is not equal to the sum of No. completed other forms of TPT, New on ART+No. discontinued +No. Lost to Follow up  +No. died  +No. transferred out after initiation on other forms of TPT  "&amp;CHAR(10),""),IF(N204&lt;&gt;SUM(N206,N208,N210,N212,N214)," * No. Initiated on other forms of TPT 3 Months Ago while New on ART  for Age "&amp;N20&amp;" "&amp;N21&amp;" is not equal to the sum of (No. completed other forms of TPT, New on ART+No. discontinued +No. Lost to Follow up  +No. died  +No. transferred out after initiation on other forms of TPT  )"&amp;CHAR(10),""),IF(O204&lt;&gt;SUM(O206,O208,O210,O212,O214)," * No. Initiated on other forms of TPT 3 Months Ago while New on ART  for Age "&amp;N20&amp;" "&amp;O21&amp;" is not equal to the sum of No. completed other forms of TPT, New on ART+No. discontinued +No. Lost to Follow up  +No. died  +No. transferred out after initiation on other forms of TPT  "&amp;CHAR(10),""),IF(P204&lt;&gt;SUM(P206,P208,P210,P212,P214)," * No. Initiated on other forms of TPT 3 Months Ago while New on ART  for Age "&amp;P20&amp;" "&amp;P21&amp;" is not equal to the sum of (No. completed other forms of TPT, New on ART+No. discontinued +No. Lost to Follow up  +No. died  +No. transferred out after initiation on other forms of TPT  )"&amp;CHAR(10),""),IF(Q204&lt;&gt;SUM(Q206,Q208,Q210,Q212,Q214)," * No. Initiated on other forms of TPT 3 Months Ago while New on ART  for Age "&amp;P20&amp;" "&amp;Q21&amp;" is not equal to the sum of No. completed other forms of TPT, New on ART+No. discontinued +No. Lost to Follow up  +No. died  +No. transferred out after initiation on other forms of TPT  "&amp;CHAR(10),""),IF(R204&lt;&gt;SUM(R206,R208,R210,R212,R214)," * No. Initiated on other forms of TPT 3 Months Ago while New on ART  for Age "&amp;R20&amp;" "&amp;R21&amp;" is not equal to the sum of (No. completed other forms of TPT, New on ART+No. discontinued +No. Lost to Follow up  +No. died  +No. transferred out after initiation on other forms of TPT  )"&amp;CHAR(10),""),IF(S204&lt;&gt;SUM(S206,S208,S210,S212,S214)," * No. Initiated on other forms of TPT 3 Months Ago while New on ART  for Age "&amp;R20&amp;" "&amp;S21&amp;" is not equal to the sum of No. completed other forms of TPT, New on ART+No. discontinued +No. Lost to Follow up  +No. died  +No. transferred out after initiation on other forms of TPT  "&amp;CHAR(10),""),IF(T204&lt;&gt;SUM(T206,T208,T210,T212,T214)," * No. Initiated on other forms of TPT 3 Months Ago while New on ART  for Age "&amp;T20&amp;" "&amp;T21&amp;" is not equal to the sum of (No. completed other forms of TPT, New on ART+No. discontinued +No. Lost to Follow up  +No. died  +No. transferred out after initiation on other forms of TPT  )"&amp;CHAR(10),""),IF(U204&lt;&gt;SUM(U206,U208,U210,U212,U214)," * No. Initiated on other forms of TPT 3 Months Ago while New on ART  for Age "&amp;T20&amp;" "&amp;U21&amp;" is not equal to the sum of No. completed other forms of TPT, New on ART+No. discontinued +No. Lost to Follow up  +No. died  +No. transferred out after initiation on other forms of TPT  "&amp;CHAR(10),""),IF(V204&lt;&gt;SUM(V206,V208,V210,V212,V214)," * No. Initiated on other forms of TPT 3 Months Ago while New on ART  for Age "&amp;V20&amp;" "&amp;V21&amp;" is not equal to the sum of (No. completed other forms of TPT, New on ART+No. discontinued +No. Lost to Follow up  +No. died  +No. transferred out after initiation on other forms of TPT  )"&amp;CHAR(10),""),IF(W204&lt;&gt;SUM(W206,W208,W210,W212,W214)," * No. Initiated on other forms of TPT 3 Months Ago while New on ART  for Age "&amp;V20&amp;" "&amp;W21&amp;" is not equal to the sum of No. completed other forms of TPT, New on ART+No. discontinued +No. Lost to Follow up  +No. died  +No. transferred out after initiation on other forms of TPT  "&amp;CHAR(10),""),IF(X204&lt;&gt;SUM(X206,X208,X210,X212,X214)," * No. Initiated on other forms of TPT 3 Months Ago while New on ART  for Age "&amp;X20&amp;" "&amp;X21&amp;" is not equal to the sum of (No. completed other forms of TPT, New on ART+No. discontinued +No. Lost to Follow up  +No. died  +No. transferred out after initiation on other forms of TPT  )"&amp;CHAR(10),""),IF(Y204&lt;&gt;SUM(Y206,Y208,Y210,Y212,Y214)," * No. Initiated on other forms of TPT 3 Months Ago while New on ART  for Age "&amp;X20&amp;" "&amp;Y21&amp;" is not equal to the sum of No. completed other forms of TPT, New on ART+No. discontinued +No. Lost to Follow up  +No. died  +No. transferred out after initiation on other forms of TPT  "&amp;CHAR(10),""),IF(Z204&lt;&gt;SUM(Z206,Z208,Z210,Z212,Z214)," * No. Initiated on other forms of TPT 3 Months Ago while New on ART  for Age "&amp;Z20&amp;" "&amp;Z21&amp;" is not equal to the sum of (No. completed other forms of TPT, New on ART+No. discontinued +No. Lost to Follow up  +No. died  +No. transferred out after initiation on other forms of TPT  )"&amp;CHAR(10),""),IF(AA204&lt;&gt;SUM(AA206,AA208,AA210,AA212,AA214)," * No. Initiated on other forms of TPT 3 Months Ago while New on ART  for Age "&amp;Z20&amp;" "&amp;AA21&amp;" is not equal to the sum of (No. completed other forms of TPT, New on ART+No. discontinued +No. Lost to Follow up  +No. died  +No. transferred out after initiation on other forms of TPT  )"&amp;CHAR(10),""))</f>
        <v/>
      </c>
      <c r="AL208" s="1285"/>
      <c r="AM208" s="31"/>
      <c r="AN208" s="126"/>
      <c r="AO208" s="13">
        <v>104</v>
      </c>
      <c r="AP208" s="74"/>
      <c r="AQ208" s="147"/>
    </row>
    <row r="209" spans="1:43" s="14" customFormat="1" ht="44.85" customHeight="1" thickBot="1" x14ac:dyDescent="0.45">
      <c r="A209" s="1397"/>
      <c r="B209" s="148" t="s">
        <v>609</v>
      </c>
      <c r="C209" s="808" t="s">
        <v>1167</v>
      </c>
      <c r="D209" s="149"/>
      <c r="E209" s="150"/>
      <c r="F209" s="150"/>
      <c r="G209" s="150"/>
      <c r="H209" s="150"/>
      <c r="I209" s="150"/>
      <c r="J209" s="150"/>
      <c r="K209" s="150"/>
      <c r="L209" s="150"/>
      <c r="M209" s="150"/>
      <c r="N209" s="150"/>
      <c r="O209" s="150"/>
      <c r="P209" s="150"/>
      <c r="Q209" s="150"/>
      <c r="R209" s="150"/>
      <c r="S209" s="150"/>
      <c r="T209" s="150"/>
      <c r="U209" s="150"/>
      <c r="V209" s="150"/>
      <c r="W209" s="150"/>
      <c r="X209" s="150"/>
      <c r="Y209" s="150"/>
      <c r="Z209" s="150"/>
      <c r="AA209" s="309"/>
      <c r="AB209" s="354"/>
      <c r="AC209" s="325"/>
      <c r="AD209" s="325"/>
      <c r="AE209" s="325"/>
      <c r="AF209" s="325"/>
      <c r="AG209" s="325"/>
      <c r="AH209" s="325"/>
      <c r="AI209" s="285"/>
      <c r="AJ209" s="184">
        <f t="shared" si="60"/>
        <v>0</v>
      </c>
      <c r="AK209" s="747" t="str">
        <f>CONCATENATE(IF(D205&lt;&gt;SUM(D207,D209,D211,D213,D215)," * No. Initiated on other forms of TPT 3 Months Ago Already on ART  for Age "&amp;D20&amp;" "&amp;D21&amp;" is not equal to the sum of (No. completed other forms of TPT, Already on ART+No. discontinued +No. Lost to Follow up  +No. died  +No. transferred out after initiation on other forms of TPT  )"&amp;CHAR(10),""),IF(E205&lt;&gt;SUM(E207,E209,E211,E213,E215)," * No. Initiated on other forms of TPT 3 Months Ago Already on ART  for Age "&amp;D20&amp;" "&amp;E21&amp;" is not equal to the sum of No. completed other forms of TPT, Already on ART+No. discontinued +No. Lost to Follow up  +No. died  +No. transferred out after initiation on other forms of TPT  "&amp;CHAR(10),""),IF(F205&lt;&gt;SUM(F207,F209,F211,F213,F215)," * No. Initiated on other forms of TPT 3 Months Ago Already on ART  for Age "&amp;F20&amp;" "&amp;F21&amp;" is not equal to the sum of (No. completed other forms of TPT, Already on ART+No. discontinued +No. Lost to Follow up  +No. died  +No. transferred out after initiation on other forms of TPT  )"&amp;CHAR(10),""),IF(G205&lt;&gt;SUM(G207,G209,G211,G213,G215)," * No. Initiated on other forms of TPT 3 Months Ago Already on ART  for Age "&amp;F20&amp;" "&amp;G21&amp;" is not equal to the sum of No. completed other forms of TPT, Already on ART+No. discontinued +No. Lost to Follow up  +No. died  +No. transferred out after initiation on other forms of TPT  "&amp;CHAR(10),""),IF(H205&lt;&gt;SUM(H207,H209,H211,H213,H215)," * No. Initiated on other forms of TPT 3 Months Ago Already on ART  for Age "&amp;H20&amp;" "&amp;H21&amp;" is not equal to the sum of (No. completed other forms of TPT, Already on ART+No. discontinued +No. Lost to Follow up  +No. died  +No. transferred out after initiation on other forms of TPT  )"&amp;CHAR(10),""),IF(I205&lt;&gt;SUM(I207,I209,I211,I213,I215)," * No. Initiated on other forms of TPT 3 Months Ago Already on ART  for Age "&amp;H20&amp;" "&amp;I21&amp;" is not equal to the sum of No. completed other forms of TPT, Already on ART+No. discontinued +No. Lost to Follow up  +No. died  +No. transferred out after initiation on other forms of TPT  "&amp;CHAR(10),""),IF(J205&lt;&gt;SUM(J207,J209,J211,J213,J215)," * No. Initiated on other forms of TPT 3 Months Ago Already on ART  for Age "&amp;J20&amp;" "&amp;J21&amp;" is not equal to the sum of (No. completed other forms of TPT, Already on ART+No. discontinued +No. Lost to Follow up  +No. died  +No. transferred out after initiation on other forms of TPT  )"&amp;CHAR(10),""),IF(K205&lt;&gt;SUM(K207,K209,K211,K213,K215)," * No. Initiated on other forms of TPT 3 Months Ago Already on ART  for Age "&amp;J20&amp;" "&amp;K21&amp;" is not equal to the sum of No. completed other forms of TPT, Already on ART+No. discontinued +No. Lost to Follow up  +No. died  +No. transferred out after initiation on other forms of TPT  "&amp;CHAR(10),""),IF(L205&lt;&gt;SUM(L207,L209,L211,L213,L215)," * No. Initiated on other forms of TPT 3 Months Ago Already on ART  for Age "&amp;L20&amp;" "&amp;L21&amp;" is not equal to the sum of (No. completed other forms of TPT, Already on ART+No. discontinued +No. Lost to Follow up  +No. died  +No. transferred out after initiation on other forms of TPT  )"&amp;CHAR(10),""),IF(M205&lt;&gt;SUM(M207,M209,M211,M213,M215)," * No. Initiated on other forms of TPT 3 Months Ago Already on ART  for Age "&amp;L20&amp;" "&amp;M21&amp;" is not equal to the sum of No. completed other forms of TPT, Already on ART+No. discontinued +No. Lost to Follow up  +No. died  +No. transferred out after initiation on other forms of TPT  "&amp;CHAR(10),""),IF(N205&lt;&gt;SUM(N207,N209,N211,N213,N215)," * No. Initiated on other forms of TPT 3 Months Ago Already on ART  for Age "&amp;N20&amp;" "&amp;N21&amp;" is not equal to the sum of (No. completed other forms of TPT, Already on ART+No. discontinued +No. Lost to Follow up  +No. died  +No. transferred out after initiation on other forms of TPT  )"&amp;CHAR(10),""),IF(O205&lt;&gt;SUM(O207,O209,O211,O213,O215)," * No. Initiated on other forms of TPT 3 Months Ago Already on ART  for Age "&amp;N20&amp;" "&amp;O21&amp;" is not equal to the sum of No. completed other forms of TPT, Already on ART+No. discontinued +No. Lost to Follow up  +No. died  +No. transferred out after initiation on other forms of TPT  "&amp;CHAR(10),""),IF(P205&lt;&gt;SUM(P207,P209,P211,P213,P215)," * No. Initiated on other forms of TPT 3 Months Ago Already on ART  for Age "&amp;P20&amp;" "&amp;P21&amp;" is not equal to the sum of (No. completed other forms of TPT, Already on ART+No. discontinued +No. Lost to Follow up  +No. died  +No. transferred out after initiation on other forms of TPT  )"&amp;CHAR(10),""),IF(Q205&lt;&gt;SUM(Q207,Q209,Q211,Q213,Q215)," * No. Initiated on other forms of TPT 3 Months Ago Already on ART  for Age "&amp;P20&amp;" "&amp;Q21&amp;" is not equal to the sum of No. completed other forms of TPT, Already on ART+No. discontinued +No. Lost to Follow up  +No. died  +No. transferred out after initiation on other forms of TPT  "&amp;CHAR(10),""),IF(R205&lt;&gt;SUM(R207,R209,R211,R213,R215)," * No. Initiated on other forms of TPT 3 Months Ago Already on ART  for Age "&amp;R20&amp;" "&amp;R21&amp;" is not equal to the sum of (No. completed other forms of TPT, Already on ART+No. discontinued +No. Lost to Follow up  +No. died  +No. transferred out after initiation on other forms of TPT  )"&amp;CHAR(10),""),IF(S205&lt;&gt;SUM(S207,S209,S211,S213,S215)," * No. Initiated on other forms of TPT 3 Months Ago Already on ART  for Age "&amp;R20&amp;" "&amp;S21&amp;" is not equal to the sum of No. completed other forms of TPT, Already on ART+No. discontinued +No. Lost to Follow up  +No. died  +No. transferred out after initiation on other forms of TPT  "&amp;CHAR(10),""),IF(T205&lt;&gt;SUM(T207,T209,T211,T213,T215)," * No. Initiated on other forms of TPT 3 Months Ago Already on ART  for Age "&amp;T20&amp;" "&amp;T21&amp;" is not equal to the sum of (No. completed other forms of TPT, Already on ART+No. discontinued +No. Lost to Follow up  +No. died  +No. transferred out after initiation on other forms of TPT  )"&amp;CHAR(10),""),IF(U205&lt;&gt;SUM(U207,U209,U211,U213,U215)," * No. Initiated on other forms of TPT 3 Months Ago Already on ART  for Age "&amp;T20&amp;" "&amp;U21&amp;" is not equal to the sum of No. completed other forms of TPT, Already on ART+No. discontinued +No. Lost to Follow up  +No. died  +No. transferred out after initiation on other forms of TPT  "&amp;CHAR(10),""),IF(V205&lt;&gt;SUM(V207,V209,V211,V213,V215)," * No. Initiated on other forms of TPT 3 Months Ago Already on ART  for Age "&amp;V20&amp;" "&amp;V21&amp;" is not equal to the sum of (No. completed other forms of TPT, Already on ART+No. discontinued +No. Lost to Follow up  +No. died  +No. transferred out after initiation on other forms of TPT  )"&amp;CHAR(10),""),IF(W205&lt;&gt;SUM(W207,W209,W211,W213,W215)," * No. Initiated on other forms of TPT 3 Months Ago Already on ART  for Age "&amp;V20&amp;" "&amp;W21&amp;" is not equal to the sum of No. completed other forms of TPT, Already on ART+No. discontinued +No. Lost to Follow up  +No. died  +No. transferred out after initiation on other forms of TPT  "&amp;CHAR(10),""),IF(X205&lt;&gt;SUM(X207,X209,X211,X213,X215)," * No. Initiated on other forms of TPT 3 Months Ago Already on ART  for Age "&amp;X20&amp;" "&amp;X21&amp;" is not equal to the sum of (No. completed other forms of TPT, Already on ART+No. discontinued +No. Lost to Follow up  +No. died  +No. transferred out after initiation on other forms of TPT  )"&amp;CHAR(10),""),IF(Y205&lt;&gt;SUM(Y207,Y209,Y211,Y213,Y215)," * No. Initiated on other forms of TPT 3 Months Ago Already on ART  for Age "&amp;X20&amp;" "&amp;Y21&amp;" is not equal to the sum of No. completed other forms of TPT, Already on ART+No. discontinued +No. Lost to Follow up  +No. died  +No. transferred out after initiation on other forms of TPT  "&amp;CHAR(10),""),IF(Z205&lt;&gt;SUM(Z207,Z209,Z211,Z213,Z215)," * No. Initiated on other forms of TPT 3 Months Ago Already on ART  for Age "&amp;Z20&amp;" "&amp;Z21&amp;" is not equal to the sum of (No. completed other forms of TPT, Already on ART+No. discontinued +No. Lost to Follow up  +No. died  +No. transferred out after initiation on other forms of TPT  )"&amp;CHAR(10),""),IF(AA205&lt;&gt;SUM(AA207,AA209,AA211,AA213,AA215)," * No. Initiated on other forms of TPT 3 Months Ago Already on ART  for Age "&amp;Z20&amp;" "&amp;AA21&amp;" is not equal to the sum of (No. completed other forms of TPT, Already on ART+No. discontinued +No. Lost to Follow up  +No. died  +No. transferred out after initiation on other forms of TPT  )"&amp;CHAR(10),""))</f>
        <v/>
      </c>
      <c r="AL209" s="1285"/>
      <c r="AM209" s="31"/>
      <c r="AN209" s="126"/>
      <c r="AO209" s="13">
        <v>105</v>
      </c>
      <c r="AP209" s="74"/>
      <c r="AQ209" s="147"/>
    </row>
    <row r="210" spans="1:43" s="14" customFormat="1" ht="44.85" customHeight="1" x14ac:dyDescent="0.4">
      <c r="A210" s="1396" t="s">
        <v>1174</v>
      </c>
      <c r="B210" s="144" t="s">
        <v>608</v>
      </c>
      <c r="C210" s="807" t="s">
        <v>1168</v>
      </c>
      <c r="D210" s="145"/>
      <c r="E210" s="146"/>
      <c r="F210" s="146"/>
      <c r="G210" s="146"/>
      <c r="H210" s="146"/>
      <c r="I210" s="146"/>
      <c r="J210" s="146"/>
      <c r="K210" s="146"/>
      <c r="L210" s="146"/>
      <c r="M210" s="146"/>
      <c r="N210" s="146"/>
      <c r="O210" s="146"/>
      <c r="P210" s="146"/>
      <c r="Q210" s="146"/>
      <c r="R210" s="146"/>
      <c r="S210" s="146"/>
      <c r="T210" s="146"/>
      <c r="U210" s="146"/>
      <c r="V210" s="146"/>
      <c r="W210" s="146"/>
      <c r="X210" s="146"/>
      <c r="Y210" s="146"/>
      <c r="Z210" s="146"/>
      <c r="AA210" s="308"/>
      <c r="AB210" s="354"/>
      <c r="AC210" s="325"/>
      <c r="AD210" s="325"/>
      <c r="AE210" s="325"/>
      <c r="AF210" s="325"/>
      <c r="AG210" s="325"/>
      <c r="AH210" s="325"/>
      <c r="AI210" s="285"/>
      <c r="AJ210" s="183">
        <f t="shared" si="60"/>
        <v>0</v>
      </c>
      <c r="AK210" s="747"/>
      <c r="AL210" s="1285"/>
      <c r="AM210" s="31"/>
      <c r="AN210" s="126"/>
      <c r="AO210" s="13">
        <v>106</v>
      </c>
      <c r="AP210" s="74"/>
      <c r="AQ210" s="147"/>
    </row>
    <row r="211" spans="1:43" s="14" customFormat="1" ht="44.85" customHeight="1" thickBot="1" x14ac:dyDescent="0.45">
      <c r="A211" s="1397"/>
      <c r="B211" s="148" t="s">
        <v>609</v>
      </c>
      <c r="C211" s="808" t="s">
        <v>1169</v>
      </c>
      <c r="D211" s="149"/>
      <c r="E211" s="150"/>
      <c r="F211" s="150"/>
      <c r="G211" s="150"/>
      <c r="H211" s="150"/>
      <c r="I211" s="150"/>
      <c r="J211" s="150"/>
      <c r="K211" s="150"/>
      <c r="L211" s="150"/>
      <c r="M211" s="150"/>
      <c r="N211" s="150"/>
      <c r="O211" s="150"/>
      <c r="P211" s="150"/>
      <c r="Q211" s="150"/>
      <c r="R211" s="150"/>
      <c r="S211" s="150"/>
      <c r="T211" s="150"/>
      <c r="U211" s="150"/>
      <c r="V211" s="150"/>
      <c r="W211" s="150"/>
      <c r="X211" s="150"/>
      <c r="Y211" s="150"/>
      <c r="Z211" s="150"/>
      <c r="AA211" s="309"/>
      <c r="AB211" s="354"/>
      <c r="AC211" s="325"/>
      <c r="AD211" s="325"/>
      <c r="AE211" s="325"/>
      <c r="AF211" s="325"/>
      <c r="AG211" s="325"/>
      <c r="AH211" s="325"/>
      <c r="AI211" s="285"/>
      <c r="AJ211" s="184">
        <f t="shared" si="60"/>
        <v>0</v>
      </c>
      <c r="AK211" s="747"/>
      <c r="AL211" s="1285"/>
      <c r="AM211" s="31"/>
      <c r="AN211" s="126"/>
      <c r="AO211" s="13">
        <v>107</v>
      </c>
      <c r="AP211" s="74"/>
      <c r="AQ211" s="147"/>
    </row>
    <row r="212" spans="1:43" s="14" customFormat="1" ht="44.85" customHeight="1" x14ac:dyDescent="0.4">
      <c r="A212" s="1396" t="s">
        <v>1176</v>
      </c>
      <c r="B212" s="144" t="s">
        <v>608</v>
      </c>
      <c r="C212" s="807" t="s">
        <v>1170</v>
      </c>
      <c r="D212" s="145"/>
      <c r="E212" s="146"/>
      <c r="F212" s="146"/>
      <c r="G212" s="146"/>
      <c r="H212" s="146"/>
      <c r="I212" s="146"/>
      <c r="J212" s="146"/>
      <c r="K212" s="146"/>
      <c r="L212" s="146"/>
      <c r="M212" s="146"/>
      <c r="N212" s="146"/>
      <c r="O212" s="146"/>
      <c r="P212" s="146"/>
      <c r="Q212" s="146"/>
      <c r="R212" s="146"/>
      <c r="S212" s="146"/>
      <c r="T212" s="146"/>
      <c r="U212" s="146"/>
      <c r="V212" s="146"/>
      <c r="W212" s="146"/>
      <c r="X212" s="146"/>
      <c r="Y212" s="146"/>
      <c r="Z212" s="146"/>
      <c r="AA212" s="308"/>
      <c r="AB212" s="354"/>
      <c r="AC212" s="325"/>
      <c r="AD212" s="325"/>
      <c r="AE212" s="325"/>
      <c r="AF212" s="325"/>
      <c r="AG212" s="325"/>
      <c r="AH212" s="325"/>
      <c r="AI212" s="285"/>
      <c r="AJ212" s="183">
        <f t="shared" si="60"/>
        <v>0</v>
      </c>
      <c r="AK212" s="747"/>
      <c r="AL212" s="1285"/>
      <c r="AM212" s="31"/>
      <c r="AN212" s="126"/>
      <c r="AO212" s="13">
        <v>108</v>
      </c>
      <c r="AP212" s="74"/>
      <c r="AQ212" s="147"/>
    </row>
    <row r="213" spans="1:43" s="14" customFormat="1" ht="44.85" customHeight="1" thickBot="1" x14ac:dyDescent="0.45">
      <c r="A213" s="1397"/>
      <c r="B213" s="148" t="s">
        <v>609</v>
      </c>
      <c r="C213" s="808" t="s">
        <v>1171</v>
      </c>
      <c r="D213" s="149"/>
      <c r="E213" s="150"/>
      <c r="F213" s="150"/>
      <c r="G213" s="150"/>
      <c r="H213" s="150"/>
      <c r="I213" s="150"/>
      <c r="J213" s="150"/>
      <c r="K213" s="150"/>
      <c r="L213" s="150"/>
      <c r="M213" s="150"/>
      <c r="N213" s="150"/>
      <c r="O213" s="150"/>
      <c r="P213" s="150"/>
      <c r="Q213" s="150"/>
      <c r="R213" s="150"/>
      <c r="S213" s="150"/>
      <c r="T213" s="150"/>
      <c r="U213" s="150"/>
      <c r="V213" s="150"/>
      <c r="W213" s="150"/>
      <c r="X213" s="150"/>
      <c r="Y213" s="150"/>
      <c r="Z213" s="150"/>
      <c r="AA213" s="309"/>
      <c r="AB213" s="354"/>
      <c r="AC213" s="325"/>
      <c r="AD213" s="325"/>
      <c r="AE213" s="325"/>
      <c r="AF213" s="325"/>
      <c r="AG213" s="325"/>
      <c r="AH213" s="325"/>
      <c r="AI213" s="285"/>
      <c r="AJ213" s="184">
        <f t="shared" si="60"/>
        <v>0</v>
      </c>
      <c r="AK213" s="747"/>
      <c r="AL213" s="1285"/>
      <c r="AM213" s="31"/>
      <c r="AN213" s="126"/>
      <c r="AO213" s="13">
        <v>109</v>
      </c>
      <c r="AP213" s="74"/>
      <c r="AQ213" s="147"/>
    </row>
    <row r="214" spans="1:43" s="14" customFormat="1" ht="44.85" customHeight="1" x14ac:dyDescent="0.4">
      <c r="A214" s="1396" t="s">
        <v>1177</v>
      </c>
      <c r="B214" s="151" t="s">
        <v>608</v>
      </c>
      <c r="C214" s="810" t="s">
        <v>1172</v>
      </c>
      <c r="D214" s="152"/>
      <c r="E214" s="127"/>
      <c r="F214" s="127"/>
      <c r="G214" s="127"/>
      <c r="H214" s="127"/>
      <c r="I214" s="127"/>
      <c r="J214" s="127"/>
      <c r="K214" s="127"/>
      <c r="L214" s="127"/>
      <c r="M214" s="127"/>
      <c r="N214" s="127"/>
      <c r="O214" s="127"/>
      <c r="P214" s="127"/>
      <c r="Q214" s="127"/>
      <c r="R214" s="127"/>
      <c r="S214" s="127"/>
      <c r="T214" s="127"/>
      <c r="U214" s="127"/>
      <c r="V214" s="127"/>
      <c r="W214" s="127"/>
      <c r="X214" s="127"/>
      <c r="Y214" s="127"/>
      <c r="Z214" s="127"/>
      <c r="AA214" s="302"/>
      <c r="AB214" s="354"/>
      <c r="AC214" s="325"/>
      <c r="AD214" s="325"/>
      <c r="AE214" s="325"/>
      <c r="AF214" s="325"/>
      <c r="AG214" s="325"/>
      <c r="AH214" s="325"/>
      <c r="AI214" s="285"/>
      <c r="AJ214" s="52">
        <f t="shared" si="60"/>
        <v>0</v>
      </c>
      <c r="AK214" s="747"/>
      <c r="AL214" s="1285"/>
      <c r="AM214" s="31"/>
      <c r="AN214" s="126"/>
      <c r="AO214" s="13">
        <v>110</v>
      </c>
      <c r="AP214" s="74"/>
      <c r="AQ214" s="147"/>
    </row>
    <row r="215" spans="1:43" s="14" customFormat="1" ht="44.85" customHeight="1" thickBot="1" x14ac:dyDescent="0.45">
      <c r="A215" s="1401"/>
      <c r="B215" s="153" t="s">
        <v>609</v>
      </c>
      <c r="C215" s="809" t="s">
        <v>1173</v>
      </c>
      <c r="D215" s="154"/>
      <c r="E215" s="155"/>
      <c r="F215" s="155"/>
      <c r="G215" s="155"/>
      <c r="H215" s="155"/>
      <c r="I215" s="155"/>
      <c r="J215" s="155"/>
      <c r="K215" s="155"/>
      <c r="L215" s="155"/>
      <c r="M215" s="155"/>
      <c r="N215" s="155"/>
      <c r="O215" s="155"/>
      <c r="P215" s="155"/>
      <c r="Q215" s="155"/>
      <c r="R215" s="155"/>
      <c r="S215" s="155"/>
      <c r="T215" s="155"/>
      <c r="U215" s="155"/>
      <c r="V215" s="155"/>
      <c r="W215" s="155"/>
      <c r="X215" s="155"/>
      <c r="Y215" s="155"/>
      <c r="Z215" s="155"/>
      <c r="AA215" s="310"/>
      <c r="AB215" s="354"/>
      <c r="AC215" s="325"/>
      <c r="AD215" s="325"/>
      <c r="AE215" s="325"/>
      <c r="AF215" s="325"/>
      <c r="AG215" s="325"/>
      <c r="AH215" s="325"/>
      <c r="AI215" s="285"/>
      <c r="AJ215" s="359">
        <f t="shared" si="60"/>
        <v>0</v>
      </c>
      <c r="AK215" s="122"/>
      <c r="AL215" s="1302"/>
      <c r="AM215" s="123"/>
      <c r="AN215" s="126"/>
      <c r="AO215" s="13">
        <v>111</v>
      </c>
      <c r="AP215" s="74"/>
      <c r="AQ215" s="147"/>
    </row>
    <row r="216" spans="1:43" ht="27" thickBot="1" x14ac:dyDescent="0.45">
      <c r="A216" s="1249" t="s">
        <v>103</v>
      </c>
      <c r="B216" s="1250"/>
      <c r="C216" s="1250"/>
      <c r="D216" s="1368"/>
      <c r="E216" s="1368"/>
      <c r="F216" s="1368"/>
      <c r="G216" s="1368"/>
      <c r="H216" s="1368"/>
      <c r="I216" s="1368"/>
      <c r="J216" s="1368"/>
      <c r="K216" s="1368"/>
      <c r="L216" s="1368"/>
      <c r="M216" s="1368"/>
      <c r="N216" s="1368"/>
      <c r="O216" s="1368"/>
      <c r="P216" s="1368"/>
      <c r="Q216" s="1368"/>
      <c r="R216" s="1368"/>
      <c r="S216" s="1368"/>
      <c r="T216" s="1368"/>
      <c r="U216" s="1368"/>
      <c r="V216" s="1368"/>
      <c r="W216" s="1368"/>
      <c r="X216" s="1368"/>
      <c r="Y216" s="1368"/>
      <c r="Z216" s="1368"/>
      <c r="AA216" s="1368"/>
      <c r="AB216" s="1276"/>
      <c r="AC216" s="1276"/>
      <c r="AD216" s="1276"/>
      <c r="AE216" s="1276"/>
      <c r="AF216" s="1276"/>
      <c r="AG216" s="1276"/>
      <c r="AH216" s="1276"/>
      <c r="AI216" s="1276"/>
      <c r="AJ216" s="1250"/>
      <c r="AK216" s="1250"/>
      <c r="AL216" s="1250"/>
      <c r="AM216" s="1250"/>
      <c r="AN216" s="1252"/>
      <c r="AO216" s="13">
        <v>112</v>
      </c>
      <c r="AP216" s="74"/>
      <c r="AQ216" s="75"/>
    </row>
    <row r="217" spans="1:43" ht="26.25" customHeight="1" x14ac:dyDescent="0.4">
      <c r="A217" s="1214" t="s">
        <v>35</v>
      </c>
      <c r="B217" s="1461" t="s">
        <v>307</v>
      </c>
      <c r="C217" s="1440" t="s">
        <v>291</v>
      </c>
      <c r="D217" s="1469"/>
      <c r="E217" s="1470"/>
      <c r="F217" s="1470"/>
      <c r="G217" s="1470"/>
      <c r="H217" s="1470"/>
      <c r="I217" s="1470"/>
      <c r="J217" s="1470"/>
      <c r="K217" s="1470"/>
      <c r="L217" s="1400" t="s">
        <v>4</v>
      </c>
      <c r="M217" s="1199"/>
      <c r="N217" s="1199" t="s">
        <v>5</v>
      </c>
      <c r="O217" s="1199"/>
      <c r="P217" s="1199" t="s">
        <v>6</v>
      </c>
      <c r="Q217" s="1199"/>
      <c r="R217" s="1199" t="s">
        <v>7</v>
      </c>
      <c r="S217" s="1199"/>
      <c r="T217" s="1199" t="s">
        <v>8</v>
      </c>
      <c r="U217" s="1199"/>
      <c r="V217" s="1199" t="s">
        <v>23</v>
      </c>
      <c r="W217" s="1199"/>
      <c r="X217" s="1199" t="s">
        <v>24</v>
      </c>
      <c r="Y217" s="1199"/>
      <c r="Z217" s="1199" t="s">
        <v>9</v>
      </c>
      <c r="AA217" s="1207"/>
      <c r="AB217" s="1207" t="s">
        <v>912</v>
      </c>
      <c r="AC217" s="1218"/>
      <c r="AD217" s="1207" t="s">
        <v>913</v>
      </c>
      <c r="AE217" s="1218"/>
      <c r="AF217" s="1207" t="s">
        <v>1074</v>
      </c>
      <c r="AG217" s="1218"/>
      <c r="AH217" s="1207" t="s">
        <v>1075</v>
      </c>
      <c r="AI217" s="1218"/>
      <c r="AJ217" s="1378" t="s">
        <v>19</v>
      </c>
      <c r="AK217" s="1309" t="s">
        <v>340</v>
      </c>
      <c r="AL217" s="1291" t="s">
        <v>346</v>
      </c>
      <c r="AM217" s="1237" t="s">
        <v>347</v>
      </c>
      <c r="AN217" s="1300" t="s">
        <v>347</v>
      </c>
      <c r="AO217" s="13">
        <v>113</v>
      </c>
      <c r="AP217" s="74"/>
      <c r="AQ217" s="75"/>
    </row>
    <row r="218" spans="1:43" ht="27" customHeight="1" thickBot="1" x14ac:dyDescent="0.45">
      <c r="A218" s="1215"/>
      <c r="B218" s="1462"/>
      <c r="C218" s="1441"/>
      <c r="D218" s="1471"/>
      <c r="E218" s="1472"/>
      <c r="F218" s="1472"/>
      <c r="G218" s="1472"/>
      <c r="H218" s="1472"/>
      <c r="I218" s="1472"/>
      <c r="J218" s="1472"/>
      <c r="K218" s="1472"/>
      <c r="L218" s="573" t="s">
        <v>10</v>
      </c>
      <c r="M218" s="68" t="s">
        <v>11</v>
      </c>
      <c r="N218" s="68" t="s">
        <v>10</v>
      </c>
      <c r="O218" s="68" t="s">
        <v>11</v>
      </c>
      <c r="P218" s="68" t="s">
        <v>10</v>
      </c>
      <c r="Q218" s="68" t="s">
        <v>11</v>
      </c>
      <c r="R218" s="68" t="s">
        <v>10</v>
      </c>
      <c r="S218" s="68" t="s">
        <v>11</v>
      </c>
      <c r="T218" s="68" t="s">
        <v>10</v>
      </c>
      <c r="U218" s="68" t="s">
        <v>11</v>
      </c>
      <c r="V218" s="68" t="s">
        <v>10</v>
      </c>
      <c r="W218" s="68" t="s">
        <v>11</v>
      </c>
      <c r="X218" s="68" t="s">
        <v>10</v>
      </c>
      <c r="Y218" s="68" t="s">
        <v>11</v>
      </c>
      <c r="Z218" s="68" t="s">
        <v>10</v>
      </c>
      <c r="AA218" s="336" t="s">
        <v>11</v>
      </c>
      <c r="AB218" s="68" t="s">
        <v>10</v>
      </c>
      <c r="AC218" s="68" t="s">
        <v>11</v>
      </c>
      <c r="AD218" s="68" t="s">
        <v>10</v>
      </c>
      <c r="AE218" s="68" t="s">
        <v>11</v>
      </c>
      <c r="AF218" s="68" t="s">
        <v>10</v>
      </c>
      <c r="AG218" s="68" t="s">
        <v>11</v>
      </c>
      <c r="AH218" s="68" t="s">
        <v>10</v>
      </c>
      <c r="AI218" s="574" t="s">
        <v>11</v>
      </c>
      <c r="AJ218" s="1392"/>
      <c r="AK218" s="1310"/>
      <c r="AL218" s="1242"/>
      <c r="AM218" s="1237"/>
      <c r="AN218" s="1254"/>
      <c r="AO218" s="13">
        <v>114</v>
      </c>
      <c r="AP218" s="74"/>
      <c r="AQ218" s="75"/>
    </row>
    <row r="219" spans="1:43" ht="26.25" customHeight="1" x14ac:dyDescent="0.4">
      <c r="A219" s="1219" t="s">
        <v>1234</v>
      </c>
      <c r="B219" s="69" t="s">
        <v>610</v>
      </c>
      <c r="C219" s="543" t="s">
        <v>318</v>
      </c>
      <c r="D219" s="70"/>
      <c r="E219" s="71"/>
      <c r="F219" s="71"/>
      <c r="G219" s="71"/>
      <c r="H219" s="71"/>
      <c r="I219" s="71"/>
      <c r="J219" s="71"/>
      <c r="K219" s="71"/>
      <c r="L219" s="71"/>
      <c r="M219" s="72"/>
      <c r="N219" s="71"/>
      <c r="O219" s="72"/>
      <c r="P219" s="71"/>
      <c r="Q219" s="72"/>
      <c r="R219" s="71"/>
      <c r="S219" s="72"/>
      <c r="T219" s="71"/>
      <c r="U219" s="72"/>
      <c r="V219" s="71"/>
      <c r="W219" s="72"/>
      <c r="X219" s="156"/>
      <c r="Y219" s="72"/>
      <c r="Z219" s="563"/>
      <c r="AA219" s="572">
        <f>SUM(AC219,AE219,AG219,AI219)</f>
        <v>0</v>
      </c>
      <c r="AB219" s="567"/>
      <c r="AC219" s="289"/>
      <c r="AD219" s="156"/>
      <c r="AE219" s="289"/>
      <c r="AF219" s="156"/>
      <c r="AG219" s="289"/>
      <c r="AH219" s="156"/>
      <c r="AI219" s="289"/>
      <c r="AJ219" s="52">
        <f>SUM(D219:AA219)</f>
        <v>0</v>
      </c>
      <c r="AK219" s="137"/>
      <c r="AL219" s="1473" t="str">
        <f>CONCATENATE(AK219,AK220,AK221,AK224,AK225,AK226,AK227,AK228,AK229,AK232,AK233,AK234,AK235,AK236,AK237,AK240,AK241,AK242,AK222,AK223,AK230,AK231,AK238,AK239)</f>
        <v/>
      </c>
      <c r="AM219" s="73"/>
      <c r="AN219" s="1458" t="str">
        <f>CONCATENATE(AM219,AM220,AM221,AM224,AM225,AM226,AM227,AM228,AM229,AM232,AM233,AM234,AM235,AM236,AM237,AM240,AM241,AM242)</f>
        <v/>
      </c>
      <c r="AO219" s="13">
        <v>115</v>
      </c>
      <c r="AP219" s="74"/>
      <c r="AQ219" s="75"/>
    </row>
    <row r="220" spans="1:43" ht="26.25" x14ac:dyDescent="0.4">
      <c r="A220" s="1444"/>
      <c r="B220" s="76" t="s">
        <v>128</v>
      </c>
      <c r="C220" s="526" t="s">
        <v>191</v>
      </c>
      <c r="D220" s="77"/>
      <c r="E220" s="78"/>
      <c r="F220" s="78"/>
      <c r="G220" s="78"/>
      <c r="H220" s="78"/>
      <c r="I220" s="78"/>
      <c r="J220" s="78"/>
      <c r="K220" s="78"/>
      <c r="L220" s="78"/>
      <c r="M220" s="79"/>
      <c r="N220" s="78"/>
      <c r="O220" s="79"/>
      <c r="P220" s="78"/>
      <c r="Q220" s="79"/>
      <c r="R220" s="78"/>
      <c r="S220" s="79"/>
      <c r="T220" s="78"/>
      <c r="U220" s="79"/>
      <c r="V220" s="78"/>
      <c r="W220" s="79"/>
      <c r="X220" s="157"/>
      <c r="Y220" s="79"/>
      <c r="Z220" s="564"/>
      <c r="AA220" s="571">
        <f t="shared" ref="AA220:AA242" si="61">SUM(AC220,AE220,AG220,AI220)</f>
        <v>0</v>
      </c>
      <c r="AB220" s="568"/>
      <c r="AC220" s="290"/>
      <c r="AD220" s="157"/>
      <c r="AE220" s="290"/>
      <c r="AF220" s="157"/>
      <c r="AG220" s="290"/>
      <c r="AH220" s="157"/>
      <c r="AI220" s="290"/>
      <c r="AJ220" s="171">
        <f t="shared" ref="AJ220:AJ242" si="62">SUM(D220:AA220)</f>
        <v>0</v>
      </c>
      <c r="AK220" s="116" t="str">
        <f>CONCATENATE(IF(D222&lt;SUM(D223,D224,D225,D226)," * First Time Screening , Total CXCA Screening positive for Age "&amp;D20&amp;" "&amp;D21&amp;" should be greater than or equal to  the sum of (Cryotherapy , Leep , Thermocoagulation and Reffered for treatment)"&amp;CHAR(10),""),IF(E222&lt;SUM(E223,E224,E225,E226)," * First Time Screening , Total CXCA Screening positive for Age "&amp;D20&amp;" "&amp;E21&amp;" should be greater than or equal to  the sum of (Cryotherapy , Leep , Thermocoagulation and Reffered for treatment)"&amp;CHAR(10),""),IF(F222&lt;SUM(F223,F224,F225,F226)," * First Time Screening , Total CXCA Screening positive for Age "&amp;F20&amp;" "&amp;F21&amp;" should be greater than or equal to  the sum of (Cryotherapy , Leep , Thermocoagulation and Reffered for treatment)"&amp;CHAR(10),""),IF(G222&lt;SUM(G223,G224,G225,G226)," * First Time Screening , Total CXCA Screening positive for Age "&amp;F20&amp;" "&amp;G21&amp;" should be greater than or equal to  the sum of (Cryotherapy , Leep , Thermocoagulation and Reffered for treatment)"&amp;CHAR(10),""),IF(H222&lt;SUM(H223,H224,H225,H226)," * First Time Screening , Total CXCA Screening positive for Age "&amp;H20&amp;" "&amp;H21&amp;" should be greater than or equal to  the sum of (Cryotherapy , Leep , Thermocoagulation and Reffered for treatment)"&amp;CHAR(10),""),IF(I222&lt;SUM(I223,I224,I225,I226)," * First Time Screening , Total CXCA Screening positive for Age "&amp;H20&amp;" "&amp;I21&amp;" should be greater than or equal to  the sum of (Cryotherapy , Leep , Thermocoagulation and Reffered for treatment)"&amp;CHAR(10),""),IF(J222&lt;SUM(J223,J224,J225,J226)," * First Time Screening , Total CXCA Screening positive for Age "&amp;J20&amp;" "&amp;J21&amp;" should be greater than or equal to  the sum of (Cryotherapy , Leep , Thermocoagulation and Reffered for treatment)"&amp;CHAR(10),""),IF(K222&lt;SUM(K223,K224,K225,K226)," * First Time Screening , Total CXCA Screening positive for Age "&amp;J20&amp;" "&amp;K21&amp;" should be greater than or equal to  the sum of (Cryotherapy , Leep , Thermocoagulation and Reffered for treatment)"&amp;CHAR(10),""),IF(L222&lt;SUM(L223,L224,L225,L226)," * First Time Screening , Total CXCA Screening positive for Age "&amp;L20&amp;" "&amp;L21&amp;" should be greater than or equal to  the sum of (Cryotherapy , Leep , Thermocoagulation and Reffered for treatment)"&amp;CHAR(10),""),IF(M222&lt;SUM(M223,M224,M225,M226)," * First Time Screening , Total CXCA Screening positive for Age "&amp;L20&amp;" "&amp;M21&amp;" should be greater than or equal to  the sum of (Cryotherapy , Leep , Thermocoagulation and Reffered for treatment)"&amp;CHAR(10),""),IF(N222&lt;SUM(N223,N224,N225,N226)," * First Time Screening , Total CXCA Screening positive for Age "&amp;N20&amp;" "&amp;N21&amp;" should be greater than or equal to  the sum of (Cryotherapy , Leep , Thermocoagulation and Reffered for treatment)"&amp;CHAR(10),""),IF(O222&lt;SUM(O223,O224,O225,O226)," * First Time Screening , Total CXCA Screening positive for Age "&amp;N20&amp;" "&amp;O21&amp;" should be greater than or equal to  the sum of (Cryotherapy , Leep , Thermocoagulation and Reffered for treatment)"&amp;CHAR(10),""),IF(P222&lt;SUM(P223,P224,P225,P226)," * First Time Screening , Total CXCA Screening positive for Age "&amp;P20&amp;" "&amp;P21&amp;" should be greater than or equal to  the sum of (Cryotherapy , Leep , Thermocoagulation and Reffered for treatment)"&amp;CHAR(10),""),IF(Q222&lt;SUM(Q223,Q224,Q225,Q226)," * First Time Screening , Total CXCA Screening positive for Age "&amp;P20&amp;" "&amp;Q21&amp;" should be greater than or equal to  the sum of (Cryotherapy , Leep , Thermocoagulation and Reffered for treatment)"&amp;CHAR(10),""),IF(R222&lt;SUM(R223,R224,R225,R226)," * First Time Screening , Total CXCA Screening positive for Age "&amp;R20&amp;" "&amp;R21&amp;" should be greater than or equal to  the sum of (Cryotherapy , Leep , Thermocoagulation and Reffered for treatment)"&amp;CHAR(10),""),IF(S222&lt;SUM(S223,S224,S225,S226)," * First Time Screening , Total CXCA Screening positive for Age "&amp;R20&amp;" "&amp;S21&amp;" should be greater than or equal to  the sum of (Cryotherapy , Leep , Thermocoagulation and Reffered for treatment)"&amp;CHAR(10),""),IF(T222&lt;SUM(T223,T224,T225,T226)," * First Time Screening , Total CXCA Screening positive for Age "&amp;T20&amp;" "&amp;T21&amp;" should be greater than or equal to  the sum of (Cryotherapy , Leep , Thermocoagulation and Reffered for treatment)"&amp;CHAR(10),""),IF(U222&lt;SUM(U223,U224,U225,U226)," * First Time Screening , Total CXCA Screening positive for Age "&amp;T20&amp;" "&amp;U21&amp;" should be greater than or equal to  the sum of (Cryotherapy , Leep , Thermocoagulation and Reffered for treatment)"&amp;CHAR(10),""),IF(V222&lt;SUM(V223,V224,V225,V226)," * First Time Screening , Total CXCA Screening positive for Age "&amp;V20&amp;" "&amp;V21&amp;" should be greater than or equal to  the sum of (Cryotherapy , Leep , Thermocoagulation and Reffered for treatment)"&amp;CHAR(10),""),IF(W222&lt;SUM(W223,W224,W225,W226)," * First Time Screening , Total CXCA Screening positive for Age "&amp;V20&amp;" "&amp;W21&amp;" should be greater than or equal to  the sum of (Cryotherapy , Leep , Thermocoagulation and Reffered for treatment)"&amp;CHAR(10),""),IF(X222&lt;SUM(X223,X224,X225,X226)," * First Time Screening , Total CXCA Screening positive for Age "&amp;X20&amp;" "&amp;X21&amp;" should be greater than or equal to  the sum of (Cryotherapy , Leep , Thermocoagulation and Reffered for treatment)"&amp;CHAR(10),""),IF(Y222&lt;SUM(Y223,Y224,Y225,Y226)," * First Time Screening , Total CXCA Screening positive for Age "&amp;X20&amp;" "&amp;Y21&amp;" should be greater than or equal to  the sum of (Cryotherapy , Leep , Thermocoagulation and Reffered for treatment)"&amp;CHAR(10),""),IF(Z222&lt;SUM(Z223,Z224,Z225,Z226)," * First Time Screening , Total CXCA Screening positive for Age "&amp;Z20&amp;" "&amp;Z21&amp;" should be greater than or equal to  the sum of (Cryotherapy , Leep , Thermocoagulation and Reffered for treatment)"&amp;CHAR(10),""),IF(AA222&lt;SUM(AA223,AA224,AA225,AA226)," * First Time Screening , Total CXCA Screening positive for Age "&amp;Z20&amp;" "&amp;AA21&amp;" should be greater than or equal to  the sum of (Cryotherapy , Leep , Thermocoagulation and Reffered for treatment)"&amp;CHAR(10),""))</f>
        <v/>
      </c>
      <c r="AL220" s="1474"/>
      <c r="AM220" s="31"/>
      <c r="AN220" s="1459"/>
      <c r="AO220" s="13">
        <v>116</v>
      </c>
      <c r="AP220" s="74"/>
      <c r="AQ220" s="75"/>
    </row>
    <row r="221" spans="1:43" ht="26.25" x14ac:dyDescent="0.4">
      <c r="A221" s="1444"/>
      <c r="B221" s="76" t="s">
        <v>611</v>
      </c>
      <c r="C221" s="526" t="s">
        <v>319</v>
      </c>
      <c r="D221" s="77"/>
      <c r="E221" s="78"/>
      <c r="F221" s="78"/>
      <c r="G221" s="78"/>
      <c r="H221" s="78"/>
      <c r="I221" s="78"/>
      <c r="J221" s="78"/>
      <c r="K221" s="78"/>
      <c r="L221" s="78"/>
      <c r="M221" s="79"/>
      <c r="N221" s="78"/>
      <c r="O221" s="79"/>
      <c r="P221" s="78"/>
      <c r="Q221" s="79"/>
      <c r="R221" s="78"/>
      <c r="S221" s="79"/>
      <c r="T221" s="78"/>
      <c r="U221" s="79"/>
      <c r="V221" s="78"/>
      <c r="W221" s="79"/>
      <c r="X221" s="157"/>
      <c r="Y221" s="79"/>
      <c r="Z221" s="564"/>
      <c r="AA221" s="571">
        <f t="shared" si="61"/>
        <v>0</v>
      </c>
      <c r="AB221" s="568"/>
      <c r="AC221" s="290"/>
      <c r="AD221" s="157"/>
      <c r="AE221" s="290"/>
      <c r="AF221" s="157"/>
      <c r="AG221" s="290"/>
      <c r="AH221" s="157"/>
      <c r="AI221" s="290"/>
      <c r="AJ221" s="171">
        <f t="shared" si="62"/>
        <v>0</v>
      </c>
      <c r="AK221" s="116"/>
      <c r="AL221" s="1474"/>
      <c r="AM221" s="31"/>
      <c r="AN221" s="1459"/>
      <c r="AO221" s="13">
        <v>117</v>
      </c>
      <c r="AP221" s="74"/>
      <c r="AQ221" s="75"/>
    </row>
    <row r="222" spans="1:43" ht="26.25" x14ac:dyDescent="0.4">
      <c r="A222" s="1445"/>
      <c r="B222" s="158" t="s">
        <v>764</v>
      </c>
      <c r="C222" s="526" t="s">
        <v>765</v>
      </c>
      <c r="D222" s="77"/>
      <c r="E222" s="78"/>
      <c r="F222" s="78"/>
      <c r="G222" s="78"/>
      <c r="H222" s="78"/>
      <c r="I222" s="78"/>
      <c r="J222" s="78"/>
      <c r="K222" s="78"/>
      <c r="L222" s="78"/>
      <c r="M222" s="159">
        <f>M221+M220</f>
        <v>0</v>
      </c>
      <c r="N222" s="160"/>
      <c r="O222" s="159">
        <f>O221+O220</f>
        <v>0</v>
      </c>
      <c r="P222" s="78"/>
      <c r="Q222" s="159">
        <f>Q221+Q220</f>
        <v>0</v>
      </c>
      <c r="R222" s="78"/>
      <c r="S222" s="159">
        <f>S221+S220</f>
        <v>0</v>
      </c>
      <c r="T222" s="78"/>
      <c r="U222" s="159">
        <f>U221+U220</f>
        <v>0</v>
      </c>
      <c r="V222" s="78"/>
      <c r="W222" s="159">
        <f>W221+W220</f>
        <v>0</v>
      </c>
      <c r="X222" s="157"/>
      <c r="Y222" s="159">
        <f>Y221+Y220</f>
        <v>0</v>
      </c>
      <c r="Z222" s="564"/>
      <c r="AA222" s="571">
        <f t="shared" si="61"/>
        <v>0</v>
      </c>
      <c r="AB222" s="568"/>
      <c r="AC222" s="311">
        <f>AC221+AC220</f>
        <v>0</v>
      </c>
      <c r="AD222" s="157"/>
      <c r="AE222" s="311">
        <f>AE221+AE220</f>
        <v>0</v>
      </c>
      <c r="AF222" s="157"/>
      <c r="AG222" s="311">
        <f>AG221+AG220</f>
        <v>0</v>
      </c>
      <c r="AH222" s="157"/>
      <c r="AI222" s="311">
        <f>AI221+AI220</f>
        <v>0</v>
      </c>
      <c r="AJ222" s="171">
        <f t="shared" si="62"/>
        <v>0</v>
      </c>
      <c r="AK222" s="116"/>
      <c r="AL222" s="1474"/>
      <c r="AM222" s="31"/>
      <c r="AN222" s="1459"/>
      <c r="AO222" s="13">
        <v>118</v>
      </c>
      <c r="AP222" s="74"/>
      <c r="AQ222" s="75"/>
    </row>
    <row r="223" spans="1:43" ht="26.25" x14ac:dyDescent="0.4">
      <c r="A223" s="1446" t="s">
        <v>1235</v>
      </c>
      <c r="B223" s="161" t="s">
        <v>1186</v>
      </c>
      <c r="C223" s="526" t="s">
        <v>891</v>
      </c>
      <c r="D223" s="77"/>
      <c r="E223" s="78"/>
      <c r="F223" s="78"/>
      <c r="G223" s="78"/>
      <c r="H223" s="78"/>
      <c r="I223" s="78"/>
      <c r="J223" s="78"/>
      <c r="K223" s="78"/>
      <c r="L223" s="78"/>
      <c r="M223" s="162"/>
      <c r="N223" s="160"/>
      <c r="O223" s="162"/>
      <c r="P223" s="78"/>
      <c r="Q223" s="162"/>
      <c r="R223" s="78"/>
      <c r="S223" s="162"/>
      <c r="T223" s="78"/>
      <c r="U223" s="162"/>
      <c r="V223" s="78"/>
      <c r="W223" s="162"/>
      <c r="X223" s="157"/>
      <c r="Y223" s="162"/>
      <c r="Z223" s="564"/>
      <c r="AA223" s="571">
        <f>SUM(AC223,AE223,AG223,AI223)</f>
        <v>0</v>
      </c>
      <c r="AB223" s="568"/>
      <c r="AC223" s="312"/>
      <c r="AD223" s="157"/>
      <c r="AE223" s="312"/>
      <c r="AF223" s="157"/>
      <c r="AG223" s="312"/>
      <c r="AH223" s="157"/>
      <c r="AI223" s="312"/>
      <c r="AJ223" s="171">
        <f t="shared" si="62"/>
        <v>0</v>
      </c>
      <c r="AK223" s="116"/>
      <c r="AL223" s="1474"/>
      <c r="AM223" s="31"/>
      <c r="AN223" s="1459"/>
      <c r="AO223" s="13">
        <v>119</v>
      </c>
      <c r="AP223" s="74"/>
      <c r="AQ223" s="75"/>
    </row>
    <row r="224" spans="1:43" ht="26.25" x14ac:dyDescent="0.4">
      <c r="A224" s="1444"/>
      <c r="B224" s="76" t="s">
        <v>612</v>
      </c>
      <c r="C224" s="526" t="s">
        <v>196</v>
      </c>
      <c r="D224" s="77"/>
      <c r="E224" s="78"/>
      <c r="F224" s="78"/>
      <c r="G224" s="78"/>
      <c r="H224" s="78"/>
      <c r="I224" s="78"/>
      <c r="J224" s="78"/>
      <c r="K224" s="78"/>
      <c r="L224" s="78"/>
      <c r="M224" s="79"/>
      <c r="N224" s="78"/>
      <c r="O224" s="79"/>
      <c r="P224" s="78"/>
      <c r="Q224" s="79"/>
      <c r="R224" s="78"/>
      <c r="S224" s="79"/>
      <c r="T224" s="78"/>
      <c r="U224" s="79"/>
      <c r="V224" s="78"/>
      <c r="W224" s="79"/>
      <c r="X224" s="157"/>
      <c r="Y224" s="79"/>
      <c r="Z224" s="564"/>
      <c r="AA224" s="571">
        <f t="shared" si="61"/>
        <v>0</v>
      </c>
      <c r="AB224" s="568"/>
      <c r="AC224" s="290"/>
      <c r="AD224" s="157"/>
      <c r="AE224" s="290"/>
      <c r="AF224" s="157"/>
      <c r="AG224" s="290"/>
      <c r="AH224" s="157"/>
      <c r="AI224" s="290"/>
      <c r="AJ224" s="171">
        <f t="shared" si="62"/>
        <v>0</v>
      </c>
      <c r="AK224" s="116"/>
      <c r="AL224" s="1474"/>
      <c r="AM224" s="31"/>
      <c r="AN224" s="1459"/>
      <c r="AO224" s="13">
        <v>120</v>
      </c>
      <c r="AP224" s="74"/>
      <c r="AQ224" s="75"/>
    </row>
    <row r="225" spans="1:43" ht="26.25" x14ac:dyDescent="0.4">
      <c r="A225" s="1444"/>
      <c r="B225" s="76" t="s">
        <v>613</v>
      </c>
      <c r="C225" s="526" t="s">
        <v>197</v>
      </c>
      <c r="D225" s="77"/>
      <c r="E225" s="78"/>
      <c r="F225" s="78"/>
      <c r="G225" s="78"/>
      <c r="H225" s="78"/>
      <c r="I225" s="78"/>
      <c r="J225" s="78"/>
      <c r="K225" s="78"/>
      <c r="L225" s="78"/>
      <c r="M225" s="79"/>
      <c r="N225" s="78"/>
      <c r="O225" s="79"/>
      <c r="P225" s="78"/>
      <c r="Q225" s="79"/>
      <c r="R225" s="78"/>
      <c r="S225" s="79"/>
      <c r="T225" s="78"/>
      <c r="U225" s="79"/>
      <c r="V225" s="78"/>
      <c r="W225" s="79"/>
      <c r="X225" s="157"/>
      <c r="Y225" s="79"/>
      <c r="Z225" s="564"/>
      <c r="AA225" s="571">
        <f t="shared" si="61"/>
        <v>0</v>
      </c>
      <c r="AB225" s="568"/>
      <c r="AC225" s="290"/>
      <c r="AD225" s="157"/>
      <c r="AE225" s="290"/>
      <c r="AF225" s="157"/>
      <c r="AG225" s="290"/>
      <c r="AH225" s="157"/>
      <c r="AI225" s="290"/>
      <c r="AJ225" s="171">
        <f t="shared" si="62"/>
        <v>0</v>
      </c>
      <c r="AK225" s="116"/>
      <c r="AL225" s="1474"/>
      <c r="AM225" s="31"/>
      <c r="AN225" s="1459"/>
      <c r="AO225" s="13">
        <v>121</v>
      </c>
      <c r="AP225" s="74"/>
      <c r="AQ225" s="75"/>
    </row>
    <row r="226" spans="1:43" ht="27" thickBot="1" x14ac:dyDescent="0.45">
      <c r="A226" s="1220"/>
      <c r="B226" s="87" t="s">
        <v>614</v>
      </c>
      <c r="C226" s="527" t="s">
        <v>198</v>
      </c>
      <c r="D226" s="103"/>
      <c r="E226" s="102"/>
      <c r="F226" s="102"/>
      <c r="G226" s="102"/>
      <c r="H226" s="102"/>
      <c r="I226" s="102"/>
      <c r="J226" s="102"/>
      <c r="K226" s="102"/>
      <c r="L226" s="102"/>
      <c r="M226" s="89"/>
      <c r="N226" s="102"/>
      <c r="O226" s="89"/>
      <c r="P226" s="102"/>
      <c r="Q226" s="89"/>
      <c r="R226" s="102"/>
      <c r="S226" s="89"/>
      <c r="T226" s="102"/>
      <c r="U226" s="89"/>
      <c r="V226" s="102"/>
      <c r="W226" s="89"/>
      <c r="X226" s="163"/>
      <c r="Y226" s="89"/>
      <c r="Z226" s="565"/>
      <c r="AA226" s="571">
        <f t="shared" si="61"/>
        <v>0</v>
      </c>
      <c r="AB226" s="569"/>
      <c r="AC226" s="292"/>
      <c r="AD226" s="163"/>
      <c r="AE226" s="292"/>
      <c r="AF226" s="163"/>
      <c r="AG226" s="292"/>
      <c r="AH226" s="163"/>
      <c r="AI226" s="292"/>
      <c r="AJ226" s="184">
        <f t="shared" si="62"/>
        <v>0</v>
      </c>
      <c r="AK226" s="116"/>
      <c r="AL226" s="1474"/>
      <c r="AM226" s="31"/>
      <c r="AN226" s="1459"/>
      <c r="AO226" s="13">
        <v>122</v>
      </c>
      <c r="AP226" s="74"/>
      <c r="AQ226" s="75"/>
    </row>
    <row r="227" spans="1:43" ht="26.25" customHeight="1" x14ac:dyDescent="0.4">
      <c r="A227" s="1219" t="s">
        <v>1232</v>
      </c>
      <c r="B227" s="91" t="s">
        <v>610</v>
      </c>
      <c r="C227" s="525" t="s">
        <v>320</v>
      </c>
      <c r="D227" s="98"/>
      <c r="E227" s="99"/>
      <c r="F227" s="99"/>
      <c r="G227" s="99"/>
      <c r="H227" s="99"/>
      <c r="I227" s="99"/>
      <c r="J227" s="99"/>
      <c r="K227" s="99"/>
      <c r="L227" s="99"/>
      <c r="M227" s="94"/>
      <c r="N227" s="99"/>
      <c r="O227" s="94"/>
      <c r="P227" s="99"/>
      <c r="Q227" s="94"/>
      <c r="R227" s="99"/>
      <c r="S227" s="94"/>
      <c r="T227" s="99"/>
      <c r="U227" s="94"/>
      <c r="V227" s="99"/>
      <c r="W227" s="94"/>
      <c r="X227" s="164"/>
      <c r="Y227" s="94"/>
      <c r="Z227" s="566"/>
      <c r="AA227" s="571">
        <f t="shared" si="61"/>
        <v>0</v>
      </c>
      <c r="AB227" s="570"/>
      <c r="AC227" s="293"/>
      <c r="AD227" s="164"/>
      <c r="AE227" s="293"/>
      <c r="AF227" s="164"/>
      <c r="AG227" s="293"/>
      <c r="AH227" s="164"/>
      <c r="AI227" s="293"/>
      <c r="AJ227" s="183">
        <f t="shared" si="62"/>
        <v>0</v>
      </c>
      <c r="AK227" s="116"/>
      <c r="AL227" s="1474"/>
      <c r="AM227" s="31"/>
      <c r="AN227" s="1459"/>
      <c r="AO227" s="13">
        <v>123</v>
      </c>
      <c r="AP227" s="74"/>
      <c r="AQ227" s="75"/>
    </row>
    <row r="228" spans="1:43" ht="26.25" x14ac:dyDescent="0.4">
      <c r="A228" s="1444"/>
      <c r="B228" s="76" t="s">
        <v>128</v>
      </c>
      <c r="C228" s="526" t="s">
        <v>321</v>
      </c>
      <c r="D228" s="77"/>
      <c r="E228" s="78"/>
      <c r="F228" s="78"/>
      <c r="G228" s="78"/>
      <c r="H228" s="78"/>
      <c r="I228" s="78"/>
      <c r="J228" s="78"/>
      <c r="K228" s="78"/>
      <c r="L228" s="78"/>
      <c r="M228" s="79"/>
      <c r="N228" s="78"/>
      <c r="O228" s="79"/>
      <c r="P228" s="78"/>
      <c r="Q228" s="79"/>
      <c r="R228" s="78"/>
      <c r="S228" s="79"/>
      <c r="T228" s="78"/>
      <c r="U228" s="79"/>
      <c r="V228" s="78"/>
      <c r="W228" s="79"/>
      <c r="X228" s="157"/>
      <c r="Y228" s="79"/>
      <c r="Z228" s="564"/>
      <c r="AA228" s="571">
        <f t="shared" si="61"/>
        <v>0</v>
      </c>
      <c r="AB228" s="568"/>
      <c r="AC228" s="290"/>
      <c r="AD228" s="157"/>
      <c r="AE228" s="290"/>
      <c r="AF228" s="157"/>
      <c r="AG228" s="290"/>
      <c r="AH228" s="157"/>
      <c r="AI228" s="290"/>
      <c r="AJ228" s="171">
        <f t="shared" si="62"/>
        <v>0</v>
      </c>
      <c r="AK228" s="515" t="str">
        <f>CONCATENATE(IF(D230&lt;SUM(D231,D232,D233,D234)," * Rescreened and treatment , Total CXCA Screening positive for Age "&amp;D28&amp;" "&amp;D31&amp;" should be greater than or equal to  the sum of (Cryotherapy , Leep , Thermocoagulation and Reffered for treatment)"&amp;CHAR(10),""),IF(E230&lt;SUM(E231,E232,E233,E234)," * Rescreened and treatment , Total CXCA Screening positive for Age "&amp;D28&amp;" "&amp;E31&amp;" should be greater than or equal to  the sum of (Cryotherapy , Leep , Thermocoagulation and Reffered for treatment)"&amp;CHAR(10),""),IF(F230&lt;SUM(F231,F232,F233,F234)," * Rescreened and treatment , Total CXCA Screening positive for Age "&amp;F28&amp;" "&amp;F31&amp;" should be greater than or equal to  the sum of (Cryotherapy , Leep , Thermocoagulation and Reffered for treatment)"&amp;CHAR(10),""),IF(G230&lt;SUM(G231,G232,G233,G234)," * Rescreened and treatment , Total CXCA Screening positive for Age "&amp;F28&amp;" "&amp;G31&amp;" should be greater than or equal to  the sum of (Cryotherapy , Leep , Thermocoagulation and Reffered for treatment)"&amp;CHAR(10),""),IF(H230&lt;SUM(H231,H232,H233,H234)," * Rescreened and treatment , Total CXCA Screening positive for Age "&amp;H28&amp;" "&amp;H31&amp;" should be greater than or equal to  the sum of (Cryotherapy , Leep , Thermocoagulation and Reffered for treatment)"&amp;CHAR(10),""),IF(I230&lt;SUM(I231,I232,I233,I234)," * Rescreened and treatment , Total CXCA Screening positive for Age "&amp;H28&amp;" "&amp;I31&amp;" should be greater than or equal to  the sum of (Cryotherapy , Leep , Thermocoagulation and Reffered for treatment)"&amp;CHAR(10),""),IF(J230&lt;SUM(J231,J232,J233,J234)," * Rescreened and treatment , Total CXCA Screening positive for Age "&amp;J28&amp;" "&amp;J31&amp;" should be greater than or equal to  the sum of (Cryotherapy , Leep , Thermocoagulation and Reffered for treatment)"&amp;CHAR(10),""),IF(K230&lt;SUM(K231,K232,K233,K234)," * Rescreened and treatment , Total CXCA Screening positive for Age "&amp;J28&amp;" "&amp;K31&amp;" should be greater than or equal to  the sum of (Cryotherapy , Leep , Thermocoagulation and Reffered for treatment)"&amp;CHAR(10),""),IF(L230&lt;SUM(L231,L232,L233,L234)," * Rescreened and treatment , Total CXCA Screening positive for Age "&amp;L28&amp;" "&amp;L31&amp;" should be greater than or equal to  the sum of (Cryotherapy , Leep , Thermocoagulation and Reffered for treatment)"&amp;CHAR(10),""),IF(M230&lt;SUM(M231,M232,M233,M234)," * Rescreened and treatment , Total CXCA Screening positive for Age "&amp;L28&amp;" "&amp;M31&amp;" should be greater than or equal to  the sum of (Cryotherapy , Leep , Thermocoagulation and Reffered for treatment)"&amp;CHAR(10),""),IF(N230&lt;SUM(N231,N232,N233,N234)," * Rescreened and treatment , Total CXCA Screening positive for Age "&amp;N28&amp;" "&amp;N31&amp;" should be greater than or equal to  the sum of (Cryotherapy , Leep , Thermocoagulation and Reffered for treatment)"&amp;CHAR(10),""),IF(O230&lt;SUM(O231,O232,O233,O234)," * Rescreened and treatment , Total CXCA Screening positive for Age "&amp;N28&amp;" "&amp;O31&amp;" should be greater than or equal to  the sum of (Cryotherapy , Leep , Thermocoagulation and Reffered for treatment)"&amp;CHAR(10),""),IF(P230&lt;SUM(P231,P232,P233,P234)," * Rescreened and treatment , Total CXCA Screening positive for Age "&amp;P28&amp;" "&amp;P31&amp;" should be greater than or equal to  the sum of (Cryotherapy , Leep , Thermocoagulation and Reffered for treatment)"&amp;CHAR(10),""),IF(Q230&lt;SUM(Q231,Q232,Q233,Q234)," * Rescreened and treatment , Total CXCA Screening positive for Age "&amp;P28&amp;" "&amp;Q31&amp;" should be greater than or equal to  the sum of (Cryotherapy , Leep , Thermocoagulation and Reffered for treatment)"&amp;CHAR(10),""),IF(R230&lt;SUM(R231,R232,R233,R234)," * Rescreened and treatment , Total CXCA Screening positive for Age "&amp;R28&amp;" "&amp;R31&amp;" should be greater than or equal to  the sum of (Cryotherapy , Leep , Thermocoagulation and Reffered for treatment)"&amp;CHAR(10),""),IF(S230&lt;SUM(S231,S232,S233,S234)," * Rescreened and treatment , Total CXCA Screening positive for Age "&amp;R28&amp;" "&amp;S31&amp;" should be greater than or equal to  the sum of (Cryotherapy , Leep , Thermocoagulation and Reffered for treatment)"&amp;CHAR(10),""),IF(T230&lt;SUM(T231,T232,T233,T234)," * Rescreened and treatment , Total CXCA Screening positive for Age "&amp;T28&amp;" "&amp;T31&amp;" should be greater than or equal to  the sum of (Cryotherapy , Leep , Thermocoagulation and Reffered for treatment)"&amp;CHAR(10),""),IF(U230&lt;SUM(U231,U232,U233,U234)," * Rescreened and treatment , Total CXCA Screening positive for Age "&amp;T28&amp;" "&amp;U31&amp;" should be greater than or equal to  the sum of (Cryotherapy , Leep , Thermocoagulation and Reffered for treatment)"&amp;CHAR(10),""),IF(V230&lt;SUM(V231,V232,V233,V234)," * Rescreened and treatment , Total CXCA Screening positive for Age "&amp;V28&amp;" "&amp;V31&amp;" should be greater than or equal to  the sum of (Cryotherapy , Leep , Thermocoagulation and Reffered for treatment)"&amp;CHAR(10),""),IF(W230&lt;SUM(W231,W232,W233,W234)," * Rescreened and treatment , Total CXCA Screening positive for Age "&amp;V28&amp;" "&amp;W31&amp;" should be greater than or equal to  the sum of (Cryotherapy , Leep , Thermocoagulation and Reffered for treatment)"&amp;CHAR(10),""),IF(X230&lt;SUM(X231,X232,X233,X234)," * Rescreened and treatment , Total CXCA Screening positive for Age "&amp;X28&amp;" "&amp;X31&amp;" should be greater than or equal to  the sum of (Cryotherapy , Leep , Thermocoagulation and Reffered for treatment)"&amp;CHAR(10),""),IF(Y230&lt;SUM(Y231,Y232,Y233,Y234)," * Rescreened and treatment , Total CXCA Screening positive for Age "&amp;X28&amp;" "&amp;Y31&amp;" should be greater than or equal to  the sum of (Cryotherapy , Leep , Thermocoagulation and Reffered for treatment)"&amp;CHAR(10),""),IF(Z230&lt;SUM(Z231,Z232,Z233,Z234)," * Rescreened and treatment , Total CXCA Screening positive for Age "&amp;Z28&amp;" "&amp;Z31&amp;" should be greater than or equal to  the sum of (Cryotherapy , Leep , Thermocoagulation and Reffered for treatment)"&amp;CHAR(10),""),IF(AA230&lt;SUM(AA231,AA232,AA233,AA234)," * Rescreened and treatment , Total CXCA Screening positive for Age "&amp;Z28&amp;" "&amp;AA31&amp;" should be greater than or equal to  the sum of (Cryotherapy , Leep , Thermocoagulation and Reffered for treatment)"&amp;CHAR(10),""))</f>
        <v/>
      </c>
      <c r="AL228" s="1474"/>
      <c r="AM228" s="31"/>
      <c r="AN228" s="1459"/>
      <c r="AO228" s="13">
        <v>124</v>
      </c>
      <c r="AP228" s="74"/>
      <c r="AQ228" s="75"/>
    </row>
    <row r="229" spans="1:43" ht="26.25" x14ac:dyDescent="0.4">
      <c r="A229" s="1444"/>
      <c r="B229" s="76" t="s">
        <v>611</v>
      </c>
      <c r="C229" s="526" t="s">
        <v>206</v>
      </c>
      <c r="D229" s="77"/>
      <c r="E229" s="78"/>
      <c r="F229" s="78"/>
      <c r="G229" s="78"/>
      <c r="H229" s="78"/>
      <c r="I229" s="78"/>
      <c r="J229" s="78"/>
      <c r="K229" s="78"/>
      <c r="L229" s="78"/>
      <c r="M229" s="79"/>
      <c r="N229" s="78"/>
      <c r="O229" s="79"/>
      <c r="P229" s="78"/>
      <c r="Q229" s="79"/>
      <c r="R229" s="78"/>
      <c r="S229" s="79"/>
      <c r="T229" s="78"/>
      <c r="U229" s="79"/>
      <c r="V229" s="78"/>
      <c r="W229" s="79"/>
      <c r="X229" s="157"/>
      <c r="Y229" s="79"/>
      <c r="Z229" s="564"/>
      <c r="AA229" s="571">
        <f t="shared" si="61"/>
        <v>0</v>
      </c>
      <c r="AB229" s="568"/>
      <c r="AC229" s="290"/>
      <c r="AD229" s="157"/>
      <c r="AE229" s="290"/>
      <c r="AF229" s="157"/>
      <c r="AG229" s="290"/>
      <c r="AH229" s="157"/>
      <c r="AI229" s="290"/>
      <c r="AJ229" s="171">
        <f t="shared" si="62"/>
        <v>0</v>
      </c>
      <c r="AK229" s="116"/>
      <c r="AL229" s="1474"/>
      <c r="AM229" s="31"/>
      <c r="AN229" s="1459"/>
      <c r="AO229" s="13">
        <v>125</v>
      </c>
      <c r="AP229" s="74"/>
      <c r="AQ229" s="75"/>
    </row>
    <row r="230" spans="1:43" ht="26.25" x14ac:dyDescent="0.4">
      <c r="A230" s="1445"/>
      <c r="B230" s="158" t="s">
        <v>764</v>
      </c>
      <c r="C230" s="526" t="s">
        <v>766</v>
      </c>
      <c r="D230" s="77"/>
      <c r="E230" s="78"/>
      <c r="F230" s="78"/>
      <c r="G230" s="78"/>
      <c r="H230" s="78"/>
      <c r="I230" s="78"/>
      <c r="J230" s="78"/>
      <c r="K230" s="78"/>
      <c r="L230" s="78"/>
      <c r="M230" s="159">
        <f>M229+M228</f>
        <v>0</v>
      </c>
      <c r="N230" s="160"/>
      <c r="O230" s="159">
        <f>O229+O228</f>
        <v>0</v>
      </c>
      <c r="P230" s="78"/>
      <c r="Q230" s="159">
        <f>Q229+Q228</f>
        <v>0</v>
      </c>
      <c r="R230" s="78"/>
      <c r="S230" s="159">
        <f>S229+S228</f>
        <v>0</v>
      </c>
      <c r="T230" s="78"/>
      <c r="U230" s="159">
        <f>U229+U228</f>
        <v>0</v>
      </c>
      <c r="V230" s="78"/>
      <c r="W230" s="159">
        <f>W229+W228</f>
        <v>0</v>
      </c>
      <c r="X230" s="157"/>
      <c r="Y230" s="159">
        <f>Y229+Y228</f>
        <v>0</v>
      </c>
      <c r="Z230" s="564"/>
      <c r="AA230" s="571">
        <f t="shared" si="61"/>
        <v>0</v>
      </c>
      <c r="AB230" s="568"/>
      <c r="AC230" s="311">
        <f>AC229+AC228</f>
        <v>0</v>
      </c>
      <c r="AD230" s="157"/>
      <c r="AE230" s="311">
        <f>AE229+AE228</f>
        <v>0</v>
      </c>
      <c r="AF230" s="157"/>
      <c r="AG230" s="311">
        <f>AG229+AG228</f>
        <v>0</v>
      </c>
      <c r="AH230" s="157"/>
      <c r="AI230" s="311">
        <f>AI229+AI228</f>
        <v>0</v>
      </c>
      <c r="AJ230" s="171">
        <f t="shared" si="62"/>
        <v>0</v>
      </c>
      <c r="AK230" s="116"/>
      <c r="AL230" s="1474"/>
      <c r="AM230" s="31"/>
      <c r="AN230" s="1459"/>
      <c r="AO230" s="13">
        <v>126</v>
      </c>
      <c r="AP230" s="74"/>
      <c r="AQ230" s="75"/>
    </row>
    <row r="231" spans="1:43" ht="26.25" x14ac:dyDescent="0.4">
      <c r="A231" s="1446" t="s">
        <v>1233</v>
      </c>
      <c r="B231" s="161" t="s">
        <v>1186</v>
      </c>
      <c r="C231" s="526" t="s">
        <v>893</v>
      </c>
      <c r="D231" s="77"/>
      <c r="E231" s="78"/>
      <c r="F231" s="78"/>
      <c r="G231" s="78"/>
      <c r="H231" s="78"/>
      <c r="I231" s="78"/>
      <c r="J231" s="78"/>
      <c r="K231" s="78"/>
      <c r="L231" s="78"/>
      <c r="M231" s="162"/>
      <c r="N231" s="160"/>
      <c r="O231" s="162"/>
      <c r="P231" s="78"/>
      <c r="Q231" s="162"/>
      <c r="R231" s="78"/>
      <c r="S231" s="162"/>
      <c r="T231" s="78"/>
      <c r="U231" s="162"/>
      <c r="V231" s="78"/>
      <c r="W231" s="162"/>
      <c r="X231" s="157"/>
      <c r="Y231" s="162"/>
      <c r="Z231" s="564"/>
      <c r="AA231" s="571">
        <f t="shared" si="61"/>
        <v>0</v>
      </c>
      <c r="AB231" s="568"/>
      <c r="AC231" s="312"/>
      <c r="AD231" s="157"/>
      <c r="AE231" s="312"/>
      <c r="AF231" s="157"/>
      <c r="AG231" s="312"/>
      <c r="AH231" s="157"/>
      <c r="AI231" s="312"/>
      <c r="AJ231" s="171">
        <f t="shared" si="62"/>
        <v>0</v>
      </c>
      <c r="AK231" s="116"/>
      <c r="AL231" s="1474"/>
      <c r="AM231" s="31"/>
      <c r="AN231" s="1459"/>
      <c r="AO231" s="13">
        <v>127</v>
      </c>
      <c r="AP231" s="74"/>
      <c r="AQ231" s="75"/>
    </row>
    <row r="232" spans="1:43" ht="26.25" x14ac:dyDescent="0.4">
      <c r="A232" s="1444"/>
      <c r="B232" s="76" t="s">
        <v>612</v>
      </c>
      <c r="C232" s="526" t="s">
        <v>207</v>
      </c>
      <c r="D232" s="77"/>
      <c r="E232" s="78"/>
      <c r="F232" s="78"/>
      <c r="G232" s="78"/>
      <c r="H232" s="78"/>
      <c r="I232" s="78"/>
      <c r="J232" s="78"/>
      <c r="K232" s="78"/>
      <c r="L232" s="78"/>
      <c r="M232" s="79"/>
      <c r="N232" s="78"/>
      <c r="O232" s="79"/>
      <c r="P232" s="78"/>
      <c r="Q232" s="79"/>
      <c r="R232" s="78"/>
      <c r="S232" s="79"/>
      <c r="T232" s="78"/>
      <c r="U232" s="79"/>
      <c r="V232" s="78"/>
      <c r="W232" s="79"/>
      <c r="X232" s="157"/>
      <c r="Y232" s="79"/>
      <c r="Z232" s="564"/>
      <c r="AA232" s="571">
        <f t="shared" si="61"/>
        <v>0</v>
      </c>
      <c r="AB232" s="568"/>
      <c r="AC232" s="290"/>
      <c r="AD232" s="157"/>
      <c r="AE232" s="290"/>
      <c r="AF232" s="157"/>
      <c r="AG232" s="290"/>
      <c r="AH232" s="157"/>
      <c r="AI232" s="290"/>
      <c r="AJ232" s="171">
        <f t="shared" si="62"/>
        <v>0</v>
      </c>
      <c r="AK232" s="116"/>
      <c r="AL232" s="1474"/>
      <c r="AM232" s="31"/>
      <c r="AN232" s="1459"/>
      <c r="AO232" s="13">
        <v>128</v>
      </c>
      <c r="AP232" s="74"/>
      <c r="AQ232" s="75"/>
    </row>
    <row r="233" spans="1:43" ht="26.25" x14ac:dyDescent="0.4">
      <c r="A233" s="1444"/>
      <c r="B233" s="76" t="s">
        <v>613</v>
      </c>
      <c r="C233" s="526" t="s">
        <v>322</v>
      </c>
      <c r="D233" s="77"/>
      <c r="E233" s="78"/>
      <c r="F233" s="78"/>
      <c r="G233" s="78"/>
      <c r="H233" s="78"/>
      <c r="I233" s="78"/>
      <c r="J233" s="78"/>
      <c r="K233" s="78"/>
      <c r="L233" s="78"/>
      <c r="M233" s="79"/>
      <c r="N233" s="78"/>
      <c r="O233" s="79"/>
      <c r="P233" s="78"/>
      <c r="Q233" s="79"/>
      <c r="R233" s="78"/>
      <c r="S233" s="79"/>
      <c r="T233" s="78"/>
      <c r="U233" s="79"/>
      <c r="V233" s="78"/>
      <c r="W233" s="79"/>
      <c r="X233" s="157"/>
      <c r="Y233" s="79"/>
      <c r="Z233" s="564"/>
      <c r="AA233" s="571">
        <f t="shared" si="61"/>
        <v>0</v>
      </c>
      <c r="AB233" s="568"/>
      <c r="AC233" s="290"/>
      <c r="AD233" s="157"/>
      <c r="AE233" s="290"/>
      <c r="AF233" s="157"/>
      <c r="AG233" s="290"/>
      <c r="AH233" s="157"/>
      <c r="AI233" s="290"/>
      <c r="AJ233" s="171">
        <f t="shared" si="62"/>
        <v>0</v>
      </c>
      <c r="AK233" s="116"/>
      <c r="AL233" s="1474"/>
      <c r="AM233" s="31"/>
      <c r="AN233" s="1459"/>
      <c r="AO233" s="13">
        <v>129</v>
      </c>
      <c r="AP233" s="74"/>
      <c r="AQ233" s="75"/>
    </row>
    <row r="234" spans="1:43" ht="27" thickBot="1" x14ac:dyDescent="0.45">
      <c r="A234" s="1220"/>
      <c r="B234" s="87" t="s">
        <v>614</v>
      </c>
      <c r="C234" s="527" t="s">
        <v>209</v>
      </c>
      <c r="D234" s="103"/>
      <c r="E234" s="102"/>
      <c r="F234" s="102"/>
      <c r="G234" s="102"/>
      <c r="H234" s="102"/>
      <c r="I234" s="102"/>
      <c r="J234" s="102"/>
      <c r="K234" s="102"/>
      <c r="L234" s="102"/>
      <c r="M234" s="89"/>
      <c r="N234" s="102"/>
      <c r="O234" s="89"/>
      <c r="P234" s="102"/>
      <c r="Q234" s="89"/>
      <c r="R234" s="102"/>
      <c r="S234" s="89"/>
      <c r="T234" s="102"/>
      <c r="U234" s="89"/>
      <c r="V234" s="102"/>
      <c r="W234" s="89"/>
      <c r="X234" s="163"/>
      <c r="Y234" s="89"/>
      <c r="Z234" s="565"/>
      <c r="AA234" s="571">
        <f t="shared" si="61"/>
        <v>0</v>
      </c>
      <c r="AB234" s="569"/>
      <c r="AC234" s="292"/>
      <c r="AD234" s="163"/>
      <c r="AE234" s="292"/>
      <c r="AF234" s="163"/>
      <c r="AG234" s="292"/>
      <c r="AH234" s="163"/>
      <c r="AI234" s="292"/>
      <c r="AJ234" s="184">
        <f t="shared" si="62"/>
        <v>0</v>
      </c>
      <c r="AK234" s="116"/>
      <c r="AL234" s="1474"/>
      <c r="AM234" s="31"/>
      <c r="AN234" s="1459"/>
      <c r="AO234" s="13">
        <v>130</v>
      </c>
      <c r="AP234" s="74"/>
      <c r="AQ234" s="75"/>
    </row>
    <row r="235" spans="1:43" ht="26.25" x14ac:dyDescent="0.4">
      <c r="A235" s="1465" t="s">
        <v>25</v>
      </c>
      <c r="B235" s="91" t="s">
        <v>610</v>
      </c>
      <c r="C235" s="525" t="s">
        <v>323</v>
      </c>
      <c r="D235" s="98"/>
      <c r="E235" s="99"/>
      <c r="F235" s="99"/>
      <c r="G235" s="99"/>
      <c r="H235" s="99"/>
      <c r="I235" s="99"/>
      <c r="J235" s="99"/>
      <c r="K235" s="99"/>
      <c r="L235" s="99"/>
      <c r="M235" s="94"/>
      <c r="N235" s="99"/>
      <c r="O235" s="94"/>
      <c r="P235" s="99"/>
      <c r="Q235" s="94"/>
      <c r="R235" s="99"/>
      <c r="S235" s="94"/>
      <c r="T235" s="99"/>
      <c r="U235" s="94"/>
      <c r="V235" s="99"/>
      <c r="W235" s="94"/>
      <c r="X235" s="164"/>
      <c r="Y235" s="94"/>
      <c r="Z235" s="566"/>
      <c r="AA235" s="571">
        <f t="shared" si="61"/>
        <v>0</v>
      </c>
      <c r="AB235" s="570"/>
      <c r="AC235" s="293"/>
      <c r="AD235" s="164"/>
      <c r="AE235" s="293"/>
      <c r="AF235" s="164"/>
      <c r="AG235" s="293"/>
      <c r="AH235" s="164"/>
      <c r="AI235" s="293"/>
      <c r="AJ235" s="183">
        <f t="shared" si="62"/>
        <v>0</v>
      </c>
      <c r="AK235" s="116"/>
      <c r="AL235" s="1474"/>
      <c r="AM235" s="31"/>
      <c r="AN235" s="1459"/>
      <c r="AO235" s="13">
        <v>131</v>
      </c>
      <c r="AP235" s="74"/>
      <c r="AQ235" s="75"/>
    </row>
    <row r="236" spans="1:43" ht="26.25" x14ac:dyDescent="0.4">
      <c r="A236" s="1466"/>
      <c r="B236" s="76" t="s">
        <v>128</v>
      </c>
      <c r="C236" s="526" t="s">
        <v>324</v>
      </c>
      <c r="D236" s="77"/>
      <c r="E236" s="78"/>
      <c r="F236" s="78"/>
      <c r="G236" s="78"/>
      <c r="H236" s="78"/>
      <c r="I236" s="78"/>
      <c r="J236" s="78"/>
      <c r="K236" s="78"/>
      <c r="L236" s="78"/>
      <c r="M236" s="79"/>
      <c r="N236" s="78"/>
      <c r="O236" s="79"/>
      <c r="P236" s="78"/>
      <c r="Q236" s="79"/>
      <c r="R236" s="78"/>
      <c r="S236" s="79"/>
      <c r="T236" s="78"/>
      <c r="U236" s="79"/>
      <c r="V236" s="78"/>
      <c r="W236" s="79"/>
      <c r="X236" s="157"/>
      <c r="Y236" s="79"/>
      <c r="Z236" s="564"/>
      <c r="AA236" s="571">
        <f t="shared" si="61"/>
        <v>0</v>
      </c>
      <c r="AB236" s="568"/>
      <c r="AC236" s="290"/>
      <c r="AD236" s="157"/>
      <c r="AE236" s="290"/>
      <c r="AF236" s="157"/>
      <c r="AG236" s="290"/>
      <c r="AH236" s="157"/>
      <c r="AI236" s="290"/>
      <c r="AJ236" s="171">
        <f t="shared" si="62"/>
        <v>0</v>
      </c>
      <c r="AK236" s="515" t="str">
        <f>CONCATENATE(IF(D238&lt;SUM(D239,D240,D241,D242)," * Post Treatment Follow up, Total CXCA Screening positive for Age "&amp;D39&amp;" "&amp;D40&amp;" should be greater than or equal to  the sum of (Cryotherapy , Leep , Thermocoagulation and Reffered for treatment)"&amp;CHAR(10),""),IF(E238&lt;SUM(E239,E240,E241,E242)," * Post Treatment Follow up, Total CXCA Screening positive for Age "&amp;D39&amp;" "&amp;E40&amp;" should be greater than or equal to  the sum of (Cryotherapy , Leep , Thermocoagulation and Reffered for treatment)"&amp;CHAR(10),""),IF(F238&lt;SUM(F239,F240,F241,F242)," * Post Treatment Follow up, Total CXCA Screening positive for Age "&amp;F39&amp;" "&amp;F40&amp;" should be greater than or equal to  the sum of (Cryotherapy , Leep , Thermocoagulation and Reffered for treatment)"&amp;CHAR(10),""),IF(G238&lt;SUM(G239,G240,G241,G242)," * Post Treatment Follow up, Total CXCA Screening positive for Age "&amp;F39&amp;" "&amp;G40&amp;" should be greater than or equal to  the sum of (Cryotherapy , Leep , Thermocoagulation and Reffered for treatment)"&amp;CHAR(10),""),IF(H238&lt;SUM(H239,H240,H241,H242)," * Post Treatment Follow up, Total CXCA Screening positive for Age "&amp;H39&amp;" "&amp;H40&amp;" should be greater than or equal to  the sum of (Cryotherapy , Leep , Thermocoagulation and Reffered for treatment)"&amp;CHAR(10),""),IF(I238&lt;SUM(I239,I240,I241,I242)," * Post Treatment Follow up, Total CXCA Screening positive for Age "&amp;H39&amp;" "&amp;I40&amp;" should be greater than or equal to  the sum of (Cryotherapy , Leep , Thermocoagulation and Reffered for treatment)"&amp;CHAR(10),""),IF(J238&lt;SUM(J239,J240,J241,J242)," * Post Treatment Follow up, Total CXCA Screening positive for Age "&amp;J39&amp;" "&amp;J40&amp;" should be greater than or equal to  the sum of (Cryotherapy , Leep , Thermocoagulation and Reffered for treatment)"&amp;CHAR(10),""),IF(K238&lt;SUM(K239,K240,K241,K242)," * Post Treatment Follow up, Total CXCA Screening positive for Age "&amp;J39&amp;" "&amp;K40&amp;" should be greater than or equal to  the sum of (Cryotherapy , Leep , Thermocoagulation and Reffered for treatment)"&amp;CHAR(10),""),IF(L238&lt;SUM(L239,L240,L241,L242)," * Post Treatment Follow up, Total CXCA Screening positive for Age "&amp;L39&amp;" "&amp;L40&amp;" should be greater than or equal to  the sum of (Cryotherapy , Leep , Thermocoagulation and Reffered for treatment)"&amp;CHAR(10),""),IF(M238&lt;SUM(M239,M240,M241,M242)," * Post Treatment Follow up, Total CXCA Screening positive for Age "&amp;L39&amp;" "&amp;M40&amp;" should be greater than or equal to  the sum of (Cryotherapy , Leep , Thermocoagulation and Reffered for treatment)"&amp;CHAR(10),""),IF(N238&lt;SUM(N239,N240,N241,N242)," * Post Treatment Follow up, Total CXCA Screening positive for Age "&amp;N39&amp;" "&amp;N40&amp;" should be greater than or equal to  the sum of (Cryotherapy , Leep , Thermocoagulation and Reffered for treatment)"&amp;CHAR(10),""),IF(O238&lt;SUM(O239,O240,O241,O242)," * Post Treatment Follow up, Total CXCA Screening positive for Age "&amp;N39&amp;" "&amp;O40&amp;" should be greater than or equal to  the sum of (Cryotherapy , Leep , Thermocoagulation and Reffered for treatment)"&amp;CHAR(10),""),IF(P238&lt;SUM(P239,P240,P241,P242)," * Post Treatment Follow up, Total CXCA Screening positive for Age "&amp;P39&amp;" "&amp;P40&amp;" should be greater than or equal to  the sum of (Cryotherapy , Leep , Thermocoagulation and Reffered for treatment)"&amp;CHAR(10),""),IF(Q238&lt;SUM(Q239,Q240,Q241,Q242)," * Post Treatment Follow up, Total CXCA Screening positive for Age "&amp;P39&amp;" "&amp;Q40&amp;" should be greater than or equal to  the sum of (Cryotherapy , Leep , Thermocoagulation and Reffered for treatment)"&amp;CHAR(10),""),IF(R238&lt;SUM(R239,R240,R241,R242)," * Post Treatment Follow up, Total CXCA Screening positive for Age "&amp;R39&amp;" "&amp;R40&amp;" should be greater than or equal to  the sum of (Cryotherapy , Leep , Thermocoagulation and Reffered for treatment)"&amp;CHAR(10),""),IF(S238&lt;SUM(S239,S240,S241,S242)," * Post Treatment Follow up, Total CXCA Screening positive for Age "&amp;R39&amp;" "&amp;S40&amp;" should be greater than or equal to  the sum of (Cryotherapy , Leep , Thermocoagulation and Reffered for treatment)"&amp;CHAR(10),""),IF(T238&lt;SUM(T239,T240,T241,T242)," * Post Treatment Follow up, Total CXCA Screening positive for Age "&amp;T39&amp;" "&amp;T40&amp;" should be greater than or equal to  the sum of (Cryotherapy , Leep , Thermocoagulation and Reffered for treatment)"&amp;CHAR(10),""),IF(U238&lt;SUM(U239,U240,U241,U242)," * Post Treatment Follow up, Total CXCA Screening positive for Age "&amp;T39&amp;" "&amp;U40&amp;" should be greater than or equal to  the sum of (Cryotherapy , Leep , Thermocoagulation and Reffered for treatment)"&amp;CHAR(10),""),IF(V238&lt;SUM(V239,V240,V241,V242)," * Post Treatment Follow up, Total CXCA Screening positive for Age "&amp;V39&amp;" "&amp;V40&amp;" should be greater than or equal to  the sum of (Cryotherapy , Leep , Thermocoagulation and Reffered for treatment)"&amp;CHAR(10),""),IF(W238&lt;SUM(W239,W240,W241,W242)," * Post Treatment Follow up, Total CXCA Screening positive for Age "&amp;V39&amp;" "&amp;W40&amp;" should be greater than or equal to  the sum of (Cryotherapy , Leep , Thermocoagulation and Reffered for treatment)"&amp;CHAR(10),""),IF(X238&lt;SUM(X239,X240,X241,X242)," * Post Treatment Follow up, Total CXCA Screening positive for Age "&amp;X39&amp;" "&amp;X40&amp;" should be greater than or equal to  the sum of (Cryotherapy , Leep , Thermocoagulation and Reffered for treatment)"&amp;CHAR(10),""),IF(Y238&lt;SUM(Y239,Y240,Y241,Y242)," * Post Treatment Follow up, Total CXCA Screening positive for Age "&amp;X39&amp;" "&amp;Y40&amp;" should be greater than or equal to  the sum of (Cryotherapy , Leep , Thermocoagulation and Reffered for treatment)"&amp;CHAR(10),""),IF(Z238&lt;SUM(Z239,Z240,Z241,Z242)," * Post Treatment Follow up, Total CXCA Screening positive for Age "&amp;Z39&amp;" "&amp;Z40&amp;" should be greater than or equal to  the sum of (Cryotherapy , Leep , Thermocoagulation and Reffered for treatment)"&amp;CHAR(10),""),IF(AA238&lt;SUM(AA239,AA240,AA241,AA242)," * Post Treatment Follow up, Total CXCA Screening positive for Age "&amp;Z39&amp;" "&amp;AA40&amp;" should be greater than or equal to  the sum of (Cryotherapy , Leep , Thermocoagulation and Reffered for treatment)"&amp;CHAR(10),""))</f>
        <v/>
      </c>
      <c r="AL236" s="1474"/>
      <c r="AM236" s="31"/>
      <c r="AN236" s="1459"/>
      <c r="AO236" s="13">
        <v>132</v>
      </c>
      <c r="AP236" s="74"/>
      <c r="AQ236" s="75"/>
    </row>
    <row r="237" spans="1:43" ht="26.25" x14ac:dyDescent="0.4">
      <c r="A237" s="1466"/>
      <c r="B237" s="76" t="s">
        <v>611</v>
      </c>
      <c r="C237" s="526" t="s">
        <v>325</v>
      </c>
      <c r="D237" s="77"/>
      <c r="E237" s="78"/>
      <c r="F237" s="78"/>
      <c r="G237" s="78"/>
      <c r="H237" s="78"/>
      <c r="I237" s="78"/>
      <c r="J237" s="78"/>
      <c r="K237" s="78"/>
      <c r="L237" s="78"/>
      <c r="M237" s="79"/>
      <c r="N237" s="78"/>
      <c r="O237" s="79"/>
      <c r="P237" s="78"/>
      <c r="Q237" s="79"/>
      <c r="R237" s="78"/>
      <c r="S237" s="79"/>
      <c r="T237" s="78"/>
      <c r="U237" s="79"/>
      <c r="V237" s="78"/>
      <c r="W237" s="79"/>
      <c r="X237" s="157"/>
      <c r="Y237" s="79"/>
      <c r="Z237" s="564"/>
      <c r="AA237" s="571">
        <f t="shared" si="61"/>
        <v>0</v>
      </c>
      <c r="AB237" s="568"/>
      <c r="AC237" s="290"/>
      <c r="AD237" s="157"/>
      <c r="AE237" s="290"/>
      <c r="AF237" s="157"/>
      <c r="AG237" s="290"/>
      <c r="AH237" s="157"/>
      <c r="AI237" s="290"/>
      <c r="AJ237" s="171">
        <f t="shared" si="62"/>
        <v>0</v>
      </c>
      <c r="AK237" s="116"/>
      <c r="AL237" s="1474"/>
      <c r="AM237" s="31"/>
      <c r="AN237" s="1459"/>
      <c r="AO237" s="13">
        <v>133</v>
      </c>
      <c r="AP237" s="74"/>
      <c r="AQ237" s="75"/>
    </row>
    <row r="238" spans="1:43" ht="26.25" x14ac:dyDescent="0.4">
      <c r="A238" s="1466"/>
      <c r="B238" s="158" t="s">
        <v>764</v>
      </c>
      <c r="C238" s="526" t="s">
        <v>767</v>
      </c>
      <c r="D238" s="77"/>
      <c r="E238" s="78"/>
      <c r="F238" s="78"/>
      <c r="G238" s="78"/>
      <c r="H238" s="78"/>
      <c r="I238" s="78"/>
      <c r="J238" s="78"/>
      <c r="K238" s="78"/>
      <c r="L238" s="78"/>
      <c r="M238" s="159">
        <f>M237+M236</f>
        <v>0</v>
      </c>
      <c r="N238" s="160"/>
      <c r="O238" s="159">
        <f>O237+O236</f>
        <v>0</v>
      </c>
      <c r="P238" s="78"/>
      <c r="Q238" s="159">
        <f>Q237+Q236</f>
        <v>0</v>
      </c>
      <c r="R238" s="78"/>
      <c r="S238" s="159">
        <f>S237+S236</f>
        <v>0</v>
      </c>
      <c r="T238" s="78"/>
      <c r="U238" s="159">
        <f>U237+U236</f>
        <v>0</v>
      </c>
      <c r="V238" s="78"/>
      <c r="W238" s="159">
        <f>W237+W236</f>
        <v>0</v>
      </c>
      <c r="X238" s="157"/>
      <c r="Y238" s="159">
        <f>Y237+Y236</f>
        <v>0</v>
      </c>
      <c r="Z238" s="564"/>
      <c r="AA238" s="571">
        <f t="shared" si="61"/>
        <v>0</v>
      </c>
      <c r="AB238" s="568"/>
      <c r="AC238" s="311">
        <f>AC237+AC236</f>
        <v>0</v>
      </c>
      <c r="AD238" s="157"/>
      <c r="AE238" s="311">
        <f>AE237+AE236</f>
        <v>0</v>
      </c>
      <c r="AF238" s="157"/>
      <c r="AG238" s="311">
        <f>AG237+AG236</f>
        <v>0</v>
      </c>
      <c r="AH238" s="157"/>
      <c r="AI238" s="311">
        <f>AI237+AI236</f>
        <v>0</v>
      </c>
      <c r="AJ238" s="171">
        <f t="shared" si="62"/>
        <v>0</v>
      </c>
      <c r="AK238" s="116"/>
      <c r="AL238" s="1474"/>
      <c r="AM238" s="31"/>
      <c r="AN238" s="1459"/>
      <c r="AO238" s="13">
        <v>134</v>
      </c>
      <c r="AP238" s="74"/>
      <c r="AQ238" s="75"/>
    </row>
    <row r="239" spans="1:43" ht="26.25" x14ac:dyDescent="0.4">
      <c r="A239" s="1466"/>
      <c r="B239" s="161" t="s">
        <v>1186</v>
      </c>
      <c r="C239" s="526" t="s">
        <v>892</v>
      </c>
      <c r="D239" s="77"/>
      <c r="E239" s="78"/>
      <c r="F239" s="78"/>
      <c r="G239" s="78"/>
      <c r="H239" s="78"/>
      <c r="I239" s="78"/>
      <c r="J239" s="78"/>
      <c r="K239" s="78"/>
      <c r="L239" s="78"/>
      <c r="M239" s="162"/>
      <c r="N239" s="160"/>
      <c r="O239" s="162"/>
      <c r="P239" s="78"/>
      <c r="Q239" s="162"/>
      <c r="R239" s="78"/>
      <c r="S239" s="162"/>
      <c r="T239" s="78"/>
      <c r="U239" s="162"/>
      <c r="V239" s="78"/>
      <c r="W239" s="162"/>
      <c r="X239" s="157"/>
      <c r="Y239" s="162"/>
      <c r="Z239" s="564"/>
      <c r="AA239" s="571">
        <f t="shared" si="61"/>
        <v>0</v>
      </c>
      <c r="AB239" s="568"/>
      <c r="AC239" s="312"/>
      <c r="AD239" s="157"/>
      <c r="AE239" s="312"/>
      <c r="AF239" s="157"/>
      <c r="AG239" s="312"/>
      <c r="AH239" s="157"/>
      <c r="AI239" s="312"/>
      <c r="AJ239" s="171">
        <f t="shared" si="62"/>
        <v>0</v>
      </c>
      <c r="AK239" s="116"/>
      <c r="AL239" s="1474"/>
      <c r="AM239" s="31"/>
      <c r="AN239" s="1459"/>
      <c r="AO239" s="13">
        <v>135</v>
      </c>
      <c r="AP239" s="74"/>
      <c r="AQ239" s="75"/>
    </row>
    <row r="240" spans="1:43" ht="26.25" x14ac:dyDescent="0.4">
      <c r="A240" s="1466"/>
      <c r="B240" s="76" t="s">
        <v>612</v>
      </c>
      <c r="C240" s="526" t="s">
        <v>217</v>
      </c>
      <c r="D240" s="77"/>
      <c r="E240" s="78"/>
      <c r="F240" s="78"/>
      <c r="G240" s="78"/>
      <c r="H240" s="78"/>
      <c r="I240" s="78"/>
      <c r="J240" s="78"/>
      <c r="K240" s="78"/>
      <c r="L240" s="78"/>
      <c r="M240" s="79"/>
      <c r="N240" s="78"/>
      <c r="O240" s="79"/>
      <c r="P240" s="78"/>
      <c r="Q240" s="79"/>
      <c r="R240" s="78"/>
      <c r="S240" s="79"/>
      <c r="T240" s="78"/>
      <c r="U240" s="79"/>
      <c r="V240" s="78"/>
      <c r="W240" s="79"/>
      <c r="X240" s="157"/>
      <c r="Y240" s="79"/>
      <c r="Z240" s="564"/>
      <c r="AA240" s="571">
        <f t="shared" si="61"/>
        <v>0</v>
      </c>
      <c r="AB240" s="568"/>
      <c r="AC240" s="290"/>
      <c r="AD240" s="157"/>
      <c r="AE240" s="290"/>
      <c r="AF240" s="157"/>
      <c r="AG240" s="290"/>
      <c r="AH240" s="157"/>
      <c r="AI240" s="290"/>
      <c r="AJ240" s="171">
        <f t="shared" si="62"/>
        <v>0</v>
      </c>
      <c r="AK240" s="116"/>
      <c r="AL240" s="1474"/>
      <c r="AM240" s="31"/>
      <c r="AN240" s="1459"/>
      <c r="AO240" s="13">
        <v>136</v>
      </c>
      <c r="AP240" s="74"/>
      <c r="AQ240" s="75"/>
    </row>
    <row r="241" spans="1:43" ht="26.25" x14ac:dyDescent="0.4">
      <c r="A241" s="1466"/>
      <c r="B241" s="76" t="s">
        <v>613</v>
      </c>
      <c r="C241" s="526" t="s">
        <v>326</v>
      </c>
      <c r="D241" s="77"/>
      <c r="E241" s="78"/>
      <c r="F241" s="78"/>
      <c r="G241" s="78"/>
      <c r="H241" s="78"/>
      <c r="I241" s="78"/>
      <c r="J241" s="78"/>
      <c r="K241" s="78"/>
      <c r="L241" s="78"/>
      <c r="M241" s="79"/>
      <c r="N241" s="78"/>
      <c r="O241" s="79"/>
      <c r="P241" s="78"/>
      <c r="Q241" s="79"/>
      <c r="R241" s="78"/>
      <c r="S241" s="79"/>
      <c r="T241" s="78"/>
      <c r="U241" s="79"/>
      <c r="V241" s="78"/>
      <c r="W241" s="79"/>
      <c r="X241" s="157"/>
      <c r="Y241" s="79"/>
      <c r="Z241" s="564"/>
      <c r="AA241" s="571">
        <f t="shared" si="61"/>
        <v>0</v>
      </c>
      <c r="AB241" s="568"/>
      <c r="AC241" s="290"/>
      <c r="AD241" s="157"/>
      <c r="AE241" s="290"/>
      <c r="AF241" s="157"/>
      <c r="AG241" s="290"/>
      <c r="AH241" s="157"/>
      <c r="AI241" s="290"/>
      <c r="AJ241" s="171">
        <f t="shared" si="62"/>
        <v>0</v>
      </c>
      <c r="AK241" s="116"/>
      <c r="AL241" s="1474"/>
      <c r="AM241" s="31"/>
      <c r="AN241" s="1459"/>
      <c r="AO241" s="13">
        <v>137</v>
      </c>
      <c r="AP241" s="74"/>
      <c r="AQ241" s="75"/>
    </row>
    <row r="242" spans="1:43" ht="27" thickBot="1" x14ac:dyDescent="0.45">
      <c r="A242" s="1467"/>
      <c r="B242" s="118" t="s">
        <v>614</v>
      </c>
      <c r="C242" s="527" t="s">
        <v>327</v>
      </c>
      <c r="D242" s="131"/>
      <c r="E242" s="120"/>
      <c r="F242" s="120"/>
      <c r="G242" s="120"/>
      <c r="H242" s="120"/>
      <c r="I242" s="120"/>
      <c r="J242" s="120"/>
      <c r="K242" s="120"/>
      <c r="L242" s="120"/>
      <c r="M242" s="89"/>
      <c r="N242" s="102"/>
      <c r="O242" s="89"/>
      <c r="P242" s="102"/>
      <c r="Q242" s="89"/>
      <c r="R242" s="102"/>
      <c r="S242" s="89"/>
      <c r="T242" s="102"/>
      <c r="U242" s="89"/>
      <c r="V242" s="102"/>
      <c r="W242" s="89"/>
      <c r="X242" s="163"/>
      <c r="Y242" s="89"/>
      <c r="Z242" s="565"/>
      <c r="AA242" s="571">
        <f t="shared" si="61"/>
        <v>0</v>
      </c>
      <c r="AB242" s="569"/>
      <c r="AC242" s="292"/>
      <c r="AD242" s="163"/>
      <c r="AE242" s="292"/>
      <c r="AF242" s="163"/>
      <c r="AG242" s="292"/>
      <c r="AH242" s="163"/>
      <c r="AI242" s="292"/>
      <c r="AJ242" s="359">
        <f t="shared" si="62"/>
        <v>0</v>
      </c>
      <c r="AK242" s="122"/>
      <c r="AL242" s="1475"/>
      <c r="AM242" s="123"/>
      <c r="AN242" s="1460"/>
      <c r="AO242" s="13">
        <v>138</v>
      </c>
      <c r="AP242" s="74"/>
      <c r="AQ242" s="75"/>
    </row>
    <row r="243" spans="1:43" ht="27" hidden="1" thickBot="1" x14ac:dyDescent="0.45">
      <c r="A243" s="1367" t="s">
        <v>104</v>
      </c>
      <c r="B243" s="1250"/>
      <c r="C243" s="1250"/>
      <c r="D243" s="1250"/>
      <c r="E243" s="1250"/>
      <c r="F243" s="1250"/>
      <c r="G243" s="1250"/>
      <c r="H243" s="1250"/>
      <c r="I243" s="1250"/>
      <c r="J243" s="1250"/>
      <c r="K243" s="1250"/>
      <c r="L243" s="1250"/>
      <c r="M243" s="1250"/>
      <c r="N243" s="1250"/>
      <c r="O243" s="1250"/>
      <c r="P243" s="1250"/>
      <c r="Q243" s="1250"/>
      <c r="R243" s="1250"/>
      <c r="S243" s="1250"/>
      <c r="T243" s="1250"/>
      <c r="U243" s="1250"/>
      <c r="V243" s="1250"/>
      <c r="W243" s="1250"/>
      <c r="X243" s="1250"/>
      <c r="Y243" s="1250"/>
      <c r="Z243" s="1250"/>
      <c r="AA243" s="1251"/>
      <c r="AB243" s="1276"/>
      <c r="AC243" s="1276"/>
      <c r="AD243" s="1276"/>
      <c r="AE243" s="1276"/>
      <c r="AF243" s="1276"/>
      <c r="AG243" s="1276"/>
      <c r="AH243" s="1276"/>
      <c r="AI243" s="1276"/>
      <c r="AJ243" s="1250"/>
      <c r="AK243" s="1250"/>
      <c r="AL243" s="1250"/>
      <c r="AM243" s="1250"/>
      <c r="AN243" s="1252"/>
      <c r="AO243" s="13">
        <v>139</v>
      </c>
      <c r="AP243" s="74"/>
      <c r="AQ243" s="75"/>
    </row>
    <row r="244" spans="1:43" ht="26.25" hidden="1" customHeight="1" x14ac:dyDescent="0.4">
      <c r="A244" s="1214" t="s">
        <v>35</v>
      </c>
      <c r="B244" s="1398" t="s">
        <v>307</v>
      </c>
      <c r="C244" s="1192" t="s">
        <v>291</v>
      </c>
      <c r="D244" s="1199" t="s">
        <v>0</v>
      </c>
      <c r="E244" s="1199"/>
      <c r="F244" s="1199" t="s">
        <v>1</v>
      </c>
      <c r="G244" s="1199"/>
      <c r="H244" s="1199" t="s">
        <v>2</v>
      </c>
      <c r="I244" s="1199"/>
      <c r="J244" s="1199" t="s">
        <v>3</v>
      </c>
      <c r="K244" s="1199"/>
      <c r="L244" s="1199" t="s">
        <v>4</v>
      </c>
      <c r="M244" s="1199"/>
      <c r="N244" s="1199" t="s">
        <v>5</v>
      </c>
      <c r="O244" s="1199"/>
      <c r="P244" s="1199" t="s">
        <v>6</v>
      </c>
      <c r="Q244" s="1199"/>
      <c r="R244" s="1199" t="s">
        <v>7</v>
      </c>
      <c r="S244" s="1199"/>
      <c r="T244" s="1199" t="s">
        <v>8</v>
      </c>
      <c r="U244" s="1199"/>
      <c r="V244" s="1199" t="s">
        <v>23</v>
      </c>
      <c r="W244" s="1199"/>
      <c r="X244" s="1199" t="s">
        <v>24</v>
      </c>
      <c r="Y244" s="1199"/>
      <c r="Z244" s="1199" t="s">
        <v>9</v>
      </c>
      <c r="AA244" s="1207"/>
      <c r="AB244" s="1417"/>
      <c r="AC244" s="1231"/>
      <c r="AD244" s="1231"/>
      <c r="AE244" s="1231"/>
      <c r="AF244" s="1231"/>
      <c r="AG244" s="1231"/>
      <c r="AH244" s="1231"/>
      <c r="AI244" s="1232"/>
      <c r="AJ244" s="1378" t="s">
        <v>19</v>
      </c>
      <c r="AK244" s="1309" t="s">
        <v>340</v>
      </c>
      <c r="AL244" s="1291" t="s">
        <v>346</v>
      </c>
      <c r="AM244" s="1237" t="s">
        <v>347</v>
      </c>
      <c r="AN244" s="1300" t="s">
        <v>347</v>
      </c>
      <c r="AO244" s="13">
        <v>140</v>
      </c>
      <c r="AP244" s="74"/>
      <c r="AQ244" s="75"/>
    </row>
    <row r="245" spans="1:43" ht="27" hidden="1" customHeight="1" thickBot="1" x14ac:dyDescent="0.45">
      <c r="A245" s="1215"/>
      <c r="B245" s="1399"/>
      <c r="C245" s="1301"/>
      <c r="D245" s="269" t="s">
        <v>10</v>
      </c>
      <c r="E245" s="269" t="s">
        <v>11</v>
      </c>
      <c r="F245" s="269" t="s">
        <v>10</v>
      </c>
      <c r="G245" s="269" t="s">
        <v>11</v>
      </c>
      <c r="H245" s="269" t="s">
        <v>10</v>
      </c>
      <c r="I245" s="269" t="s">
        <v>11</v>
      </c>
      <c r="J245" s="269" t="s">
        <v>10</v>
      </c>
      <c r="K245" s="269" t="s">
        <v>11</v>
      </c>
      <c r="L245" s="269" t="s">
        <v>10</v>
      </c>
      <c r="M245" s="269" t="s">
        <v>11</v>
      </c>
      <c r="N245" s="269" t="s">
        <v>10</v>
      </c>
      <c r="O245" s="269" t="s">
        <v>11</v>
      </c>
      <c r="P245" s="269" t="s">
        <v>10</v>
      </c>
      <c r="Q245" s="269" t="s">
        <v>11</v>
      </c>
      <c r="R245" s="269" t="s">
        <v>10</v>
      </c>
      <c r="S245" s="269" t="s">
        <v>11</v>
      </c>
      <c r="T245" s="269" t="s">
        <v>10</v>
      </c>
      <c r="U245" s="269" t="s">
        <v>11</v>
      </c>
      <c r="V245" s="269" t="s">
        <v>10</v>
      </c>
      <c r="W245" s="269" t="s">
        <v>11</v>
      </c>
      <c r="X245" s="269" t="s">
        <v>10</v>
      </c>
      <c r="Y245" s="269" t="s">
        <v>11</v>
      </c>
      <c r="Z245" s="269" t="s">
        <v>10</v>
      </c>
      <c r="AA245" s="464" t="s">
        <v>11</v>
      </c>
      <c r="AB245" s="338"/>
      <c r="AC245" s="339"/>
      <c r="AD245" s="339"/>
      <c r="AE245" s="339"/>
      <c r="AF245" s="339"/>
      <c r="AG245" s="339"/>
      <c r="AH245" s="339"/>
      <c r="AI245" s="340"/>
      <c r="AJ245" s="1379"/>
      <c r="AK245" s="1310"/>
      <c r="AL245" s="1242"/>
      <c r="AM245" s="1237"/>
      <c r="AN245" s="1254"/>
      <c r="AO245" s="13">
        <v>141</v>
      </c>
      <c r="AP245" s="74"/>
      <c r="AQ245" s="75"/>
    </row>
    <row r="246" spans="1:43" ht="30.75" hidden="1" customHeight="1" x14ac:dyDescent="0.4">
      <c r="A246" s="1224" t="s">
        <v>856</v>
      </c>
      <c r="B246" s="165" t="s">
        <v>615</v>
      </c>
      <c r="C246" s="524" t="s">
        <v>476</v>
      </c>
      <c r="D246" s="166">
        <f t="shared" ref="D246:AA246" si="63">D8</f>
        <v>0</v>
      </c>
      <c r="E246" s="166">
        <f t="shared" si="63"/>
        <v>0</v>
      </c>
      <c r="F246" s="166">
        <f t="shared" si="63"/>
        <v>0</v>
      </c>
      <c r="G246" s="166">
        <f t="shared" si="63"/>
        <v>0</v>
      </c>
      <c r="H246" s="166">
        <f t="shared" si="63"/>
        <v>0</v>
      </c>
      <c r="I246" s="166">
        <f t="shared" si="63"/>
        <v>0</v>
      </c>
      <c r="J246" s="166">
        <f t="shared" si="63"/>
        <v>0</v>
      </c>
      <c r="K246" s="166">
        <f t="shared" si="63"/>
        <v>0</v>
      </c>
      <c r="L246" s="166">
        <f t="shared" si="63"/>
        <v>0</v>
      </c>
      <c r="M246" s="166">
        <f t="shared" si="63"/>
        <v>0</v>
      </c>
      <c r="N246" s="166">
        <f t="shared" si="63"/>
        <v>0</v>
      </c>
      <c r="O246" s="166">
        <f t="shared" si="63"/>
        <v>0</v>
      </c>
      <c r="P246" s="166">
        <f t="shared" si="63"/>
        <v>0</v>
      </c>
      <c r="Q246" s="166">
        <f t="shared" si="63"/>
        <v>0</v>
      </c>
      <c r="R246" s="166">
        <f t="shared" si="63"/>
        <v>0</v>
      </c>
      <c r="S246" s="166">
        <f t="shared" si="63"/>
        <v>0</v>
      </c>
      <c r="T246" s="166">
        <f t="shared" si="63"/>
        <v>0</v>
      </c>
      <c r="U246" s="166">
        <f t="shared" si="63"/>
        <v>0</v>
      </c>
      <c r="V246" s="166">
        <f t="shared" si="63"/>
        <v>0</v>
      </c>
      <c r="W246" s="166">
        <f t="shared" si="63"/>
        <v>0</v>
      </c>
      <c r="X246" s="166">
        <f t="shared" si="63"/>
        <v>0</v>
      </c>
      <c r="Y246" s="166">
        <f t="shared" si="63"/>
        <v>0</v>
      </c>
      <c r="Z246" s="166">
        <f t="shared" si="63"/>
        <v>0</v>
      </c>
      <c r="AA246" s="166">
        <f t="shared" si="63"/>
        <v>0</v>
      </c>
      <c r="AB246" s="465"/>
      <c r="AC246" s="465"/>
      <c r="AD246" s="465"/>
      <c r="AE246" s="465"/>
      <c r="AF246" s="465"/>
      <c r="AG246" s="465"/>
      <c r="AH246" s="465"/>
      <c r="AI246" s="465"/>
      <c r="AJ246" s="166">
        <f>AJ8</f>
        <v>0</v>
      </c>
      <c r="AK246" s="30" t="str">
        <f>CONCATENATE(IF(D247&gt;D246," * No Screened for GBV "&amp;$D$20&amp;" "&amp;$D$21&amp;" is more than Clients Seen at OPD"&amp;CHAR(10),""),IF(E247&gt;E246," * No Screened For GBV "&amp;$D$20&amp;" "&amp;$E$21&amp;" is more than Clients Seen at OPD"&amp;CHAR(10),""),IF(F247&gt;F246," * No Screened For GBV "&amp;$F$20&amp;" "&amp;$F$21&amp;" is more than Clients Seen at OPD"&amp;CHAR(10),""),IF(G247&gt;G246," * No Screened For GBV "&amp;$F$20&amp;" "&amp;$G$21&amp;" is more than Clients Seen at OPD"&amp;CHAR(10),""),IF(H247&gt;H246," * No Screened For GBV "&amp;$H$20&amp;" "&amp;$H$21&amp;" is more than Clients Seen at OPD"&amp;CHAR(10),""),IF(I247&gt;I246," * No Screened For GBV "&amp;$H$20&amp;" "&amp;$I$21&amp;" is more than Clients Seen at OPD"&amp;CHAR(10),""),IF(J247&gt;J246," * No Screened For GBV "&amp;$J$20&amp;" "&amp;$J$21&amp;" is more than Clients Seen at OPD"&amp;CHAR(10),""),IF(K247&gt;K246," * No Screened For GBV "&amp;$J$20&amp;" "&amp;$K$21&amp;" is more than Clients Seen at OPD"&amp;CHAR(10),""),IF(L247&gt;L246," * No Screened For GBV "&amp;$L$20&amp;" "&amp;$L$21&amp;" is more than Clients Seen at OPD"&amp;CHAR(10),""),IF(M247&gt;M246," * No Screened For GBV "&amp;$L$20&amp;" "&amp;$M$21&amp;" is more than Clients Seen at OPD"&amp;CHAR(10),""),IF(N247&gt;N246," * No Screened For GBV "&amp;$N$20&amp;" "&amp;$N$21&amp;" is more than Clients Seen at OPD"&amp;CHAR(10),""),IF(O247&gt;O246," * No Screened For GBV "&amp;$N$20&amp;" "&amp;$O$21&amp;" is more than Clients Seen at OPD"&amp;CHAR(10),""),IF(P247&gt;P246," * No Screened For GBV "&amp;$P$20&amp;" "&amp;$P$21&amp;" is more than Clients Seen at OPD"&amp;CHAR(10),""),IF(Q247&gt;Q246," * No Screened For GBV "&amp;$P$20&amp;" "&amp;$Q$21&amp;" is more than Clients Seen at OPD"&amp;CHAR(10),""),IF(R247&gt;R246," * No Screened For GBV "&amp;$R$20&amp;" "&amp;$R$21&amp;" is more than Clients Seen at OPD"&amp;CHAR(10),""),IF(S247&gt;S246," * No Screened For GBV "&amp;$R$20&amp;" "&amp;$S$21&amp;" is more than Clients Seen at OPD"&amp;CHAR(10),""),IF(T247&gt;T246," * No Screened For GBV "&amp;$T$20&amp;" "&amp;$T$21&amp;" is more than Clients Seen at OPD"&amp;CHAR(10),""),IF(U247&gt;U246," * No Screened For GBV "&amp;$T$20&amp;" "&amp;$U$21&amp;" is more than Clients Seen at OPD"&amp;CHAR(10),""),IF(V247&gt;V246," * No Screened For GBV "&amp;$V$20&amp;" "&amp;$V$21&amp;" is more than Clients Seen at OPD"&amp;CHAR(10),""),IF(W247&gt;W246," * No Screened For GBV "&amp;$V$20&amp;" "&amp;$W$21&amp;" is more than Clients Seen at OPD"&amp;CHAR(10),""),IF(X247&gt;X246," * No Screened For GBV "&amp;$X$20&amp;" "&amp;$X$21&amp;" is more than Clients Seen at OPD"&amp;CHAR(10),""),IF(Y247&gt;Y246," * No Screened For GBV "&amp;$X$20&amp;" "&amp;$Y$21&amp;" is more than Clients Seen at OPD"&amp;CHAR(10),""),IF(Z247&gt;Z246," * No Screened For GBV "&amp;$Z$20&amp;" "&amp;$Z$21&amp;" is more than Clients Seen at OPD"&amp;CHAR(10),""),IF(AA247&gt;AA246," * No Screened For GBV "&amp;$Z$20&amp;" "&amp;$AA$21&amp;" is more than Clients Seen at OPD"&amp;CHAR(10),""))</f>
        <v/>
      </c>
      <c r="AL246" s="1424" t="str">
        <f>CONCATENATE(AK246,AK247,AK248,AK249,AK250,AK251,AK252,AK253,AK254)</f>
        <v/>
      </c>
      <c r="AM246" s="73"/>
      <c r="AN246" s="916" t="str">
        <f>CONCATENATE(AM246,AM287,AM282,AM286,AM291,AM292,AM294,AM289,AM290,AM295,AM296,AM297,AM298)</f>
        <v/>
      </c>
      <c r="AO246" s="13">
        <v>142</v>
      </c>
      <c r="AP246" s="74"/>
      <c r="AQ246" s="75"/>
    </row>
    <row r="247" spans="1:43" ht="25.9" hidden="1" customHeight="1" x14ac:dyDescent="0.4">
      <c r="A247" s="1224"/>
      <c r="B247" s="167" t="s">
        <v>812</v>
      </c>
      <c r="C247" s="522" t="s">
        <v>477</v>
      </c>
      <c r="D247" s="168"/>
      <c r="E247" s="168"/>
      <c r="F247" s="168"/>
      <c r="G247" s="168"/>
      <c r="H247" s="168"/>
      <c r="I247" s="168"/>
      <c r="J247" s="168"/>
      <c r="K247" s="168"/>
      <c r="L247" s="168"/>
      <c r="M247" s="168"/>
      <c r="N247" s="168"/>
      <c r="O247" s="168"/>
      <c r="P247" s="168"/>
      <c r="Q247" s="168"/>
      <c r="R247" s="168"/>
      <c r="S247" s="168"/>
      <c r="T247" s="168"/>
      <c r="U247" s="168"/>
      <c r="V247" s="168"/>
      <c r="W247" s="168"/>
      <c r="X247" s="168"/>
      <c r="Y247" s="168"/>
      <c r="Z247" s="168"/>
      <c r="AA247" s="168"/>
      <c r="AB247" s="313"/>
      <c r="AC247" s="313"/>
      <c r="AD247" s="313"/>
      <c r="AE247" s="313"/>
      <c r="AF247" s="313"/>
      <c r="AG247" s="313"/>
      <c r="AH247" s="313"/>
      <c r="AI247" s="313"/>
      <c r="AJ247" s="29">
        <f>SUM(D247:AA247)</f>
        <v>0</v>
      </c>
      <c r="AK247" s="130"/>
      <c r="AL247" s="1312"/>
      <c r="AM247" s="31"/>
      <c r="AN247" s="917"/>
      <c r="AO247" s="13">
        <v>143</v>
      </c>
      <c r="AP247" s="74"/>
      <c r="AQ247" s="75"/>
    </row>
    <row r="248" spans="1:43" ht="25.9" hidden="1" customHeight="1" x14ac:dyDescent="0.4">
      <c r="A248" s="1224"/>
      <c r="B248" s="169" t="s">
        <v>816</v>
      </c>
      <c r="C248" s="522" t="s">
        <v>777</v>
      </c>
      <c r="D248" s="170">
        <f>D249+D251+D253+D254</f>
        <v>0</v>
      </c>
      <c r="E248" s="170">
        <f t="shared" ref="E248:AA248" si="64">E249+E251+E253+E254</f>
        <v>0</v>
      </c>
      <c r="F248" s="170">
        <f t="shared" si="64"/>
        <v>0</v>
      </c>
      <c r="G248" s="170">
        <f t="shared" si="64"/>
        <v>0</v>
      </c>
      <c r="H248" s="170">
        <f t="shared" si="64"/>
        <v>0</v>
      </c>
      <c r="I248" s="170">
        <f t="shared" si="64"/>
        <v>0</v>
      </c>
      <c r="J248" s="170">
        <f t="shared" si="64"/>
        <v>0</v>
      </c>
      <c r="K248" s="170">
        <f t="shared" si="64"/>
        <v>0</v>
      </c>
      <c r="L248" s="170">
        <f t="shared" si="64"/>
        <v>0</v>
      </c>
      <c r="M248" s="170">
        <f t="shared" si="64"/>
        <v>0</v>
      </c>
      <c r="N248" s="170">
        <f t="shared" si="64"/>
        <v>0</v>
      </c>
      <c r="O248" s="170">
        <f t="shared" si="64"/>
        <v>0</v>
      </c>
      <c r="P248" s="170">
        <f t="shared" si="64"/>
        <v>0</v>
      </c>
      <c r="Q248" s="170">
        <f t="shared" si="64"/>
        <v>0</v>
      </c>
      <c r="R248" s="170">
        <f t="shared" si="64"/>
        <v>0</v>
      </c>
      <c r="S248" s="170">
        <f t="shared" si="64"/>
        <v>0</v>
      </c>
      <c r="T248" s="170">
        <f t="shared" si="64"/>
        <v>0</v>
      </c>
      <c r="U248" s="170">
        <f t="shared" si="64"/>
        <v>0</v>
      </c>
      <c r="V248" s="170">
        <f t="shared" si="64"/>
        <v>0</v>
      </c>
      <c r="W248" s="170">
        <f t="shared" si="64"/>
        <v>0</v>
      </c>
      <c r="X248" s="170">
        <f t="shared" si="64"/>
        <v>0</v>
      </c>
      <c r="Y248" s="170">
        <f t="shared" si="64"/>
        <v>0</v>
      </c>
      <c r="Z248" s="170">
        <f t="shared" si="64"/>
        <v>0</v>
      </c>
      <c r="AA248" s="170">
        <f t="shared" si="64"/>
        <v>0</v>
      </c>
      <c r="AB248" s="314"/>
      <c r="AC248" s="314"/>
      <c r="AD248" s="314"/>
      <c r="AE248" s="314"/>
      <c r="AF248" s="314"/>
      <c r="AG248" s="314"/>
      <c r="AH248" s="314"/>
      <c r="AI248" s="314"/>
      <c r="AJ248" s="171">
        <f t="shared" ref="AJ248:AJ254" si="65">SUM(D248:AA248)</f>
        <v>0</v>
      </c>
      <c r="AK248" s="130"/>
      <c r="AL248" s="1312"/>
      <c r="AM248" s="31"/>
      <c r="AN248" s="917"/>
      <c r="AO248" s="13">
        <v>144</v>
      </c>
      <c r="AP248" s="74"/>
      <c r="AQ248" s="75"/>
    </row>
    <row r="249" spans="1:43" ht="25.9" hidden="1" customHeight="1" x14ac:dyDescent="0.4">
      <c r="A249" s="1224"/>
      <c r="B249" s="167" t="s">
        <v>768</v>
      </c>
      <c r="C249" s="522" t="s">
        <v>778</v>
      </c>
      <c r="D249" s="172"/>
      <c r="E249" s="172"/>
      <c r="F249" s="172"/>
      <c r="G249" s="172"/>
      <c r="H249" s="172"/>
      <c r="I249" s="172"/>
      <c r="J249" s="172"/>
      <c r="K249" s="172"/>
      <c r="L249" s="172"/>
      <c r="M249" s="172"/>
      <c r="N249" s="172"/>
      <c r="O249" s="172"/>
      <c r="P249" s="172"/>
      <c r="Q249" s="172"/>
      <c r="R249" s="172"/>
      <c r="S249" s="172"/>
      <c r="T249" s="172"/>
      <c r="U249" s="172"/>
      <c r="V249" s="172"/>
      <c r="W249" s="172"/>
      <c r="X249" s="172"/>
      <c r="Y249" s="172"/>
      <c r="Z249" s="172"/>
      <c r="AA249" s="172"/>
      <c r="AB249" s="315"/>
      <c r="AC249" s="315"/>
      <c r="AD249" s="315"/>
      <c r="AE249" s="315"/>
      <c r="AF249" s="315"/>
      <c r="AG249" s="315"/>
      <c r="AH249" s="315"/>
      <c r="AI249" s="315"/>
      <c r="AJ249" s="29">
        <f t="shared" si="65"/>
        <v>0</v>
      </c>
      <c r="AK249" s="30" t="str">
        <f>CONCATENATE(IF(D250&gt;D249," * OPD Sexual Violence Initiated Pep "&amp;$D$20&amp;" "&amp;$D$21&amp;" is more than OPD Sexual Violence Rape Survivors"&amp;CHAR(10),""),IF(E250&gt;E249," * OPD Sexual Violence Initiated Pep "&amp;$D$20&amp;" "&amp;$E$21&amp;" is more than OPD Sexual Violence Rape Survivors"&amp;CHAR(10),""),IF(F250&gt;F249," * OPD Sexual Violence Initiated Pep "&amp;$F$20&amp;" "&amp;$F$21&amp;" is more than OPD Sexual Violence Rape Survivors"&amp;CHAR(10),""),IF(G250&gt;G249," * OPD Sexual Violence Initiated Pep "&amp;$F$20&amp;" "&amp;$G$21&amp;" is more than OPD Sexual Violence Rape Survivors"&amp;CHAR(10),""),IF(H250&gt;H249," * OPD Sexual Violence Initiated Pep "&amp;$H$20&amp;" "&amp;$H$21&amp;" is more than OPD Sexual Violence Rape Survivors"&amp;CHAR(10),""),IF(I250&gt;I249," * OPD Sexual Violence Initiated Pep "&amp;$H$20&amp;" "&amp;$I$21&amp;" is more than OPD Sexual Violence Rape Survivors"&amp;CHAR(10),""),IF(J250&gt;J249," * OPD Sexual Violence Initiated Pep "&amp;$J$20&amp;" "&amp;$J$21&amp;" is more than OPD Sexual Violence Rape Survivors"&amp;CHAR(10),""),IF(K250&gt;K249," * OPD Sexual Violence Initiated Pep "&amp;$J$20&amp;" "&amp;$K$21&amp;" is more than OPD Sexual Violence Rape Survivors"&amp;CHAR(10),""),IF(L250&gt;L249," * OPD Sexual Violence Initiated Pep "&amp;$L$20&amp;" "&amp;$L$21&amp;" is more than OPD Sexual Violence Rape Survivors"&amp;CHAR(10),""),IF(M250&gt;M249," * OPD Sexual Violence Initiated Pep "&amp;$L$20&amp;" "&amp;$M$21&amp;" is more than OPD Sexual Violence Rape Survivors"&amp;CHAR(10),""),IF(N250&gt;N249," * OPD Sexual Violence Initiated Pep "&amp;$N$20&amp;" "&amp;$N$21&amp;" is more than OPD Sexual Violence Rape Survivors"&amp;CHAR(10),""),IF(O250&gt;O249," * OPD Sexual Violence Initiated Pep "&amp;$N$20&amp;" "&amp;$O$21&amp;" is more than OPD Sexual Violence Rape Survivors"&amp;CHAR(10),""),IF(P250&gt;P249," * OPD Sexual Violence Initiated Pep "&amp;$P$20&amp;" "&amp;$P$21&amp;" is more than OPD Sexual Violence Rape Survivors"&amp;CHAR(10),""),IF(Q250&gt;Q249," * OPD Sexual Violence Initiated Pep "&amp;$P$20&amp;" "&amp;$Q$21&amp;" is more than OPD Sexual Violence Rape Survivors"&amp;CHAR(10),""),IF(R250&gt;R249," * OPD Sexual Violence Initiated Pep "&amp;$R$20&amp;" "&amp;$R$21&amp;" is more than OPD Sexual Violence Rape Survivors"&amp;CHAR(10),""),IF(S250&gt;S249," * OPD Sexual Violence Initiated Pep "&amp;$R$20&amp;" "&amp;$S$21&amp;" is more than OPD Sexual Violence Rape Survivors"&amp;CHAR(10),""),IF(T250&gt;T249," * OPD Sexual Violence Initiated Pep "&amp;$T$20&amp;" "&amp;$T$21&amp;" is more than OPD Sexual Violence Rape Survivors"&amp;CHAR(10),""),IF(U250&gt;U249," * OPD Sexual Violence Initiated Pep "&amp;$T$20&amp;" "&amp;$U$21&amp;" is more than OPD Sexual Violence Rape Survivors"&amp;CHAR(10),""),IF(V250&gt;V249," * OPD Sexual Violence Initiated Pep "&amp;$V$20&amp;" "&amp;$V$21&amp;" is more than OPD Sexual Violence Rape Survivors"&amp;CHAR(10),""),IF(W250&gt;W249," * OPD Sexual Violence Initiated Pep "&amp;$V$20&amp;" "&amp;$W$21&amp;" is more than OPD Sexual Violence Rape Survivors"&amp;CHAR(10),""),IF(X250&gt;X249," * OPD Sexual Violence Initiated Pep "&amp;$X$20&amp;" "&amp;$X$21&amp;" is more than OPD Sexual Violence Rape Survivors"&amp;CHAR(10),""),IF(Y250&gt;Y249," * OPD Sexual Violence Initiated Pep "&amp;$X$20&amp;" "&amp;$Y$21&amp;" is more than OPD Sexual Violence Rape Survivors"&amp;CHAR(10),""),IF(Z250&gt;Z249," * OPD Sexual Violence Initiated Pep "&amp;$Z$20&amp;" "&amp;$Z$21&amp;" is more than OPD Sexual Violence Rape Survivors"&amp;CHAR(10),""),IF(AA250&gt;AA249," * OPD Sexual Violence Initiated Pep "&amp;$Z$20&amp;" "&amp;$AA$21&amp;" is more than OPD Sexual Violence Rape Survivors"&amp;CHAR(10),""))</f>
        <v/>
      </c>
      <c r="AL249" s="1312"/>
      <c r="AM249" s="31"/>
      <c r="AN249" s="917"/>
      <c r="AO249" s="13">
        <v>145</v>
      </c>
      <c r="AP249" s="74"/>
      <c r="AQ249" s="75"/>
    </row>
    <row r="250" spans="1:43" ht="25.9" hidden="1" customHeight="1" x14ac:dyDescent="0.4">
      <c r="A250" s="1224"/>
      <c r="B250" s="167" t="s">
        <v>769</v>
      </c>
      <c r="C250" s="522" t="s">
        <v>779</v>
      </c>
      <c r="D250" s="173"/>
      <c r="E250" s="173"/>
      <c r="F250" s="173"/>
      <c r="G250" s="173"/>
      <c r="H250" s="173"/>
      <c r="I250" s="173"/>
      <c r="J250" s="173"/>
      <c r="K250" s="173"/>
      <c r="L250" s="173"/>
      <c r="M250" s="173"/>
      <c r="N250" s="173"/>
      <c r="O250" s="173"/>
      <c r="P250" s="173"/>
      <c r="Q250" s="173"/>
      <c r="R250" s="173"/>
      <c r="S250" s="173"/>
      <c r="T250" s="173"/>
      <c r="U250" s="173"/>
      <c r="V250" s="173"/>
      <c r="W250" s="173"/>
      <c r="X250" s="173"/>
      <c r="Y250" s="173"/>
      <c r="Z250" s="173"/>
      <c r="AA250" s="173"/>
      <c r="AB250" s="315"/>
      <c r="AC250" s="315"/>
      <c r="AD250" s="315"/>
      <c r="AE250" s="315"/>
      <c r="AF250" s="315"/>
      <c r="AG250" s="315"/>
      <c r="AH250" s="315"/>
      <c r="AI250" s="315"/>
      <c r="AJ250" s="29">
        <f t="shared" si="65"/>
        <v>0</v>
      </c>
      <c r="AK250" s="130"/>
      <c r="AL250" s="1312"/>
      <c r="AM250" s="31"/>
      <c r="AN250" s="917"/>
      <c r="AO250" s="13">
        <v>146</v>
      </c>
      <c r="AP250" s="74"/>
      <c r="AQ250" s="75"/>
    </row>
    <row r="251" spans="1:43" ht="25.9" hidden="1" customHeight="1" x14ac:dyDescent="0.4">
      <c r="A251" s="1224"/>
      <c r="B251" s="167" t="s">
        <v>770</v>
      </c>
      <c r="C251" s="522" t="s">
        <v>780</v>
      </c>
      <c r="D251" s="172"/>
      <c r="E251" s="172"/>
      <c r="F251" s="172"/>
      <c r="G251" s="172"/>
      <c r="H251" s="172"/>
      <c r="I251" s="172"/>
      <c r="J251" s="172"/>
      <c r="K251" s="172"/>
      <c r="L251" s="172"/>
      <c r="M251" s="172"/>
      <c r="N251" s="172"/>
      <c r="O251" s="172"/>
      <c r="P251" s="172"/>
      <c r="Q251" s="172"/>
      <c r="R251" s="172"/>
      <c r="S251" s="172"/>
      <c r="T251" s="172"/>
      <c r="U251" s="172"/>
      <c r="V251" s="172"/>
      <c r="W251" s="172"/>
      <c r="X251" s="172"/>
      <c r="Y251" s="172"/>
      <c r="Z251" s="172"/>
      <c r="AA251" s="172"/>
      <c r="AB251" s="315"/>
      <c r="AC251" s="315"/>
      <c r="AD251" s="315"/>
      <c r="AE251" s="315"/>
      <c r="AF251" s="315"/>
      <c r="AG251" s="315"/>
      <c r="AH251" s="315"/>
      <c r="AI251" s="315"/>
      <c r="AJ251" s="29">
        <f t="shared" si="65"/>
        <v>0</v>
      </c>
      <c r="AK251" s="30" t="str">
        <f>CONCATENATE(IF(D252&gt;D251," * OPD  Physical Violence Initiated Pep "&amp;$D$20&amp;" "&amp;$D$21&amp;" is more than OPD Physical Violence Rape Survivors"&amp;CHAR(10),""),IF(E252&gt;E251," * OPD  Physical Violence Initiated Pep "&amp;$D$20&amp;" "&amp;$E$21&amp;" is more than OPD Physical Violence Rape Survivors"&amp;CHAR(10),""),IF(F252&gt;F251," * OPD  Physical Violence Initiated Pep "&amp;$F$20&amp;" "&amp;$F$21&amp;" is more than OPD Physical Violence Rape Survivors"&amp;CHAR(10),""),IF(G252&gt;G251," * OPD  Physical Violence Initiated Pep "&amp;$F$20&amp;" "&amp;$G$21&amp;" is more than OPD Physical Violence Rape Survivors"&amp;CHAR(10),""),IF(H252&gt;H251," * OPD  Physical Violence Initiated Pep "&amp;$H$20&amp;" "&amp;$H$21&amp;" is more than OPD Physical Violence Rape Survivors"&amp;CHAR(10),""),IF(I252&gt;I251," * OPD  Physical Violence Initiated Pep "&amp;$H$20&amp;" "&amp;$I$21&amp;" is more than OPD Physical Violence Rape Survivors"&amp;CHAR(10),""),IF(J252&gt;J251," * OPD  Physical Violence Initiated Pep "&amp;$J$20&amp;" "&amp;$J$21&amp;" is more than OPD Physical Violence Rape Survivors"&amp;CHAR(10),""),IF(K252&gt;K251," * OPD  Physical Violence Initiated Pep "&amp;$J$20&amp;" "&amp;$K$21&amp;" is more than OPD Physical Violence Rape Survivors"&amp;CHAR(10),""),IF(L252&gt;L251," * OPD  Physical Violence Initiated Pep "&amp;$L$20&amp;" "&amp;$L$21&amp;" is more than OPD Physical Violence Rape Survivors"&amp;CHAR(10),""),IF(M252&gt;M251," * OPD  Physical Violence Initiated Pep "&amp;$L$20&amp;" "&amp;$M$21&amp;" is more than OPD Physical Violence Rape Survivors"&amp;CHAR(10),""),IF(N252&gt;N251," * OPD  Physical Violence Initiated Pep "&amp;$N$20&amp;" "&amp;$N$21&amp;" is more than OPD Physical Violence Rape Survivors"&amp;CHAR(10),""),IF(O252&gt;O251," * OPD  Physical Violence Initiated Pep "&amp;$N$20&amp;" "&amp;$O$21&amp;" is more than OPD Physical Violence Rape Survivors"&amp;CHAR(10),""),IF(P252&gt;P251," * OPD  Physical Violence Initiated Pep "&amp;$P$20&amp;" "&amp;$P$21&amp;" is more than OPD Physical Violence Rape Survivors"&amp;CHAR(10),""),IF(Q252&gt;Q251," * OPD  Physical Violence Initiated Pep "&amp;$P$20&amp;" "&amp;$Q$21&amp;" is more than OPD Physical Violence Rape Survivors"&amp;CHAR(10),""),IF(R252&gt;R251," * OPD  Physical Violence Initiated Pep "&amp;$R$20&amp;" "&amp;$R$21&amp;" is more than OPD Physical Violence Rape Survivors"&amp;CHAR(10),""),IF(S252&gt;S251," * OPD  Physical Violence Initiated Pep "&amp;$R$20&amp;" "&amp;$S$21&amp;" is more than OPD Physical Violence Rape Survivors"&amp;CHAR(10),""),IF(T252&gt;T251," * OPD  Physical Violence Initiated Pep "&amp;$T$20&amp;" "&amp;$T$21&amp;" is more than OPD Physical Violence Rape Survivors"&amp;CHAR(10),""),IF(U252&gt;U251," * OPD  Physical Violence Initiated Pep "&amp;$T$20&amp;" "&amp;$U$21&amp;" is more than OPD Physical Violence Rape Survivors"&amp;CHAR(10),""),IF(V252&gt;V251," * OPD  Physical Violence Initiated Pep "&amp;$V$20&amp;" "&amp;$V$21&amp;" is more than OPD Physical Violence Rape Survivors"&amp;CHAR(10),""),IF(W252&gt;W251," * OPD  Physical Violence Initiated Pep "&amp;$V$20&amp;" "&amp;$W$21&amp;" is more than OPD Physical Violence Rape Survivors"&amp;CHAR(10),""),IF(X252&gt;X251," * OPD  Physical Violence Initiated Pep "&amp;$X$20&amp;" "&amp;$X$21&amp;" is more than OPD Physical Violence Rape Survivors"&amp;CHAR(10),""),IF(Y252&gt;Y251," * OPD  Physical Violence Initiated Pep "&amp;$X$20&amp;" "&amp;$Y$21&amp;" is more than OPD Physical Violence Rape Survivors"&amp;CHAR(10),""),IF(Z252&gt;Z251," * OPD  Physical Violence Initiated Pep "&amp;$Z$20&amp;" "&amp;$Z$21&amp;" is more than OPD Physical Violence Rape Survivors"&amp;CHAR(10),""),IF(AA252&gt;AA251," * OPD  Physical Violence Initiated Pep "&amp;$Z$20&amp;" "&amp;$AA$21&amp;" is more than OPD Physical Violence Rape Survivors"&amp;CHAR(10),""))</f>
        <v/>
      </c>
      <c r="AL251" s="1312"/>
      <c r="AM251" s="31"/>
      <c r="AN251" s="917"/>
      <c r="AO251" s="13">
        <v>147</v>
      </c>
      <c r="AP251" s="74"/>
      <c r="AQ251" s="75"/>
    </row>
    <row r="252" spans="1:43" ht="25.9" hidden="1" customHeight="1" x14ac:dyDescent="0.4">
      <c r="A252" s="1224"/>
      <c r="B252" s="167" t="s">
        <v>771</v>
      </c>
      <c r="C252" s="522" t="s">
        <v>781</v>
      </c>
      <c r="D252" s="173"/>
      <c r="E252" s="173"/>
      <c r="F252" s="173"/>
      <c r="G252" s="173"/>
      <c r="H252" s="173"/>
      <c r="I252" s="173"/>
      <c r="J252" s="173"/>
      <c r="K252" s="173"/>
      <c r="L252" s="173"/>
      <c r="M252" s="173"/>
      <c r="N252" s="173"/>
      <c r="O252" s="173"/>
      <c r="P252" s="173"/>
      <c r="Q252" s="173"/>
      <c r="R252" s="173"/>
      <c r="S252" s="173"/>
      <c r="T252" s="173"/>
      <c r="U252" s="173"/>
      <c r="V252" s="173"/>
      <c r="W252" s="173"/>
      <c r="X252" s="173"/>
      <c r="Y252" s="173"/>
      <c r="Z252" s="173"/>
      <c r="AA252" s="173"/>
      <c r="AB252" s="315"/>
      <c r="AC252" s="315"/>
      <c r="AD252" s="315"/>
      <c r="AE252" s="315"/>
      <c r="AF252" s="315"/>
      <c r="AG252" s="315"/>
      <c r="AH252" s="315"/>
      <c r="AI252" s="315"/>
      <c r="AJ252" s="29">
        <f t="shared" si="65"/>
        <v>0</v>
      </c>
      <c r="AK252" s="130"/>
      <c r="AL252" s="1312"/>
      <c r="AM252" s="31"/>
      <c r="AN252" s="917"/>
      <c r="AO252" s="13">
        <v>148</v>
      </c>
      <c r="AP252" s="74"/>
      <c r="AQ252" s="75"/>
    </row>
    <row r="253" spans="1:43" ht="25.9" hidden="1" customHeight="1" x14ac:dyDescent="0.4">
      <c r="A253" s="1224"/>
      <c r="B253" s="167" t="s">
        <v>772</v>
      </c>
      <c r="C253" s="522" t="s">
        <v>782</v>
      </c>
      <c r="D253" s="174"/>
      <c r="E253" s="173"/>
      <c r="F253" s="173"/>
      <c r="G253" s="173"/>
      <c r="H253" s="173"/>
      <c r="I253" s="173"/>
      <c r="J253" s="173"/>
      <c r="K253" s="173"/>
      <c r="L253" s="173"/>
      <c r="M253" s="173"/>
      <c r="N253" s="173"/>
      <c r="O253" s="173"/>
      <c r="P253" s="173"/>
      <c r="Q253" s="173"/>
      <c r="R253" s="173"/>
      <c r="S253" s="173"/>
      <c r="T253" s="173"/>
      <c r="U253" s="173"/>
      <c r="V253" s="173"/>
      <c r="W253" s="173"/>
      <c r="X253" s="173"/>
      <c r="Y253" s="173"/>
      <c r="Z253" s="173"/>
      <c r="AA253" s="175"/>
      <c r="AB253" s="315"/>
      <c r="AC253" s="315"/>
      <c r="AD253" s="315"/>
      <c r="AE253" s="315"/>
      <c r="AF253" s="315"/>
      <c r="AG253" s="315"/>
      <c r="AH253" s="315"/>
      <c r="AI253" s="315"/>
      <c r="AJ253" s="29">
        <f t="shared" si="65"/>
        <v>0</v>
      </c>
      <c r="AK253" s="130"/>
      <c r="AL253" s="1312"/>
      <c r="AM253" s="31"/>
      <c r="AN253" s="917"/>
      <c r="AO253" s="13">
        <v>149</v>
      </c>
      <c r="AP253" s="74"/>
      <c r="AQ253" s="75"/>
    </row>
    <row r="254" spans="1:43" ht="25.9" hidden="1" customHeight="1" thickBot="1" x14ac:dyDescent="0.45">
      <c r="A254" s="1225"/>
      <c r="B254" s="176" t="s">
        <v>807</v>
      </c>
      <c r="C254" s="523" t="s">
        <v>783</v>
      </c>
      <c r="D254" s="177"/>
      <c r="E254" s="178"/>
      <c r="F254" s="178"/>
      <c r="G254" s="178"/>
      <c r="H254" s="178"/>
      <c r="I254" s="178"/>
      <c r="J254" s="178"/>
      <c r="K254" s="178"/>
      <c r="L254" s="178"/>
      <c r="M254" s="178"/>
      <c r="N254" s="178"/>
      <c r="O254" s="178"/>
      <c r="P254" s="178"/>
      <c r="Q254" s="178"/>
      <c r="R254" s="178"/>
      <c r="S254" s="178"/>
      <c r="T254" s="178"/>
      <c r="U254" s="178"/>
      <c r="V254" s="178"/>
      <c r="W254" s="178"/>
      <c r="X254" s="178"/>
      <c r="Y254" s="178"/>
      <c r="Z254" s="178"/>
      <c r="AA254" s="179"/>
      <c r="AB254" s="315"/>
      <c r="AC254" s="315"/>
      <c r="AD254" s="315"/>
      <c r="AE254" s="315"/>
      <c r="AF254" s="315"/>
      <c r="AG254" s="315"/>
      <c r="AH254" s="315"/>
      <c r="AI254" s="315"/>
      <c r="AJ254" s="29">
        <f t="shared" si="65"/>
        <v>0</v>
      </c>
      <c r="AK254" s="130"/>
      <c r="AL254" s="1468"/>
      <c r="AM254" s="73"/>
      <c r="AN254" s="917"/>
      <c r="AO254" s="13">
        <v>150</v>
      </c>
      <c r="AP254" s="74"/>
      <c r="AQ254" s="75"/>
    </row>
    <row r="255" spans="1:43" ht="25.9" hidden="1" customHeight="1" x14ac:dyDescent="0.4">
      <c r="A255" s="1223" t="s">
        <v>774</v>
      </c>
      <c r="B255" s="165" t="s">
        <v>818</v>
      </c>
      <c r="C255" s="524" t="s">
        <v>784</v>
      </c>
      <c r="D255" s="166">
        <f t="shared" ref="D255:AA255" si="66">D11</f>
        <v>0</v>
      </c>
      <c r="E255" s="166">
        <f t="shared" si="66"/>
        <v>0</v>
      </c>
      <c r="F255" s="166">
        <f t="shared" si="66"/>
        <v>0</v>
      </c>
      <c r="G255" s="166">
        <f t="shared" si="66"/>
        <v>0</v>
      </c>
      <c r="H255" s="166">
        <f t="shared" si="66"/>
        <v>0</v>
      </c>
      <c r="I255" s="166">
        <f t="shared" si="66"/>
        <v>0</v>
      </c>
      <c r="J255" s="166">
        <f t="shared" si="66"/>
        <v>0</v>
      </c>
      <c r="K255" s="166">
        <f t="shared" si="66"/>
        <v>0</v>
      </c>
      <c r="L255" s="166">
        <f t="shared" si="66"/>
        <v>0</v>
      </c>
      <c r="M255" s="166">
        <f t="shared" si="66"/>
        <v>0</v>
      </c>
      <c r="N255" s="166">
        <f t="shared" si="66"/>
        <v>0</v>
      </c>
      <c r="O255" s="166">
        <f t="shared" si="66"/>
        <v>0</v>
      </c>
      <c r="P255" s="166">
        <f t="shared" si="66"/>
        <v>0</v>
      </c>
      <c r="Q255" s="166">
        <f t="shared" si="66"/>
        <v>0</v>
      </c>
      <c r="R255" s="166">
        <f t="shared" si="66"/>
        <v>0</v>
      </c>
      <c r="S255" s="166">
        <f t="shared" si="66"/>
        <v>0</v>
      </c>
      <c r="T255" s="166">
        <f t="shared" si="66"/>
        <v>0</v>
      </c>
      <c r="U255" s="166">
        <f t="shared" si="66"/>
        <v>0</v>
      </c>
      <c r="V255" s="166">
        <f t="shared" si="66"/>
        <v>0</v>
      </c>
      <c r="W255" s="166">
        <f t="shared" si="66"/>
        <v>0</v>
      </c>
      <c r="X255" s="166">
        <f t="shared" si="66"/>
        <v>0</v>
      </c>
      <c r="Y255" s="166">
        <f t="shared" si="66"/>
        <v>0</v>
      </c>
      <c r="Z255" s="166">
        <f t="shared" si="66"/>
        <v>0</v>
      </c>
      <c r="AA255" s="166">
        <f t="shared" si="66"/>
        <v>0</v>
      </c>
      <c r="AB255" s="166"/>
      <c r="AC255" s="166"/>
      <c r="AD255" s="166"/>
      <c r="AE255" s="166"/>
      <c r="AF255" s="166"/>
      <c r="AG255" s="166"/>
      <c r="AH255" s="166"/>
      <c r="AI255" s="166"/>
      <c r="AJ255" s="166">
        <f>AJ11</f>
        <v>0</v>
      </c>
      <c r="AK255" s="30" t="str">
        <f>CONCATENATE(IF(D256&gt;D255," * No Screened for GBV "&amp;$D$20&amp;" "&amp;$D$21&amp;" is more than Clients Seen at IPD"&amp;CHAR(10),""),IF(E256&gt;E255," * No Screened For GBV "&amp;$D$20&amp;" "&amp;$E$21&amp;" is more than Clients Seen at IPD"&amp;CHAR(10),""),IF(F256&gt;F255," * No Screened For GBV "&amp;$F$20&amp;" "&amp;$F$21&amp;" is more than Clients Seen at IPD"&amp;CHAR(10),""),IF(G256&gt;G255," * No Screened For GBV "&amp;$F$20&amp;" "&amp;$G$21&amp;" is more than Clients Seen at IPD"&amp;CHAR(10),""),IF(H256&gt;H255," * No Screened For GBV "&amp;$H$20&amp;" "&amp;$H$21&amp;" is more than Clients Seen at IPD"&amp;CHAR(10),""),IF(I256&gt;I255," * No Screened For GBV "&amp;$H$20&amp;" "&amp;$I$21&amp;" is more than Clients Seen at IPD"&amp;CHAR(10),""),IF(J256&gt;J255," * No Screened For GBV "&amp;$J$20&amp;" "&amp;$J$21&amp;" is more than Clients Seen at IPD"&amp;CHAR(10),""),IF(K256&gt;K255," * No Screened For GBV "&amp;$J$20&amp;" "&amp;$K$21&amp;" is more than Clients Seen at IPD"&amp;CHAR(10),""),IF(L256&gt;L255," * No Screened For GBV "&amp;$L$20&amp;" "&amp;$L$21&amp;" is more than Clients Seen at IPD"&amp;CHAR(10),""),IF(M256&gt;M255," * No Screened For GBV "&amp;$L$20&amp;" "&amp;$M$21&amp;" is more than Clients Seen at IPD"&amp;CHAR(10),""),IF(N256&gt;N255," * No Screened For GBV "&amp;$N$20&amp;" "&amp;$N$21&amp;" is more than Clients Seen at IPD"&amp;CHAR(10),""),IF(O256&gt;O255," * No Screened For GBV "&amp;$N$20&amp;" "&amp;$O$21&amp;" is more than Clients Seen at IPD"&amp;CHAR(10),""),IF(P256&gt;P255," * No Screened For GBV "&amp;$P$20&amp;" "&amp;$P$21&amp;" is more than Clients Seen at IPD"&amp;CHAR(10),""),IF(Q256&gt;Q255," * No Screened For GBV "&amp;$P$20&amp;" "&amp;$Q$21&amp;" is more than Clients Seen at IPD"&amp;CHAR(10),""),IF(R256&gt;R255," * No Screened For GBV "&amp;$R$20&amp;" "&amp;$R$21&amp;" is more than Clients Seen at IPD"&amp;CHAR(10),""),IF(S256&gt;S255," * No Screened For GBV "&amp;$R$20&amp;" "&amp;$S$21&amp;" is more than Clients Seen at IPD"&amp;CHAR(10),""),IF(T256&gt;T255," * No Screened For GBV "&amp;$T$20&amp;" "&amp;$T$21&amp;" is more than Clients Seen at IPD"&amp;CHAR(10),""),IF(U256&gt;U255," * No Screened For GBV "&amp;$T$20&amp;" "&amp;$U$21&amp;" is more than Clients Seen at IPD"&amp;CHAR(10),""),IF(V256&gt;V255," * No Screened For GBV "&amp;$V$20&amp;" "&amp;$V$21&amp;" is more than Clients Seen at IPD"&amp;CHAR(10),""),IF(W256&gt;W255," * No Screened For GBV "&amp;$V$20&amp;" "&amp;$W$21&amp;" is more than Clients Seen at IPD"&amp;CHAR(10),""),IF(X256&gt;X255," * No Screened For GBV "&amp;$X$20&amp;" "&amp;$X$21&amp;" is more than Clients Seen at IPD"&amp;CHAR(10),""),IF(Y256&gt;Y255," * No Screened For GBV "&amp;$X$20&amp;" "&amp;$Y$21&amp;" is more than Clients Seen at IPD"&amp;CHAR(10),""),IF(Z256&gt;Z255," * No Screened For GBV "&amp;$Z$20&amp;" "&amp;$Z$21&amp;" is more than Clients Seen at IPD"&amp;CHAR(10),""),IF(AA256&gt;AA255," * No Screened For GBV "&amp;$Z$20&amp;" "&amp;$AA$21&amp;" is more than Clients Seen at IPD"&amp;CHAR(10),""))</f>
        <v/>
      </c>
      <c r="AL255" s="1284" t="str">
        <f>CONCATENATE(AK255,AK256,AK257,AK258,AK259,AK260,AK261,AK262,AK263)</f>
        <v/>
      </c>
      <c r="AM255" s="73"/>
      <c r="AN255" s="917"/>
      <c r="AO255" s="13">
        <v>151</v>
      </c>
      <c r="AP255" s="74"/>
      <c r="AQ255" s="75"/>
    </row>
    <row r="256" spans="1:43" ht="25.9" hidden="1" customHeight="1" x14ac:dyDescent="0.4">
      <c r="A256" s="1224"/>
      <c r="B256" s="167" t="s">
        <v>813</v>
      </c>
      <c r="C256" s="522" t="s">
        <v>785</v>
      </c>
      <c r="D256" s="168"/>
      <c r="E256" s="168"/>
      <c r="F256" s="168"/>
      <c r="G256" s="168"/>
      <c r="H256" s="168"/>
      <c r="I256" s="168"/>
      <c r="J256" s="168"/>
      <c r="K256" s="168"/>
      <c r="L256" s="168"/>
      <c r="M256" s="168"/>
      <c r="N256" s="168"/>
      <c r="O256" s="168"/>
      <c r="P256" s="168"/>
      <c r="Q256" s="168"/>
      <c r="R256" s="168"/>
      <c r="S256" s="168"/>
      <c r="T256" s="168"/>
      <c r="U256" s="168"/>
      <c r="V256" s="168"/>
      <c r="W256" s="168"/>
      <c r="X256" s="168"/>
      <c r="Y256" s="168"/>
      <c r="Z256" s="168"/>
      <c r="AA256" s="168"/>
      <c r="AB256" s="315"/>
      <c r="AC256" s="315"/>
      <c r="AD256" s="315"/>
      <c r="AE256" s="315"/>
      <c r="AF256" s="315"/>
      <c r="AG256" s="315"/>
      <c r="AH256" s="315"/>
      <c r="AI256" s="315"/>
      <c r="AJ256" s="66">
        <f t="shared" ref="AJ256:AJ281" si="67">SUM(D256:AA256)</f>
        <v>0</v>
      </c>
      <c r="AK256" s="130"/>
      <c r="AL256" s="1285"/>
      <c r="AM256" s="31"/>
      <c r="AN256" s="917"/>
      <c r="AO256" s="13">
        <v>152</v>
      </c>
      <c r="AP256" s="74"/>
      <c r="AQ256" s="75"/>
    </row>
    <row r="257" spans="1:43" ht="25.9" hidden="1" customHeight="1" x14ac:dyDescent="0.4">
      <c r="A257" s="1224"/>
      <c r="B257" s="169" t="s">
        <v>821</v>
      </c>
      <c r="C257" s="522" t="s">
        <v>786</v>
      </c>
      <c r="D257" s="170">
        <f t="shared" ref="D257:AA257" si="68">D258+D260+D262+D263</f>
        <v>0</v>
      </c>
      <c r="E257" s="170">
        <f t="shared" si="68"/>
        <v>0</v>
      </c>
      <c r="F257" s="170">
        <f t="shared" si="68"/>
        <v>0</v>
      </c>
      <c r="G257" s="170">
        <f t="shared" si="68"/>
        <v>0</v>
      </c>
      <c r="H257" s="170">
        <f t="shared" si="68"/>
        <v>0</v>
      </c>
      <c r="I257" s="170">
        <f t="shared" si="68"/>
        <v>0</v>
      </c>
      <c r="J257" s="170">
        <f t="shared" si="68"/>
        <v>0</v>
      </c>
      <c r="K257" s="170">
        <f t="shared" si="68"/>
        <v>0</v>
      </c>
      <c r="L257" s="170">
        <f t="shared" si="68"/>
        <v>0</v>
      </c>
      <c r="M257" s="170">
        <f t="shared" si="68"/>
        <v>0</v>
      </c>
      <c r="N257" s="170">
        <f t="shared" si="68"/>
        <v>0</v>
      </c>
      <c r="O257" s="170">
        <f t="shared" si="68"/>
        <v>0</v>
      </c>
      <c r="P257" s="170">
        <f t="shared" si="68"/>
        <v>0</v>
      </c>
      <c r="Q257" s="170">
        <f t="shared" si="68"/>
        <v>0</v>
      </c>
      <c r="R257" s="170">
        <f t="shared" si="68"/>
        <v>0</v>
      </c>
      <c r="S257" s="170">
        <f t="shared" si="68"/>
        <v>0</v>
      </c>
      <c r="T257" s="170">
        <f t="shared" si="68"/>
        <v>0</v>
      </c>
      <c r="U257" s="170">
        <f t="shared" si="68"/>
        <v>0</v>
      </c>
      <c r="V257" s="170">
        <f t="shared" si="68"/>
        <v>0</v>
      </c>
      <c r="W257" s="170">
        <f t="shared" si="68"/>
        <v>0</v>
      </c>
      <c r="X257" s="170">
        <f t="shared" si="68"/>
        <v>0</v>
      </c>
      <c r="Y257" s="170">
        <f t="shared" si="68"/>
        <v>0</v>
      </c>
      <c r="Z257" s="170">
        <f t="shared" si="68"/>
        <v>0</v>
      </c>
      <c r="AA257" s="170">
        <f t="shared" si="68"/>
        <v>0</v>
      </c>
      <c r="AB257" s="314"/>
      <c r="AC257" s="314"/>
      <c r="AD257" s="314"/>
      <c r="AE257" s="314"/>
      <c r="AF257" s="314"/>
      <c r="AG257" s="314"/>
      <c r="AH257" s="314"/>
      <c r="AI257" s="314"/>
      <c r="AJ257" s="66">
        <f t="shared" si="67"/>
        <v>0</v>
      </c>
      <c r="AK257" s="130"/>
      <c r="AL257" s="1285"/>
      <c r="AM257" s="31"/>
      <c r="AN257" s="917"/>
      <c r="AO257" s="13">
        <v>153</v>
      </c>
      <c r="AP257" s="74"/>
      <c r="AQ257" s="75"/>
    </row>
    <row r="258" spans="1:43" ht="25.9" hidden="1" customHeight="1" x14ac:dyDescent="0.4">
      <c r="A258" s="1224"/>
      <c r="B258" s="167" t="s">
        <v>768</v>
      </c>
      <c r="C258" s="522" t="s">
        <v>787</v>
      </c>
      <c r="D258" s="172"/>
      <c r="E258" s="172"/>
      <c r="F258" s="172"/>
      <c r="G258" s="172"/>
      <c r="H258" s="172"/>
      <c r="I258" s="172"/>
      <c r="J258" s="172"/>
      <c r="K258" s="172"/>
      <c r="L258" s="172"/>
      <c r="M258" s="172"/>
      <c r="N258" s="172"/>
      <c r="O258" s="172"/>
      <c r="P258" s="172"/>
      <c r="Q258" s="172"/>
      <c r="R258" s="172"/>
      <c r="S258" s="172"/>
      <c r="T258" s="172"/>
      <c r="U258" s="172"/>
      <c r="V258" s="172"/>
      <c r="W258" s="172"/>
      <c r="X258" s="172"/>
      <c r="Y258" s="172"/>
      <c r="Z258" s="172"/>
      <c r="AA258" s="172"/>
      <c r="AB258" s="315"/>
      <c r="AC258" s="315"/>
      <c r="AD258" s="315"/>
      <c r="AE258" s="315"/>
      <c r="AF258" s="315"/>
      <c r="AG258" s="315"/>
      <c r="AH258" s="315"/>
      <c r="AI258" s="315"/>
      <c r="AJ258" s="66">
        <f t="shared" si="67"/>
        <v>0</v>
      </c>
      <c r="AK258" s="30" t="str">
        <f>CONCATENATE(IF(D259&gt;D258," * IPD Sexual Violence Initiated Pep "&amp;$D$20&amp;" "&amp;$D$21&amp;" is more than IPD Sexual Violence Rape Survivors"&amp;CHAR(10),""),IF(E259&gt;E258," * IPD Sexual Violence Initiated Pep "&amp;$D$20&amp;" "&amp;$E$21&amp;" is more than IPD Sexual Violence Rape Survivors"&amp;CHAR(10),""),IF(F259&gt;F258," * IPD Sexual Violence Initiated Pep "&amp;$F$20&amp;" "&amp;$F$21&amp;" is more than IPD Sexual Violence Rape Survivors"&amp;CHAR(10),""),IF(G259&gt;G258," * IPD Sexual Violence Initiated Pep "&amp;$F$20&amp;" "&amp;$G$21&amp;" is more than IPD Sexual Violence Rape Survivors"&amp;CHAR(10),""),IF(H259&gt;H258," * IPD Sexual Violence Initiated Pep "&amp;$H$20&amp;" "&amp;$H$21&amp;" is more than IPD Sexual Violence Rape Survivors"&amp;CHAR(10),""),IF(I259&gt;I258," * IPD Sexual Violence Initiated Pep "&amp;$H$20&amp;" "&amp;$I$21&amp;" is more than IPD Sexual Violence Rape Survivors"&amp;CHAR(10),""),IF(J259&gt;J258," * IPD Sexual Violence Initiated Pep "&amp;$J$20&amp;" "&amp;$J$21&amp;" is more than IPD Sexual Violence Rape Survivors"&amp;CHAR(10),""),IF(K259&gt;K258," * IPD Sexual Violence Initiated Pep "&amp;$J$20&amp;" "&amp;$K$21&amp;" is more than IPD Sexual Violence Rape Survivors"&amp;CHAR(10),""),IF(L259&gt;L258," * IPD Sexual Violence Initiated Pep "&amp;$L$20&amp;" "&amp;$L$21&amp;" is more than IPD Sexual Violence Rape Survivors"&amp;CHAR(10),""),IF(M259&gt;M258," * IPD Sexual Violence Initiated Pep "&amp;$L$20&amp;" "&amp;$M$21&amp;" is more than IPD Sexual Violence Rape Survivors"&amp;CHAR(10),""),IF(N259&gt;N258," * IPD Sexual Violence Initiated Pep "&amp;$N$20&amp;" "&amp;$N$21&amp;" is more than IPD Sexual Violence Rape Survivors"&amp;CHAR(10),""),IF(O259&gt;O258," * IPD Sexual Violence Initiated Pep "&amp;$N$20&amp;" "&amp;$O$21&amp;" is more than IPD Sexual Violence Rape Survivors"&amp;CHAR(10),""),IF(P259&gt;P258," * IPD Sexual Violence Initiated Pep "&amp;$P$20&amp;" "&amp;$P$21&amp;" is more than IPD Sexual Violence Rape Survivors"&amp;CHAR(10),""),IF(Q259&gt;Q258," * IPD Sexual Violence Initiated Pep "&amp;$P$20&amp;" "&amp;$Q$21&amp;" is more than IPD Sexual Violence Rape Survivors"&amp;CHAR(10),""),IF(R259&gt;R258," * IPD Sexual Violence Initiated Pep "&amp;$R$20&amp;" "&amp;$R$21&amp;" is more than IPD Sexual Violence Rape Survivors"&amp;CHAR(10),""),IF(S259&gt;S258," * IPD Sexual Violence Initiated Pep "&amp;$R$20&amp;" "&amp;$S$21&amp;" is more than IPD Sexual Violence Rape Survivors"&amp;CHAR(10),""),IF(T259&gt;T258," * IPD Sexual Violence Initiated Pep "&amp;$T$20&amp;" "&amp;$T$21&amp;" is more than IPD Sexual Violence Rape Survivors"&amp;CHAR(10),""),IF(U259&gt;U258," * IPD Sexual Violence Initiated Pep "&amp;$T$20&amp;" "&amp;$U$21&amp;" is more than IPD Sexual Violence Rape Survivors"&amp;CHAR(10),""),IF(V259&gt;V258," * IPD Sexual Violence Initiated Pep "&amp;$V$20&amp;" "&amp;$V$21&amp;" is more than IPD Sexual Violence Rape Survivors"&amp;CHAR(10),""),IF(W259&gt;W258," * IPD Sexual Violence Initiated Pep "&amp;$V$20&amp;" "&amp;$W$21&amp;" is more than IPD Sexual Violence Rape Survivors"&amp;CHAR(10),""),IF(X259&gt;X258," * IPD Sexual Violence Initiated Pep "&amp;$X$20&amp;" "&amp;$X$21&amp;" is more than IPD Sexual Violence Rape Survivors"&amp;CHAR(10),""),IF(Y259&gt;Y258," * IPD Sexual Violence Initiated Pep "&amp;$X$20&amp;" "&amp;$Y$21&amp;" is more than IPD Sexual Violence Rape Survivors"&amp;CHAR(10),""),IF(Z259&gt;Z258," * IPD Sexual Violence Initiated Pep "&amp;$Z$20&amp;" "&amp;$Z$21&amp;" is more than IPD Sexual Violence Rape Survivors"&amp;CHAR(10),""),IF(AA259&gt;AA258," * IPD Sexual Violence Initiated Pep "&amp;$Z$20&amp;" "&amp;$AA$21&amp;" is more than IPD Sexual Violence Rape Survivors"&amp;CHAR(10),""))</f>
        <v/>
      </c>
      <c r="AL258" s="1285"/>
      <c r="AM258" s="31"/>
      <c r="AN258" s="917"/>
      <c r="AO258" s="13">
        <v>154</v>
      </c>
      <c r="AP258" s="74"/>
      <c r="AQ258" s="75"/>
    </row>
    <row r="259" spans="1:43" ht="25.9" hidden="1" customHeight="1" x14ac:dyDescent="0.4">
      <c r="A259" s="1224"/>
      <c r="B259" s="167" t="s">
        <v>769</v>
      </c>
      <c r="C259" s="522" t="s">
        <v>788</v>
      </c>
      <c r="D259" s="173"/>
      <c r="E259" s="173"/>
      <c r="F259" s="173"/>
      <c r="G259" s="173"/>
      <c r="H259" s="173"/>
      <c r="I259" s="173"/>
      <c r="J259" s="173"/>
      <c r="K259" s="173"/>
      <c r="L259" s="173"/>
      <c r="M259" s="173"/>
      <c r="N259" s="173"/>
      <c r="O259" s="173"/>
      <c r="P259" s="173"/>
      <c r="Q259" s="173"/>
      <c r="R259" s="173"/>
      <c r="S259" s="173"/>
      <c r="T259" s="173"/>
      <c r="U259" s="173"/>
      <c r="V259" s="173"/>
      <c r="W259" s="173"/>
      <c r="X259" s="173"/>
      <c r="Y259" s="173"/>
      <c r="Z259" s="173"/>
      <c r="AA259" s="173"/>
      <c r="AB259" s="315"/>
      <c r="AC259" s="315"/>
      <c r="AD259" s="315"/>
      <c r="AE259" s="315"/>
      <c r="AF259" s="315"/>
      <c r="AG259" s="315"/>
      <c r="AH259" s="315"/>
      <c r="AI259" s="315"/>
      <c r="AJ259" s="66">
        <f t="shared" si="67"/>
        <v>0</v>
      </c>
      <c r="AK259" s="130"/>
      <c r="AL259" s="1285"/>
      <c r="AM259" s="31"/>
      <c r="AN259" s="917"/>
      <c r="AO259" s="13">
        <v>155</v>
      </c>
      <c r="AP259" s="74"/>
      <c r="AQ259" s="75"/>
    </row>
    <row r="260" spans="1:43" ht="25.9" hidden="1" customHeight="1" x14ac:dyDescent="0.4">
      <c r="A260" s="1224"/>
      <c r="B260" s="167" t="s">
        <v>770</v>
      </c>
      <c r="C260" s="522" t="s">
        <v>789</v>
      </c>
      <c r="D260" s="172"/>
      <c r="E260" s="172"/>
      <c r="F260" s="172"/>
      <c r="G260" s="172"/>
      <c r="H260" s="172"/>
      <c r="I260" s="172"/>
      <c r="J260" s="172"/>
      <c r="K260" s="172"/>
      <c r="L260" s="172"/>
      <c r="M260" s="172"/>
      <c r="N260" s="172"/>
      <c r="O260" s="172"/>
      <c r="P260" s="172"/>
      <c r="Q260" s="172"/>
      <c r="R260" s="172"/>
      <c r="S260" s="172"/>
      <c r="T260" s="172"/>
      <c r="U260" s="172"/>
      <c r="V260" s="172"/>
      <c r="W260" s="172"/>
      <c r="X260" s="172"/>
      <c r="Y260" s="172"/>
      <c r="Z260" s="172"/>
      <c r="AA260" s="172"/>
      <c r="AB260" s="315"/>
      <c r="AC260" s="315"/>
      <c r="AD260" s="315"/>
      <c r="AE260" s="315"/>
      <c r="AF260" s="315"/>
      <c r="AG260" s="315"/>
      <c r="AH260" s="315"/>
      <c r="AI260" s="315"/>
      <c r="AJ260" s="66">
        <f t="shared" si="67"/>
        <v>0</v>
      </c>
      <c r="AK260" s="30" t="str">
        <f>CONCATENATE(IF(D261&gt;D260," * IPD  Physical Violence Initiated Pep "&amp;$D$20&amp;" "&amp;$D$21&amp;" is more than IPD Physical Violence Rape Survivors"&amp;CHAR(10),""),IF(E261&gt;E260," * IPD  Physical Violence Initiated Pep "&amp;$D$20&amp;" "&amp;$E$21&amp;" is more than IPD Physical Violence Rape Survivors"&amp;CHAR(10),""),IF(F261&gt;F260," * IPD  Physical Violence Initiated Pep "&amp;$F$20&amp;" "&amp;$F$21&amp;" is more than IPD Physical Violence Rape Survivors"&amp;CHAR(10),""),IF(G261&gt;G260," * IPD  Physical Violence Initiated Pep "&amp;$F$20&amp;" "&amp;$G$21&amp;" is more than IPD Physical Violence Rape Survivors"&amp;CHAR(10),""),IF(H261&gt;H260," * IPD  Physical Violence Initiated Pep "&amp;$H$20&amp;" "&amp;$H$21&amp;" is more than IPD Physical Violence Rape Survivors"&amp;CHAR(10),""),IF(I261&gt;I260," * IPD  Physical Violence Initiated Pep "&amp;$H$20&amp;" "&amp;$I$21&amp;" is more than IPD Physical Violence Rape Survivors"&amp;CHAR(10),""),IF(J261&gt;J260," * IPD  Physical Violence Initiated Pep "&amp;$J$20&amp;" "&amp;$J$21&amp;" is more than IPD Physical Violence Rape Survivors"&amp;CHAR(10),""),IF(K261&gt;K260," * IPD  Physical Violence Initiated Pep "&amp;$J$20&amp;" "&amp;$K$21&amp;" is more than IPD Physical Violence Rape Survivors"&amp;CHAR(10),""),IF(L261&gt;L260," * IPD  Physical Violence Initiated Pep "&amp;$L$20&amp;" "&amp;$L$21&amp;" is more than IPD Physical Violence Rape Survivors"&amp;CHAR(10),""),IF(M261&gt;M260," * IPD  Physical Violence Initiated Pep "&amp;$L$20&amp;" "&amp;$M$21&amp;" is more than IPD Physical Violence Rape Survivors"&amp;CHAR(10),""),IF(N261&gt;N260," * IPD  Physical Violence Initiated Pep "&amp;$N$20&amp;" "&amp;$N$21&amp;" is more than IPD Physical Violence Rape Survivors"&amp;CHAR(10),""),IF(O261&gt;O260," * IPD  Physical Violence Initiated Pep "&amp;$N$20&amp;" "&amp;$O$21&amp;" is more than IPD Physical Violence Rape Survivors"&amp;CHAR(10),""),IF(P261&gt;P260," * IPD  Physical Violence Initiated Pep "&amp;$P$20&amp;" "&amp;$P$21&amp;" is more than IPD Physical Violence Rape Survivors"&amp;CHAR(10),""),IF(Q261&gt;Q260," * IPD  Physical Violence Initiated Pep "&amp;$P$20&amp;" "&amp;$Q$21&amp;" is more than IPD Physical Violence Rape Survivors"&amp;CHAR(10),""),IF(R261&gt;R260," * IPD  Physical Violence Initiated Pep "&amp;$R$20&amp;" "&amp;$R$21&amp;" is more than IPD Physical Violence Rape Survivors"&amp;CHAR(10),""),IF(S261&gt;S260," * IPD  Physical Violence Initiated Pep "&amp;$R$20&amp;" "&amp;$S$21&amp;" is more than IPD Physical Violence Rape Survivors"&amp;CHAR(10),""),IF(T261&gt;T260," * IPD  Physical Violence Initiated Pep "&amp;$T$20&amp;" "&amp;$T$21&amp;" is more than IPD Physical Violence Rape Survivors"&amp;CHAR(10),""),IF(U261&gt;U260," * IPD  Physical Violence Initiated Pep "&amp;$T$20&amp;" "&amp;$U$21&amp;" is more than IPD Physical Violence Rape Survivors"&amp;CHAR(10),""),IF(V261&gt;V260," * IPD  Physical Violence Initiated Pep "&amp;$V$20&amp;" "&amp;$V$21&amp;" is more than IPD Physical Violence Rape Survivors"&amp;CHAR(10),""),IF(W261&gt;W260," * IPD  Physical Violence Initiated Pep "&amp;$V$20&amp;" "&amp;$W$21&amp;" is more than IPD Physical Violence Rape Survivors"&amp;CHAR(10),""),IF(X261&gt;X260," * IPD  Physical Violence Initiated Pep "&amp;$X$20&amp;" "&amp;$X$21&amp;" is more than IPD Physical Violence Rape Survivors"&amp;CHAR(10),""),IF(Y261&gt;Y260," * IPD  Physical Violence Initiated Pep "&amp;$X$20&amp;" "&amp;$Y$21&amp;" is more than IPD Physical Violence Rape Survivors"&amp;CHAR(10),""),IF(Z261&gt;Z260," * IPD  Physical Violence Initiated Pep "&amp;$Z$20&amp;" "&amp;$Z$21&amp;" is more than IPD Physical Violence Rape Survivors"&amp;CHAR(10),""),IF(AA261&gt;AA260," * IPD  Physical Violence Initiated Pep "&amp;$Z$20&amp;" "&amp;$AA$21&amp;" is more than IPD Physical Violence Rape Survivors"&amp;CHAR(10),""))</f>
        <v/>
      </c>
      <c r="AL260" s="1285"/>
      <c r="AM260" s="31"/>
      <c r="AN260" s="917"/>
      <c r="AO260" s="13">
        <v>156</v>
      </c>
      <c r="AP260" s="74"/>
      <c r="AQ260" s="75"/>
    </row>
    <row r="261" spans="1:43" ht="25.9" hidden="1" customHeight="1" x14ac:dyDescent="0.4">
      <c r="A261" s="1224"/>
      <c r="B261" s="167" t="s">
        <v>771</v>
      </c>
      <c r="C261" s="522" t="s">
        <v>790</v>
      </c>
      <c r="D261" s="173"/>
      <c r="E261" s="173"/>
      <c r="F261" s="173"/>
      <c r="G261" s="173"/>
      <c r="H261" s="173"/>
      <c r="I261" s="173"/>
      <c r="J261" s="173"/>
      <c r="K261" s="173"/>
      <c r="L261" s="173"/>
      <c r="M261" s="173"/>
      <c r="N261" s="173"/>
      <c r="O261" s="173"/>
      <c r="P261" s="173"/>
      <c r="Q261" s="173"/>
      <c r="R261" s="173"/>
      <c r="S261" s="173"/>
      <c r="T261" s="173"/>
      <c r="U261" s="173"/>
      <c r="V261" s="173"/>
      <c r="W261" s="173"/>
      <c r="X261" s="173"/>
      <c r="Y261" s="173"/>
      <c r="Z261" s="173"/>
      <c r="AA261" s="173"/>
      <c r="AB261" s="315"/>
      <c r="AC261" s="315"/>
      <c r="AD261" s="315"/>
      <c r="AE261" s="315"/>
      <c r="AF261" s="315"/>
      <c r="AG261" s="315"/>
      <c r="AH261" s="315"/>
      <c r="AI261" s="315"/>
      <c r="AJ261" s="66">
        <f t="shared" si="67"/>
        <v>0</v>
      </c>
      <c r="AK261" s="130"/>
      <c r="AL261" s="1285"/>
      <c r="AM261" s="31"/>
      <c r="AN261" s="917"/>
      <c r="AO261" s="13">
        <v>157</v>
      </c>
      <c r="AP261" s="74"/>
      <c r="AQ261" s="75"/>
    </row>
    <row r="262" spans="1:43" ht="25.9" hidden="1" customHeight="1" x14ac:dyDescent="0.4">
      <c r="A262" s="1224"/>
      <c r="B262" s="167" t="s">
        <v>772</v>
      </c>
      <c r="C262" s="522" t="s">
        <v>791</v>
      </c>
      <c r="D262" s="174"/>
      <c r="E262" s="173"/>
      <c r="F262" s="173"/>
      <c r="G262" s="173"/>
      <c r="H262" s="173"/>
      <c r="I262" s="173"/>
      <c r="J262" s="173"/>
      <c r="K262" s="173"/>
      <c r="L262" s="173"/>
      <c r="M262" s="173"/>
      <c r="N262" s="173"/>
      <c r="O262" s="173"/>
      <c r="P262" s="173"/>
      <c r="Q262" s="173"/>
      <c r="R262" s="173"/>
      <c r="S262" s="173"/>
      <c r="T262" s="173"/>
      <c r="U262" s="173"/>
      <c r="V262" s="173"/>
      <c r="W262" s="173"/>
      <c r="X262" s="173"/>
      <c r="Y262" s="173"/>
      <c r="Z262" s="173"/>
      <c r="AA262" s="175"/>
      <c r="AB262" s="315"/>
      <c r="AC262" s="315"/>
      <c r="AD262" s="315"/>
      <c r="AE262" s="315"/>
      <c r="AF262" s="315"/>
      <c r="AG262" s="315"/>
      <c r="AH262" s="315"/>
      <c r="AI262" s="315"/>
      <c r="AJ262" s="52">
        <f t="shared" si="67"/>
        <v>0</v>
      </c>
      <c r="AK262" s="130"/>
      <c r="AL262" s="1285"/>
      <c r="AM262" s="31"/>
      <c r="AN262" s="917"/>
      <c r="AO262" s="13">
        <v>158</v>
      </c>
      <c r="AP262" s="74"/>
      <c r="AQ262" s="75"/>
    </row>
    <row r="263" spans="1:43" ht="25.9" hidden="1" customHeight="1" thickBot="1" x14ac:dyDescent="0.45">
      <c r="A263" s="1225"/>
      <c r="B263" s="176" t="s">
        <v>807</v>
      </c>
      <c r="C263" s="523" t="s">
        <v>792</v>
      </c>
      <c r="D263" s="177"/>
      <c r="E263" s="178"/>
      <c r="F263" s="178"/>
      <c r="G263" s="178"/>
      <c r="H263" s="178"/>
      <c r="I263" s="178"/>
      <c r="J263" s="178"/>
      <c r="K263" s="178"/>
      <c r="L263" s="178"/>
      <c r="M263" s="178"/>
      <c r="N263" s="178"/>
      <c r="O263" s="178"/>
      <c r="P263" s="178"/>
      <c r="Q263" s="178"/>
      <c r="R263" s="178"/>
      <c r="S263" s="178"/>
      <c r="T263" s="178"/>
      <c r="U263" s="178"/>
      <c r="V263" s="178"/>
      <c r="W263" s="178"/>
      <c r="X263" s="178"/>
      <c r="Y263" s="178"/>
      <c r="Z263" s="178"/>
      <c r="AA263" s="179"/>
      <c r="AB263" s="315"/>
      <c r="AC263" s="315"/>
      <c r="AD263" s="315"/>
      <c r="AE263" s="315"/>
      <c r="AF263" s="315"/>
      <c r="AG263" s="315"/>
      <c r="AH263" s="315"/>
      <c r="AI263" s="315"/>
      <c r="AJ263" s="52">
        <f t="shared" si="67"/>
        <v>0</v>
      </c>
      <c r="AK263" s="130"/>
      <c r="AL263" s="1286"/>
      <c r="AM263" s="73"/>
      <c r="AN263" s="917"/>
      <c r="AO263" s="13">
        <v>159</v>
      </c>
      <c r="AP263" s="74"/>
      <c r="AQ263" s="75"/>
    </row>
    <row r="264" spans="1:43" ht="25.9" hidden="1" customHeight="1" x14ac:dyDescent="0.4">
      <c r="A264" s="1223" t="s">
        <v>776</v>
      </c>
      <c r="B264" s="165" t="s">
        <v>819</v>
      </c>
      <c r="C264" s="524" t="s">
        <v>793</v>
      </c>
      <c r="D264" s="180"/>
      <c r="E264" s="180"/>
      <c r="F264" s="180"/>
      <c r="G264" s="180"/>
      <c r="H264" s="180"/>
      <c r="I264" s="180"/>
      <c r="J264" s="180"/>
      <c r="K264" s="180"/>
      <c r="L264" s="180"/>
      <c r="M264" s="180"/>
      <c r="N264" s="180"/>
      <c r="O264" s="180"/>
      <c r="P264" s="180"/>
      <c r="Q264" s="180"/>
      <c r="R264" s="180"/>
      <c r="S264" s="180"/>
      <c r="T264" s="180"/>
      <c r="U264" s="180"/>
      <c r="V264" s="180"/>
      <c r="W264" s="180"/>
      <c r="X264" s="180"/>
      <c r="Y264" s="180"/>
      <c r="Z264" s="180"/>
      <c r="AA264" s="180"/>
      <c r="AB264" s="316"/>
      <c r="AC264" s="316"/>
      <c r="AD264" s="316"/>
      <c r="AE264" s="316"/>
      <c r="AF264" s="316"/>
      <c r="AG264" s="316"/>
      <c r="AH264" s="316"/>
      <c r="AI264" s="316"/>
      <c r="AJ264" s="52">
        <f t="shared" si="67"/>
        <v>0</v>
      </c>
      <c r="AK264" s="30" t="str">
        <f>CONCATENATE(IF(D265&gt;D264," * No Screened for GBV "&amp;$D$20&amp;" "&amp;$D$21&amp;" is more than Clients Seen at CCC"&amp;CHAR(10),""),IF(E265&gt;E264," * No Screened For GBV "&amp;$D$20&amp;" "&amp;$E$21&amp;" is more than Clients Seen at CCC"&amp;CHAR(10),""),IF(F265&gt;F264," * No Screened For GBV "&amp;$F$20&amp;" "&amp;$F$21&amp;" is more than Clients Seen at CCC"&amp;CHAR(10),""),IF(G265&gt;G264," * No Screened For GBV "&amp;$F$20&amp;" "&amp;$G$21&amp;" is more than Clients Seen at CCC"&amp;CHAR(10),""),IF(H265&gt;H264," * No Screened For GBV "&amp;$H$20&amp;" "&amp;$H$21&amp;" is more than Clients Seen at CCC"&amp;CHAR(10),""),IF(I265&gt;I264," * No Screened For GBV "&amp;$H$20&amp;" "&amp;$I$21&amp;" is more than Clients Seen at CCC"&amp;CHAR(10),""),IF(J265&gt;J264," * No Screened For GBV "&amp;$J$20&amp;" "&amp;$J$21&amp;" is more than Clients Seen at CCC"&amp;CHAR(10),""),IF(K265&gt;K264," * No Screened For GBV "&amp;$J$20&amp;" "&amp;$K$21&amp;" is more than Clients Seen at CCC"&amp;CHAR(10),""),IF(L265&gt;L264," * No Screened For GBV "&amp;$L$20&amp;" "&amp;$L$21&amp;" is more than Clients Seen at CCC"&amp;CHAR(10),""),IF(M265&gt;M264," * No Screened For GBV "&amp;$L$20&amp;" "&amp;$M$21&amp;" is more than Clients Seen at CCC"&amp;CHAR(10),""),IF(N265&gt;N264," * No Screened For GBV "&amp;$N$20&amp;" "&amp;$N$21&amp;" is more than Clients Seen at CCC"&amp;CHAR(10),""),IF(O265&gt;O264," * No Screened For GBV "&amp;$N$20&amp;" "&amp;$O$21&amp;" is more than Clients Seen at CCC"&amp;CHAR(10),""),IF(P265&gt;P264," * No Screened For GBV "&amp;$P$20&amp;" "&amp;$P$21&amp;" is more than Clients Seen at CCC"&amp;CHAR(10),""),IF(Q265&gt;Q264," * No Screened For GBV "&amp;$P$20&amp;" "&amp;$Q$21&amp;" is more than Clients Seen at CCC"&amp;CHAR(10),""),IF(R265&gt;R264," * No Screened For GBV "&amp;$R$20&amp;" "&amp;$R$21&amp;" is more than Clients Seen at CCC"&amp;CHAR(10),""),IF(S265&gt;S264," * No Screened For GBV "&amp;$R$20&amp;" "&amp;$S$21&amp;" is more than Clients Seen at CCC"&amp;CHAR(10),""),IF(T265&gt;T264," * No Screened For GBV "&amp;$T$20&amp;" "&amp;$T$21&amp;" is more than Clients Seen at CCC"&amp;CHAR(10),""),IF(U265&gt;U264," * No Screened For GBV "&amp;$T$20&amp;" "&amp;$U$21&amp;" is more than Clients Seen at CCC"&amp;CHAR(10),""),IF(V265&gt;V264," * No Screened For GBV "&amp;$V$20&amp;" "&amp;$V$21&amp;" is more than Clients Seen at CCC"&amp;CHAR(10),""),IF(W265&gt;W264," * No Screened For GBV "&amp;$V$20&amp;" "&amp;$W$21&amp;" is more than Clients Seen at CCC"&amp;CHAR(10),""),IF(X265&gt;X264," * No Screened For GBV "&amp;$X$20&amp;" "&amp;$X$21&amp;" is more than Clients Seen at CCC"&amp;CHAR(10),""),IF(Y265&gt;Y264," * No Screened For GBV "&amp;$X$20&amp;" "&amp;$Y$21&amp;" is more than Clients Seen at CCC"&amp;CHAR(10),""),IF(Z265&gt;Z264," * No Screened For GBV "&amp;$Z$20&amp;" "&amp;$Z$21&amp;" is more than Clients Seen at CCC"&amp;CHAR(10),""),IF(AA265&gt;AA264," * No Screened For GBV "&amp;$Z$20&amp;" "&amp;$AA$21&amp;" is more than Clients Seen at CCC"&amp;CHAR(10),""))</f>
        <v/>
      </c>
      <c r="AL264" s="1284" t="str">
        <f>CONCATENATE(AK264,AK265,AK266,AK267,AK268,AK269,AK270,AK271,AK272)</f>
        <v/>
      </c>
      <c r="AM264" s="73"/>
      <c r="AN264" s="917"/>
      <c r="AO264" s="13">
        <v>160</v>
      </c>
      <c r="AP264" s="74"/>
      <c r="AQ264" s="75"/>
    </row>
    <row r="265" spans="1:43" ht="25.9" hidden="1" customHeight="1" x14ac:dyDescent="0.4">
      <c r="A265" s="1224"/>
      <c r="B265" s="167" t="s">
        <v>814</v>
      </c>
      <c r="C265" s="522" t="s">
        <v>794</v>
      </c>
      <c r="D265" s="168"/>
      <c r="E265" s="168"/>
      <c r="F265" s="168"/>
      <c r="G265" s="168"/>
      <c r="H265" s="168"/>
      <c r="I265" s="168"/>
      <c r="J265" s="168"/>
      <c r="K265" s="168"/>
      <c r="L265" s="168"/>
      <c r="M265" s="168"/>
      <c r="N265" s="168"/>
      <c r="O265" s="168"/>
      <c r="P265" s="168"/>
      <c r="Q265" s="168"/>
      <c r="R265" s="168"/>
      <c r="S265" s="168"/>
      <c r="T265" s="168"/>
      <c r="U265" s="168"/>
      <c r="V265" s="168"/>
      <c r="W265" s="168"/>
      <c r="X265" s="168"/>
      <c r="Y265" s="168"/>
      <c r="Z265" s="168"/>
      <c r="AA265" s="168"/>
      <c r="AB265" s="315"/>
      <c r="AC265" s="315"/>
      <c r="AD265" s="315"/>
      <c r="AE265" s="315"/>
      <c r="AF265" s="315"/>
      <c r="AG265" s="315"/>
      <c r="AH265" s="315"/>
      <c r="AI265" s="315"/>
      <c r="AJ265" s="52">
        <f t="shared" si="67"/>
        <v>0</v>
      </c>
      <c r="AK265" s="130"/>
      <c r="AL265" s="1285"/>
      <c r="AM265" s="31"/>
      <c r="AN265" s="917"/>
      <c r="AO265" s="13">
        <v>161</v>
      </c>
      <c r="AP265" s="74"/>
      <c r="AQ265" s="75"/>
    </row>
    <row r="266" spans="1:43" ht="25.9" hidden="1" customHeight="1" x14ac:dyDescent="0.4">
      <c r="A266" s="1224"/>
      <c r="B266" s="169" t="s">
        <v>822</v>
      </c>
      <c r="C266" s="522" t="s">
        <v>795</v>
      </c>
      <c r="D266" s="170">
        <f t="shared" ref="D266:AA266" si="69">D267+D269+D271+D272</f>
        <v>0</v>
      </c>
      <c r="E266" s="170">
        <f t="shared" si="69"/>
        <v>0</v>
      </c>
      <c r="F266" s="170">
        <f t="shared" si="69"/>
        <v>0</v>
      </c>
      <c r="G266" s="170">
        <f t="shared" si="69"/>
        <v>0</v>
      </c>
      <c r="H266" s="170">
        <f t="shared" si="69"/>
        <v>0</v>
      </c>
      <c r="I266" s="170">
        <f t="shared" si="69"/>
        <v>0</v>
      </c>
      <c r="J266" s="170">
        <f t="shared" si="69"/>
        <v>0</v>
      </c>
      <c r="K266" s="170">
        <f t="shared" si="69"/>
        <v>0</v>
      </c>
      <c r="L266" s="170">
        <f t="shared" si="69"/>
        <v>0</v>
      </c>
      <c r="M266" s="170">
        <f t="shared" si="69"/>
        <v>0</v>
      </c>
      <c r="N266" s="170">
        <f t="shared" si="69"/>
        <v>0</v>
      </c>
      <c r="O266" s="170">
        <f t="shared" si="69"/>
        <v>0</v>
      </c>
      <c r="P266" s="170">
        <f t="shared" si="69"/>
        <v>0</v>
      </c>
      <c r="Q266" s="170">
        <f t="shared" si="69"/>
        <v>0</v>
      </c>
      <c r="R266" s="170">
        <f t="shared" si="69"/>
        <v>0</v>
      </c>
      <c r="S266" s="170">
        <f t="shared" si="69"/>
        <v>0</v>
      </c>
      <c r="T266" s="170">
        <f t="shared" si="69"/>
        <v>0</v>
      </c>
      <c r="U266" s="170">
        <f t="shared" si="69"/>
        <v>0</v>
      </c>
      <c r="V266" s="170">
        <f t="shared" si="69"/>
        <v>0</v>
      </c>
      <c r="W266" s="170">
        <f t="shared" si="69"/>
        <v>0</v>
      </c>
      <c r="X266" s="170">
        <f t="shared" si="69"/>
        <v>0</v>
      </c>
      <c r="Y266" s="170">
        <f t="shared" si="69"/>
        <v>0</v>
      </c>
      <c r="Z266" s="170">
        <f t="shared" si="69"/>
        <v>0</v>
      </c>
      <c r="AA266" s="170">
        <f t="shared" si="69"/>
        <v>0</v>
      </c>
      <c r="AB266" s="314"/>
      <c r="AC266" s="314"/>
      <c r="AD266" s="314"/>
      <c r="AE266" s="314"/>
      <c r="AF266" s="314"/>
      <c r="AG266" s="314"/>
      <c r="AH266" s="314"/>
      <c r="AI266" s="314"/>
      <c r="AJ266" s="52">
        <f t="shared" si="67"/>
        <v>0</v>
      </c>
      <c r="AK266" s="130"/>
      <c r="AL266" s="1285"/>
      <c r="AM266" s="31"/>
      <c r="AN266" s="917"/>
      <c r="AO266" s="13">
        <v>162</v>
      </c>
      <c r="AP266" s="74"/>
      <c r="AQ266" s="75"/>
    </row>
    <row r="267" spans="1:43" ht="25.9" hidden="1" customHeight="1" x14ac:dyDescent="0.4">
      <c r="A267" s="1224"/>
      <c r="B267" s="167" t="s">
        <v>768</v>
      </c>
      <c r="C267" s="522" t="s">
        <v>796</v>
      </c>
      <c r="D267" s="172"/>
      <c r="E267" s="172"/>
      <c r="F267" s="172"/>
      <c r="G267" s="172"/>
      <c r="H267" s="172"/>
      <c r="I267" s="172"/>
      <c r="J267" s="172"/>
      <c r="K267" s="172"/>
      <c r="L267" s="172"/>
      <c r="M267" s="172"/>
      <c r="N267" s="172"/>
      <c r="O267" s="172"/>
      <c r="P267" s="172"/>
      <c r="Q267" s="172"/>
      <c r="R267" s="172"/>
      <c r="S267" s="172"/>
      <c r="T267" s="172"/>
      <c r="U267" s="172"/>
      <c r="V267" s="172"/>
      <c r="W267" s="172"/>
      <c r="X267" s="172"/>
      <c r="Y267" s="172"/>
      <c r="Z267" s="172"/>
      <c r="AA267" s="172"/>
      <c r="AB267" s="315"/>
      <c r="AC267" s="315"/>
      <c r="AD267" s="315"/>
      <c r="AE267" s="315"/>
      <c r="AF267" s="315"/>
      <c r="AG267" s="315"/>
      <c r="AH267" s="315"/>
      <c r="AI267" s="315"/>
      <c r="AJ267" s="52">
        <f t="shared" si="67"/>
        <v>0</v>
      </c>
      <c r="AK267" s="30" t="str">
        <f>CONCATENATE(IF(D268&gt;D267," * CCC Sexual Violence Initiated Pep "&amp;$D$20&amp;" "&amp;$D$21&amp;" is more than CCC Sexual Violence Rape Survivors"&amp;CHAR(10),""),IF(E268&gt;E267," * CCC Sexual Violence Initiated Pep "&amp;$D$20&amp;" "&amp;$E$21&amp;" is more than CCC Sexual Violence Rape Survivors"&amp;CHAR(10),""),IF(F268&gt;F267," * CCC Sexual Violence Initiated Pep "&amp;$F$20&amp;" "&amp;$F$21&amp;" is more than CCC Sexual Violence Rape Survivors"&amp;CHAR(10),""),IF(G268&gt;G267," * CCC Sexual Violence Initiated Pep "&amp;$F$20&amp;" "&amp;$G$21&amp;" is more than CCC Sexual Violence Rape Survivors"&amp;CHAR(10),""),IF(H268&gt;H267," * CCC Sexual Violence Initiated Pep "&amp;$H$20&amp;" "&amp;$H$21&amp;" is more than CCC Sexual Violence Rape Survivors"&amp;CHAR(10),""),IF(I268&gt;I267," * CCC Sexual Violence Initiated Pep "&amp;$H$20&amp;" "&amp;$I$21&amp;" is more than CCC Sexual Violence Rape Survivors"&amp;CHAR(10),""),IF(J268&gt;J267," * CCC Sexual Violence Initiated Pep "&amp;$J$20&amp;" "&amp;$J$21&amp;" is more than CCC Sexual Violence Rape Survivors"&amp;CHAR(10),""),IF(K268&gt;K267," * CCC Sexual Violence Initiated Pep "&amp;$J$20&amp;" "&amp;$K$21&amp;" is more than CCC Sexual Violence Rape Survivors"&amp;CHAR(10),""),IF(L268&gt;L267," * CCC Sexual Violence Initiated Pep "&amp;$L$20&amp;" "&amp;$L$21&amp;" is more than CCC Sexual Violence Rape Survivors"&amp;CHAR(10),""),IF(M268&gt;M267," * CCC Sexual Violence Initiated Pep "&amp;$L$20&amp;" "&amp;$M$21&amp;" is more than CCC Sexual Violence Rape Survivors"&amp;CHAR(10),""),IF(N268&gt;N267," * CCC Sexual Violence Initiated Pep "&amp;$N$20&amp;" "&amp;$N$21&amp;" is more than CCC Sexual Violence Rape Survivors"&amp;CHAR(10),""),IF(O268&gt;O267," * CCC Sexual Violence Initiated Pep "&amp;$N$20&amp;" "&amp;$O$21&amp;" is more than CCC Sexual Violence Rape Survivors"&amp;CHAR(10),""),IF(P268&gt;P267," * CCC Sexual Violence Initiated Pep "&amp;$P$20&amp;" "&amp;$P$21&amp;" is more than CCC Sexual Violence Rape Survivors"&amp;CHAR(10),""),IF(Q268&gt;Q267," * CCC Sexual Violence Initiated Pep "&amp;$P$20&amp;" "&amp;$Q$21&amp;" is more than CCC Sexual Violence Rape Survivors"&amp;CHAR(10),""),IF(R268&gt;R267," * CCC Sexual Violence Initiated Pep "&amp;$R$20&amp;" "&amp;$R$21&amp;" is more than CCC Sexual Violence Rape Survivors"&amp;CHAR(10),""),IF(S268&gt;S267," * CCC Sexual Violence Initiated Pep "&amp;$R$20&amp;" "&amp;$S$21&amp;" is more than CCC Sexual Violence Rape Survivors"&amp;CHAR(10),""),IF(T268&gt;T267," * CCC Sexual Violence Initiated Pep "&amp;$T$20&amp;" "&amp;$T$21&amp;" is more than CCC Sexual Violence Rape Survivors"&amp;CHAR(10),""),IF(U268&gt;U267," * CCC Sexual Violence Initiated Pep "&amp;$T$20&amp;" "&amp;$U$21&amp;" is more than CCC Sexual Violence Rape Survivors"&amp;CHAR(10),""),IF(V268&gt;V267," * CCC Sexual Violence Initiated Pep "&amp;$V$20&amp;" "&amp;$V$21&amp;" is more than CCC Sexual Violence Rape Survivors"&amp;CHAR(10),""),IF(W268&gt;W267," * CCC Sexual Violence Initiated Pep "&amp;$V$20&amp;" "&amp;$W$21&amp;" is more than CCC Sexual Violence Rape Survivors"&amp;CHAR(10),""),IF(X268&gt;X267," * CCC Sexual Violence Initiated Pep "&amp;$X$20&amp;" "&amp;$X$21&amp;" is more than CCC Sexual Violence Rape Survivors"&amp;CHAR(10),""),IF(Y268&gt;Y267," * CCC Sexual Violence Initiated Pep "&amp;$X$20&amp;" "&amp;$Y$21&amp;" is more than CCC Sexual Violence Rape Survivors"&amp;CHAR(10),""),IF(Z268&gt;Z267," * CCC Sexual Violence Initiated Pep "&amp;$Z$20&amp;" "&amp;$Z$21&amp;" is more than CCC Sexual Violence Rape Survivors"&amp;CHAR(10),""),IF(AA268&gt;AA267," * CCC Sexual Violence Initiated Pep "&amp;$Z$20&amp;" "&amp;$AA$21&amp;" is more than CCC Sexual Violence Rape Survivors"&amp;CHAR(10),""))</f>
        <v/>
      </c>
      <c r="AL267" s="1285"/>
      <c r="AM267" s="31"/>
      <c r="AN267" s="917"/>
      <c r="AO267" s="13">
        <v>163</v>
      </c>
      <c r="AP267" s="74"/>
      <c r="AQ267" s="75"/>
    </row>
    <row r="268" spans="1:43" ht="26.25" hidden="1" x14ac:dyDescent="0.4">
      <c r="A268" s="1224"/>
      <c r="B268" s="167" t="s">
        <v>769</v>
      </c>
      <c r="C268" s="522" t="s">
        <v>797</v>
      </c>
      <c r="D268" s="173"/>
      <c r="E268" s="173"/>
      <c r="F268" s="173"/>
      <c r="G268" s="173"/>
      <c r="H268" s="173"/>
      <c r="I268" s="173"/>
      <c r="J268" s="173"/>
      <c r="K268" s="173"/>
      <c r="L268" s="173"/>
      <c r="M268" s="173"/>
      <c r="N268" s="173"/>
      <c r="O268" s="173"/>
      <c r="P268" s="173"/>
      <c r="Q268" s="173"/>
      <c r="R268" s="173"/>
      <c r="S268" s="173"/>
      <c r="T268" s="173"/>
      <c r="U268" s="173"/>
      <c r="V268" s="173"/>
      <c r="W268" s="173"/>
      <c r="X268" s="173"/>
      <c r="Y268" s="173"/>
      <c r="Z268" s="173"/>
      <c r="AA268" s="173"/>
      <c r="AB268" s="315"/>
      <c r="AC268" s="315"/>
      <c r="AD268" s="315"/>
      <c r="AE268" s="315"/>
      <c r="AF268" s="315"/>
      <c r="AG268" s="315"/>
      <c r="AH268" s="315"/>
      <c r="AI268" s="315"/>
      <c r="AJ268" s="52">
        <f t="shared" si="67"/>
        <v>0</v>
      </c>
      <c r="AK268" s="130"/>
      <c r="AL268" s="1285"/>
      <c r="AM268" s="31"/>
      <c r="AN268" s="917"/>
      <c r="AO268" s="13">
        <v>164</v>
      </c>
      <c r="AP268" s="74"/>
      <c r="AQ268" s="75"/>
    </row>
    <row r="269" spans="1:43" ht="26.25" hidden="1" x14ac:dyDescent="0.4">
      <c r="A269" s="1224"/>
      <c r="B269" s="167" t="s">
        <v>770</v>
      </c>
      <c r="C269" s="522" t="s">
        <v>798</v>
      </c>
      <c r="D269" s="172"/>
      <c r="E269" s="172"/>
      <c r="F269" s="172"/>
      <c r="G269" s="172"/>
      <c r="H269" s="172"/>
      <c r="I269" s="172"/>
      <c r="J269" s="172"/>
      <c r="K269" s="172"/>
      <c r="L269" s="172"/>
      <c r="M269" s="172"/>
      <c r="N269" s="172"/>
      <c r="O269" s="172"/>
      <c r="P269" s="172"/>
      <c r="Q269" s="172"/>
      <c r="R269" s="172"/>
      <c r="S269" s="172"/>
      <c r="T269" s="172"/>
      <c r="U269" s="172"/>
      <c r="V269" s="172"/>
      <c r="W269" s="172"/>
      <c r="X269" s="172"/>
      <c r="Y269" s="172"/>
      <c r="Z269" s="172"/>
      <c r="AA269" s="172"/>
      <c r="AB269" s="315"/>
      <c r="AC269" s="315"/>
      <c r="AD269" s="315"/>
      <c r="AE269" s="315"/>
      <c r="AF269" s="315"/>
      <c r="AG269" s="315"/>
      <c r="AH269" s="315"/>
      <c r="AI269" s="315"/>
      <c r="AJ269" s="52">
        <f t="shared" si="67"/>
        <v>0</v>
      </c>
      <c r="AK269" s="30" t="str">
        <f>CONCATENATE(IF(D270&gt;D269," * CCC  Physical Violence Initiated Pep "&amp;$D$20&amp;" "&amp;$D$21&amp;" is more than CCC Physical Violence Rape Survivors"&amp;CHAR(10),""),IF(E270&gt;E269," * CCC  Physical Violence Initiated Pep "&amp;$D$20&amp;" "&amp;$E$21&amp;" is more than CCC Physical Violence Rape Survivors"&amp;CHAR(10),""),IF(F270&gt;F269," * CCC  Physical Violence Initiated Pep "&amp;$F$20&amp;" "&amp;$F$21&amp;" is more than CCC Physical Violence Rape Survivors"&amp;CHAR(10),""),IF(G270&gt;G269," * CCC  Physical Violence Initiated Pep "&amp;$F$20&amp;" "&amp;$G$21&amp;" is more than CCC Physical Violence Rape Survivors"&amp;CHAR(10),""),IF(H270&gt;H269," * CCC  Physical Violence Initiated Pep "&amp;$H$20&amp;" "&amp;$H$21&amp;" is more than CCC Physical Violence Rape Survivors"&amp;CHAR(10),""),IF(I270&gt;I269," * CCC  Physical Violence Initiated Pep "&amp;$H$20&amp;" "&amp;$I$21&amp;" is more than CCC Physical Violence Rape Survivors"&amp;CHAR(10),""),IF(J270&gt;J269," * CCC  Physical Violence Initiated Pep "&amp;$J$20&amp;" "&amp;$J$21&amp;" is more than CCC Physical Violence Rape Survivors"&amp;CHAR(10),""),IF(K270&gt;K269," * CCC  Physical Violence Initiated Pep "&amp;$J$20&amp;" "&amp;$K$21&amp;" is more than CCC Physical Violence Rape Survivors"&amp;CHAR(10),""),IF(L270&gt;L269," * CCC  Physical Violence Initiated Pep "&amp;$L$20&amp;" "&amp;$L$21&amp;" is more than CCC Physical Violence Rape Survivors"&amp;CHAR(10),""),IF(M270&gt;M269," * CCC  Physical Violence Initiated Pep "&amp;$L$20&amp;" "&amp;$M$21&amp;" is more than CCC Physical Violence Rape Survivors"&amp;CHAR(10),""),IF(N270&gt;N269," * CCC  Physical Violence Initiated Pep "&amp;$N$20&amp;" "&amp;$N$21&amp;" is more than CCC Physical Violence Rape Survivors"&amp;CHAR(10),""),IF(O270&gt;O269," * CCC  Physical Violence Initiated Pep "&amp;$N$20&amp;" "&amp;$O$21&amp;" is more than CCC Physical Violence Rape Survivors"&amp;CHAR(10),""),IF(P270&gt;P269," * CCC  Physical Violence Initiated Pep "&amp;$P$20&amp;" "&amp;$P$21&amp;" is more than CCC Physical Violence Rape Survivors"&amp;CHAR(10),""),IF(Q270&gt;Q269," * CCC  Physical Violence Initiated Pep "&amp;$P$20&amp;" "&amp;$Q$21&amp;" is more than CCC Physical Violence Rape Survivors"&amp;CHAR(10),""),IF(R270&gt;R269," * CCC  Physical Violence Initiated Pep "&amp;$R$20&amp;" "&amp;$R$21&amp;" is more than CCC Physical Violence Rape Survivors"&amp;CHAR(10),""),IF(S270&gt;S269," * CCC  Physical Violence Initiated Pep "&amp;$R$20&amp;" "&amp;$S$21&amp;" is more than CCC Physical Violence Rape Survivors"&amp;CHAR(10),""),IF(T270&gt;T269," * CCC  Physical Violence Initiated Pep "&amp;$T$20&amp;" "&amp;$T$21&amp;" is more than CCC Physical Violence Rape Survivors"&amp;CHAR(10),""),IF(U270&gt;U269," * CCC  Physical Violence Initiated Pep "&amp;$T$20&amp;" "&amp;$U$21&amp;" is more than CCC Physical Violence Rape Survivors"&amp;CHAR(10),""),IF(V270&gt;V269," * CCC  Physical Violence Initiated Pep "&amp;$V$20&amp;" "&amp;$V$21&amp;" is more than CCC Physical Violence Rape Survivors"&amp;CHAR(10),""),IF(W270&gt;W269," * CCC  Physical Violence Initiated Pep "&amp;$V$20&amp;" "&amp;$W$21&amp;" is more than CCC Physical Violence Rape Survivors"&amp;CHAR(10),""),IF(X270&gt;X269," * CCC  Physical Violence Initiated Pep "&amp;$X$20&amp;" "&amp;$X$21&amp;" is more than CCC Physical Violence Rape Survivors"&amp;CHAR(10),""),IF(Y270&gt;Y269," * CCC  Physical Violence Initiated Pep "&amp;$X$20&amp;" "&amp;$Y$21&amp;" is more than CCC Physical Violence Rape Survivors"&amp;CHAR(10),""),IF(Z270&gt;Z269," * CCC  Physical Violence Initiated Pep "&amp;$Z$20&amp;" "&amp;$Z$21&amp;" is more than CCC Physical Violence Rape Survivors"&amp;CHAR(10),""),IF(AA270&gt;AA269," * CCC  Physical Violence Initiated Pep "&amp;$Z$20&amp;" "&amp;$AA$21&amp;" is more than CCC Physical Violence Rape Survivors"&amp;CHAR(10),""))</f>
        <v/>
      </c>
      <c r="AL269" s="1285"/>
      <c r="AM269" s="31"/>
      <c r="AN269" s="917"/>
      <c r="AO269" s="13">
        <v>165</v>
      </c>
      <c r="AP269" s="74"/>
      <c r="AQ269" s="75"/>
    </row>
    <row r="270" spans="1:43" ht="26.25" hidden="1" x14ac:dyDescent="0.4">
      <c r="A270" s="1224"/>
      <c r="B270" s="167" t="s">
        <v>771</v>
      </c>
      <c r="C270" s="522" t="s">
        <v>799</v>
      </c>
      <c r="D270" s="173"/>
      <c r="E270" s="173"/>
      <c r="F270" s="173"/>
      <c r="G270" s="173"/>
      <c r="H270" s="173"/>
      <c r="I270" s="173"/>
      <c r="J270" s="173"/>
      <c r="K270" s="173"/>
      <c r="L270" s="173"/>
      <c r="M270" s="173"/>
      <c r="N270" s="173"/>
      <c r="O270" s="173"/>
      <c r="P270" s="173"/>
      <c r="Q270" s="173"/>
      <c r="R270" s="173"/>
      <c r="S270" s="173"/>
      <c r="T270" s="173"/>
      <c r="U270" s="173"/>
      <c r="V270" s="173"/>
      <c r="W270" s="173"/>
      <c r="X270" s="173"/>
      <c r="Y270" s="173"/>
      <c r="Z270" s="173"/>
      <c r="AA270" s="173"/>
      <c r="AB270" s="315"/>
      <c r="AC270" s="315"/>
      <c r="AD270" s="315"/>
      <c r="AE270" s="315"/>
      <c r="AF270" s="315"/>
      <c r="AG270" s="315"/>
      <c r="AH270" s="315"/>
      <c r="AI270" s="315"/>
      <c r="AJ270" s="52">
        <f t="shared" si="67"/>
        <v>0</v>
      </c>
      <c r="AK270" s="130"/>
      <c r="AL270" s="1285"/>
      <c r="AM270" s="31"/>
      <c r="AN270" s="917"/>
      <c r="AO270" s="13">
        <v>166</v>
      </c>
      <c r="AP270" s="74"/>
      <c r="AQ270" s="75"/>
    </row>
    <row r="271" spans="1:43" ht="26.25" hidden="1" x14ac:dyDescent="0.4">
      <c r="A271" s="1224"/>
      <c r="B271" s="167" t="s">
        <v>772</v>
      </c>
      <c r="C271" s="522" t="s">
        <v>800</v>
      </c>
      <c r="D271" s="174"/>
      <c r="E271" s="173"/>
      <c r="F271" s="173"/>
      <c r="G271" s="173"/>
      <c r="H271" s="173"/>
      <c r="I271" s="173"/>
      <c r="J271" s="173"/>
      <c r="K271" s="173"/>
      <c r="L271" s="173"/>
      <c r="M271" s="173"/>
      <c r="N271" s="173"/>
      <c r="O271" s="173"/>
      <c r="P271" s="173"/>
      <c r="Q271" s="173"/>
      <c r="R271" s="173"/>
      <c r="S271" s="173"/>
      <c r="T271" s="173"/>
      <c r="U271" s="173"/>
      <c r="V271" s="173"/>
      <c r="W271" s="173"/>
      <c r="X271" s="173"/>
      <c r="Y271" s="173"/>
      <c r="Z271" s="173"/>
      <c r="AA271" s="175"/>
      <c r="AB271" s="315"/>
      <c r="AC271" s="315"/>
      <c r="AD271" s="315"/>
      <c r="AE271" s="315"/>
      <c r="AF271" s="315"/>
      <c r="AG271" s="315"/>
      <c r="AH271" s="315"/>
      <c r="AI271" s="315"/>
      <c r="AJ271" s="52">
        <f t="shared" si="67"/>
        <v>0</v>
      </c>
      <c r="AK271" s="130"/>
      <c r="AL271" s="1285"/>
      <c r="AM271" s="31"/>
      <c r="AN271" s="917"/>
      <c r="AO271" s="13">
        <v>167</v>
      </c>
      <c r="AP271" s="74"/>
      <c r="AQ271" s="75"/>
    </row>
    <row r="272" spans="1:43" ht="27" hidden="1" thickBot="1" x14ac:dyDescent="0.45">
      <c r="A272" s="1225"/>
      <c r="B272" s="176" t="s">
        <v>807</v>
      </c>
      <c r="C272" s="523" t="s">
        <v>801</v>
      </c>
      <c r="D272" s="177"/>
      <c r="E272" s="178"/>
      <c r="F272" s="178"/>
      <c r="G272" s="178"/>
      <c r="H272" s="178"/>
      <c r="I272" s="178"/>
      <c r="J272" s="178"/>
      <c r="K272" s="178"/>
      <c r="L272" s="178"/>
      <c r="M272" s="178"/>
      <c r="N272" s="178"/>
      <c r="O272" s="178"/>
      <c r="P272" s="178"/>
      <c r="Q272" s="178"/>
      <c r="R272" s="178"/>
      <c r="S272" s="178"/>
      <c r="T272" s="178"/>
      <c r="U272" s="178"/>
      <c r="V272" s="178"/>
      <c r="W272" s="178"/>
      <c r="X272" s="178"/>
      <c r="Y272" s="178"/>
      <c r="Z272" s="178"/>
      <c r="AA272" s="179"/>
      <c r="AB272" s="315"/>
      <c r="AC272" s="315"/>
      <c r="AD272" s="315"/>
      <c r="AE272" s="315"/>
      <c r="AF272" s="315"/>
      <c r="AG272" s="315"/>
      <c r="AH272" s="315"/>
      <c r="AI272" s="315"/>
      <c r="AJ272" s="52">
        <f t="shared" si="67"/>
        <v>0</v>
      </c>
      <c r="AK272" s="130"/>
      <c r="AL272" s="1286"/>
      <c r="AM272" s="73"/>
      <c r="AN272" s="917"/>
      <c r="AO272" s="13">
        <v>168</v>
      </c>
      <c r="AP272" s="74"/>
      <c r="AQ272" s="75"/>
    </row>
    <row r="273" spans="1:43" ht="26.25" hidden="1" x14ac:dyDescent="0.4">
      <c r="A273" s="1223" t="s">
        <v>775</v>
      </c>
      <c r="B273" s="165" t="s">
        <v>820</v>
      </c>
      <c r="C273" s="524" t="s">
        <v>802</v>
      </c>
      <c r="D273" s="166">
        <f t="shared" ref="D273:AA273" si="70">D15</f>
        <v>0</v>
      </c>
      <c r="E273" s="166">
        <f t="shared" si="70"/>
        <v>0</v>
      </c>
      <c r="F273" s="166">
        <f t="shared" si="70"/>
        <v>0</v>
      </c>
      <c r="G273" s="166">
        <f t="shared" si="70"/>
        <v>0</v>
      </c>
      <c r="H273" s="166">
        <f t="shared" si="70"/>
        <v>0</v>
      </c>
      <c r="I273" s="166">
        <f t="shared" si="70"/>
        <v>0</v>
      </c>
      <c r="J273" s="166">
        <f t="shared" si="70"/>
        <v>0</v>
      </c>
      <c r="K273" s="166">
        <f t="shared" si="70"/>
        <v>0</v>
      </c>
      <c r="L273" s="166">
        <f t="shared" si="70"/>
        <v>0</v>
      </c>
      <c r="M273" s="166">
        <f t="shared" si="70"/>
        <v>0</v>
      </c>
      <c r="N273" s="166">
        <f t="shared" si="70"/>
        <v>0</v>
      </c>
      <c r="O273" s="166">
        <f t="shared" si="70"/>
        <v>0</v>
      </c>
      <c r="P273" s="166">
        <f t="shared" si="70"/>
        <v>0</v>
      </c>
      <c r="Q273" s="166">
        <f t="shared" si="70"/>
        <v>0</v>
      </c>
      <c r="R273" s="166">
        <f t="shared" si="70"/>
        <v>0</v>
      </c>
      <c r="S273" s="166">
        <f t="shared" si="70"/>
        <v>0</v>
      </c>
      <c r="T273" s="166">
        <f t="shared" si="70"/>
        <v>0</v>
      </c>
      <c r="U273" s="166">
        <f t="shared" si="70"/>
        <v>0</v>
      </c>
      <c r="V273" s="166">
        <f t="shared" si="70"/>
        <v>0</v>
      </c>
      <c r="W273" s="166">
        <f t="shared" si="70"/>
        <v>0</v>
      </c>
      <c r="X273" s="166">
        <f t="shared" si="70"/>
        <v>0</v>
      </c>
      <c r="Y273" s="166">
        <f t="shared" si="70"/>
        <v>0</v>
      </c>
      <c r="Z273" s="166">
        <f t="shared" si="70"/>
        <v>0</v>
      </c>
      <c r="AA273" s="166">
        <f t="shared" si="70"/>
        <v>0</v>
      </c>
      <c r="AB273" s="317"/>
      <c r="AC273" s="317"/>
      <c r="AD273" s="317"/>
      <c r="AE273" s="317"/>
      <c r="AF273" s="317"/>
      <c r="AG273" s="317"/>
      <c r="AH273" s="317"/>
      <c r="AI273" s="317"/>
      <c r="AJ273" s="52">
        <f t="shared" si="67"/>
        <v>0</v>
      </c>
      <c r="AK273" s="30" t="str">
        <f>CONCATENATE(IF(D274&gt;D273," * No Screened for GBV "&amp;$D$20&amp;" "&amp;$D$21&amp;" is more than Clients Seen at MCH"&amp;CHAR(10),""),IF(E274&gt;E273," * No Screened For GBV "&amp;$D$20&amp;" "&amp;$E$21&amp;" is more than Clients Seen at MCH"&amp;CHAR(10),""),IF(F274&gt;F273," * No Screened For GBV "&amp;$F$20&amp;" "&amp;$F$21&amp;" is more than Clients Seen at MCH"&amp;CHAR(10),""),IF(G274&gt;G273," * No Screened For GBV "&amp;$F$20&amp;" "&amp;$G$21&amp;" is more than Clients Seen at MCH"&amp;CHAR(10),""),IF(H274&gt;H273," * No Screened For GBV "&amp;$H$20&amp;" "&amp;$H$21&amp;" is more than Clients Seen at MCH"&amp;CHAR(10),""),IF(I274&gt;I273," * No Screened For GBV "&amp;$H$20&amp;" "&amp;$I$21&amp;" is more than Clients Seen at MCH"&amp;CHAR(10),""),IF(J274&gt;J273," * No Screened For GBV "&amp;$J$20&amp;" "&amp;$J$21&amp;" is more than Clients Seen at MCH"&amp;CHAR(10),""),IF(K274&gt;K273," * No Screened For GBV "&amp;$J$20&amp;" "&amp;$K$21&amp;" is more than Clients Seen at MCH"&amp;CHAR(10),""),IF(L274&gt;L273," * No Screened For GBV "&amp;$L$20&amp;" "&amp;$L$21&amp;" is more than Clients Seen at MCH"&amp;CHAR(10),""),IF(M274&gt;M273," * No Screened For GBV "&amp;$L$20&amp;" "&amp;$M$21&amp;" is more than Clients Seen at MCH"&amp;CHAR(10),""),IF(N274&gt;N273," * No Screened For GBV "&amp;$N$20&amp;" "&amp;$N$21&amp;" is more than Clients Seen at MCH"&amp;CHAR(10),""),IF(O274&gt;O273," * No Screened For GBV "&amp;$N$20&amp;" "&amp;$O$21&amp;" is more than Clients Seen at MCH"&amp;CHAR(10),""),IF(P274&gt;P273," * No Screened For GBV "&amp;$P$20&amp;" "&amp;$P$21&amp;" is more than Clients Seen at MCH"&amp;CHAR(10),""),IF(Q274&gt;Q273," * No Screened For GBV "&amp;$P$20&amp;" "&amp;$Q$21&amp;" is more than Clients Seen at MCH"&amp;CHAR(10),""),IF(R274&gt;R273," * No Screened For GBV "&amp;$R$20&amp;" "&amp;$R$21&amp;" is more than Clients Seen at MCH"&amp;CHAR(10),""),IF(S274&gt;S273," * No Screened For GBV "&amp;$R$20&amp;" "&amp;$S$21&amp;" is more than Clients Seen at MCH"&amp;CHAR(10),""),IF(T274&gt;T273," * No Screened For GBV "&amp;$T$20&amp;" "&amp;$T$21&amp;" is more than Clients Seen at MCH"&amp;CHAR(10),""),IF(U274&gt;U273," * No Screened For GBV "&amp;$T$20&amp;" "&amp;$U$21&amp;" is more than Clients Seen at MCH"&amp;CHAR(10),""),IF(V274&gt;V273," * No Screened For GBV "&amp;$V$20&amp;" "&amp;$V$21&amp;" is more than Clients Seen at MCH"&amp;CHAR(10),""),IF(W274&gt;W273," * No Screened For GBV "&amp;$V$20&amp;" "&amp;$W$21&amp;" is more than Clients Seen at MCH"&amp;CHAR(10),""),IF(X274&gt;X273," * No Screened For GBV "&amp;$X$20&amp;" "&amp;$X$21&amp;" is more than Clients Seen at MCH"&amp;CHAR(10),""),IF(Y274&gt;Y273," * No Screened For GBV "&amp;$X$20&amp;" "&amp;$Y$21&amp;" is more than Clients Seen at MCH"&amp;CHAR(10),""),IF(Z274&gt;Z273," * No Screened For GBV "&amp;$Z$20&amp;" "&amp;$Z$21&amp;" is more than Clients Seen at MCH"&amp;CHAR(10),""),IF(AA274&gt;AA273," * No Screened For GBV "&amp;$Z$20&amp;" "&amp;$AA$21&amp;" is more than Clients Seen at MCH"&amp;CHAR(10),""))</f>
        <v/>
      </c>
      <c r="AL273" s="1284" t="str">
        <f>CONCATENATE(AK273,AK274,AK275,AK276,AK277,AK278,AK279,AK280,AK281)</f>
        <v/>
      </c>
      <c r="AM273" s="73"/>
      <c r="AN273" s="917"/>
      <c r="AO273" s="13">
        <v>169</v>
      </c>
      <c r="AP273" s="74"/>
      <c r="AQ273" s="75"/>
    </row>
    <row r="274" spans="1:43" ht="26.25" hidden="1" x14ac:dyDescent="0.4">
      <c r="A274" s="1224"/>
      <c r="B274" s="167" t="s">
        <v>815</v>
      </c>
      <c r="C274" s="522" t="s">
        <v>803</v>
      </c>
      <c r="D274" s="168"/>
      <c r="E274" s="168"/>
      <c r="F274" s="168"/>
      <c r="G274" s="168"/>
      <c r="H274" s="168"/>
      <c r="I274" s="168"/>
      <c r="J274" s="168"/>
      <c r="K274" s="168"/>
      <c r="L274" s="168"/>
      <c r="M274" s="168"/>
      <c r="N274" s="168"/>
      <c r="O274" s="168"/>
      <c r="P274" s="168"/>
      <c r="Q274" s="168"/>
      <c r="R274" s="168"/>
      <c r="S274" s="168"/>
      <c r="T274" s="168"/>
      <c r="U274" s="168"/>
      <c r="V274" s="168"/>
      <c r="W274" s="168"/>
      <c r="X274" s="168"/>
      <c r="Y274" s="168"/>
      <c r="Z274" s="168"/>
      <c r="AA274" s="168"/>
      <c r="AB274" s="315"/>
      <c r="AC274" s="315"/>
      <c r="AD274" s="315"/>
      <c r="AE274" s="315"/>
      <c r="AF274" s="315"/>
      <c r="AG274" s="315"/>
      <c r="AH274" s="315"/>
      <c r="AI274" s="315"/>
      <c r="AJ274" s="52">
        <f t="shared" si="67"/>
        <v>0</v>
      </c>
      <c r="AK274" s="130"/>
      <c r="AL274" s="1285"/>
      <c r="AM274" s="31"/>
      <c r="AN274" s="917"/>
      <c r="AO274" s="13">
        <v>170</v>
      </c>
      <c r="AP274" s="74"/>
      <c r="AQ274" s="75"/>
    </row>
    <row r="275" spans="1:43" ht="26.25" hidden="1" x14ac:dyDescent="0.4">
      <c r="A275" s="1224"/>
      <c r="B275" s="169" t="s">
        <v>823</v>
      </c>
      <c r="C275" s="522" t="s">
        <v>804</v>
      </c>
      <c r="D275" s="170">
        <f t="shared" ref="D275:AA275" si="71">D276+D278+D280+D281</f>
        <v>0</v>
      </c>
      <c r="E275" s="170">
        <f t="shared" si="71"/>
        <v>0</v>
      </c>
      <c r="F275" s="170">
        <f t="shared" si="71"/>
        <v>0</v>
      </c>
      <c r="G275" s="170">
        <f t="shared" si="71"/>
        <v>0</v>
      </c>
      <c r="H275" s="170">
        <f t="shared" si="71"/>
        <v>0</v>
      </c>
      <c r="I275" s="170">
        <f t="shared" si="71"/>
        <v>0</v>
      </c>
      <c r="J275" s="170">
        <f t="shared" si="71"/>
        <v>0</v>
      </c>
      <c r="K275" s="170">
        <f t="shared" si="71"/>
        <v>0</v>
      </c>
      <c r="L275" s="170">
        <f t="shared" si="71"/>
        <v>0</v>
      </c>
      <c r="M275" s="170">
        <f t="shared" si="71"/>
        <v>0</v>
      </c>
      <c r="N275" s="170">
        <f t="shared" si="71"/>
        <v>0</v>
      </c>
      <c r="O275" s="170">
        <f t="shared" si="71"/>
        <v>0</v>
      </c>
      <c r="P275" s="170">
        <f t="shared" si="71"/>
        <v>0</v>
      </c>
      <c r="Q275" s="170">
        <f t="shared" si="71"/>
        <v>0</v>
      </c>
      <c r="R275" s="170">
        <f t="shared" si="71"/>
        <v>0</v>
      </c>
      <c r="S275" s="170">
        <f t="shared" si="71"/>
        <v>0</v>
      </c>
      <c r="T275" s="170">
        <f t="shared" si="71"/>
        <v>0</v>
      </c>
      <c r="U275" s="170">
        <f t="shared" si="71"/>
        <v>0</v>
      </c>
      <c r="V275" s="170">
        <f t="shared" si="71"/>
        <v>0</v>
      </c>
      <c r="W275" s="170">
        <f t="shared" si="71"/>
        <v>0</v>
      </c>
      <c r="X275" s="170">
        <f t="shared" si="71"/>
        <v>0</v>
      </c>
      <c r="Y275" s="170">
        <f t="shared" si="71"/>
        <v>0</v>
      </c>
      <c r="Z275" s="170">
        <f t="shared" si="71"/>
        <v>0</v>
      </c>
      <c r="AA275" s="170">
        <f t="shared" si="71"/>
        <v>0</v>
      </c>
      <c r="AB275" s="314"/>
      <c r="AC275" s="314"/>
      <c r="AD275" s="314"/>
      <c r="AE275" s="314"/>
      <c r="AF275" s="314"/>
      <c r="AG275" s="314"/>
      <c r="AH275" s="314"/>
      <c r="AI275" s="314"/>
      <c r="AJ275" s="52">
        <f t="shared" si="67"/>
        <v>0</v>
      </c>
      <c r="AK275" s="130"/>
      <c r="AL275" s="1285"/>
      <c r="AM275" s="31"/>
      <c r="AN275" s="917"/>
      <c r="AO275" s="13">
        <v>171</v>
      </c>
      <c r="AP275" s="74"/>
      <c r="AQ275" s="75"/>
    </row>
    <row r="276" spans="1:43" ht="26.25" hidden="1" x14ac:dyDescent="0.4">
      <c r="A276" s="1224"/>
      <c r="B276" s="167" t="s">
        <v>768</v>
      </c>
      <c r="C276" s="522" t="s">
        <v>805</v>
      </c>
      <c r="D276" s="172"/>
      <c r="E276" s="172"/>
      <c r="F276" s="172"/>
      <c r="G276" s="172"/>
      <c r="H276" s="172"/>
      <c r="I276" s="172"/>
      <c r="J276" s="172"/>
      <c r="K276" s="172"/>
      <c r="L276" s="172"/>
      <c r="M276" s="172"/>
      <c r="N276" s="172"/>
      <c r="O276" s="172"/>
      <c r="P276" s="172"/>
      <c r="Q276" s="172"/>
      <c r="R276" s="172"/>
      <c r="S276" s="172"/>
      <c r="T276" s="172"/>
      <c r="U276" s="172"/>
      <c r="V276" s="172"/>
      <c r="W276" s="172"/>
      <c r="X276" s="172"/>
      <c r="Y276" s="172"/>
      <c r="Z276" s="172"/>
      <c r="AA276" s="172"/>
      <c r="AB276" s="315"/>
      <c r="AC276" s="315"/>
      <c r="AD276" s="315"/>
      <c r="AE276" s="315"/>
      <c r="AF276" s="315"/>
      <c r="AG276" s="315"/>
      <c r="AH276" s="315"/>
      <c r="AI276" s="315"/>
      <c r="AJ276" s="52">
        <f t="shared" si="67"/>
        <v>0</v>
      </c>
      <c r="AK276" s="30" t="str">
        <f>CONCATENATE(IF(D277&gt;D276," * OPD Sexual Violence Initiated Pep "&amp;$D$20&amp;" "&amp;$D$21&amp;" is more than OPD Sexual Violence Rape Survivors"&amp;CHAR(10),""),IF(E277&gt;E276," * OPD Sexual Violence Initiated Pep "&amp;$D$20&amp;" "&amp;$E$21&amp;" is more than OPD Sexual Violence Rape Survivors"&amp;CHAR(10),""),IF(F277&gt;F276," * OPD Sexual Violence Initiated Pep "&amp;$F$20&amp;" "&amp;$F$21&amp;" is more than OPD Sexual Violence Rape Survivors"&amp;CHAR(10),""),IF(G277&gt;G276," * OPD Sexual Violence Initiated Pep "&amp;$F$20&amp;" "&amp;$G$21&amp;" is more than OPD Sexual Violence Rape Survivors"&amp;CHAR(10),""),IF(H277&gt;H276," * OPD Sexual Violence Initiated Pep "&amp;$H$20&amp;" "&amp;$H$21&amp;" is more than OPD Sexual Violence Rape Survivors"&amp;CHAR(10),""),IF(I277&gt;I276," * OPD Sexual Violence Initiated Pep "&amp;$H$20&amp;" "&amp;$I$21&amp;" is more than OPD Sexual Violence Rape Survivors"&amp;CHAR(10),""),IF(J277&gt;J276," * OPD Sexual Violence Initiated Pep "&amp;$J$20&amp;" "&amp;$J$21&amp;" is more than OPD Sexual Violence Rape Survivors"&amp;CHAR(10),""),IF(K277&gt;K276," * OPD Sexual Violence Initiated Pep "&amp;$J$20&amp;" "&amp;$K$21&amp;" is more than OPD Sexual Violence Rape Survivors"&amp;CHAR(10),""),IF(L277&gt;L276," * OPD Sexual Violence Initiated Pep "&amp;$L$20&amp;" "&amp;$L$21&amp;" is more than OPD Sexual Violence Rape Survivors"&amp;CHAR(10),""),IF(M277&gt;M276," * OPD Sexual Violence Initiated Pep "&amp;$L$20&amp;" "&amp;$M$21&amp;" is more than OPD Sexual Violence Rape Survivors"&amp;CHAR(10),""),IF(N277&gt;N276," * OPD Sexual Violence Initiated Pep "&amp;$N$20&amp;" "&amp;$N$21&amp;" is more than OPD Sexual Violence Rape Survivors"&amp;CHAR(10),""),IF(O277&gt;O276," * OPD Sexual Violence Initiated Pep "&amp;$N$20&amp;" "&amp;$O$21&amp;" is more than OPD Sexual Violence Rape Survivors"&amp;CHAR(10),""),IF(P277&gt;P276," * OPD Sexual Violence Initiated Pep "&amp;$P$20&amp;" "&amp;$P$21&amp;" is more than OPD Sexual Violence Rape Survivors"&amp;CHAR(10),""),IF(Q277&gt;Q276," * OPD Sexual Violence Initiated Pep "&amp;$P$20&amp;" "&amp;$Q$21&amp;" is more than OPD Sexual Violence Rape Survivors"&amp;CHAR(10),""),IF(R277&gt;R276," * OPD Sexual Violence Initiated Pep "&amp;$R$20&amp;" "&amp;$R$21&amp;" is more than OPD Sexual Violence Rape Survivors"&amp;CHAR(10),""),IF(S277&gt;S276," * OPD Sexual Violence Initiated Pep "&amp;$R$20&amp;" "&amp;$S$21&amp;" is more than OPD Sexual Violence Rape Survivors"&amp;CHAR(10),""),IF(T277&gt;T276," * OPD Sexual Violence Initiated Pep "&amp;$T$20&amp;" "&amp;$T$21&amp;" is more than OPD Sexual Violence Rape Survivors"&amp;CHAR(10),""),IF(U277&gt;U276," * OPD Sexual Violence Initiated Pep "&amp;$T$20&amp;" "&amp;$U$21&amp;" is more than OPD Sexual Violence Rape Survivors"&amp;CHAR(10),""),IF(V277&gt;V276," * OPD Sexual Violence Initiated Pep "&amp;$V$20&amp;" "&amp;$V$21&amp;" is more than OPD Sexual Violence Rape Survivors"&amp;CHAR(10),""),IF(W277&gt;W276," * OPD Sexual Violence Initiated Pep "&amp;$V$20&amp;" "&amp;$W$21&amp;" is more than OPD Sexual Violence Rape Survivors"&amp;CHAR(10),""),IF(X277&gt;X276," * OPD Sexual Violence Initiated Pep "&amp;$X$20&amp;" "&amp;$X$21&amp;" is more than OPD Sexual Violence Rape Survivors"&amp;CHAR(10),""),IF(Y277&gt;Y276," * OPD Sexual Violence Initiated Pep "&amp;$X$20&amp;" "&amp;$Y$21&amp;" is more than OPD Sexual Violence Rape Survivors"&amp;CHAR(10),""),IF(Z277&gt;Z276," * OPD Sexual Violence Initiated Pep "&amp;$Z$20&amp;" "&amp;$Z$21&amp;" is more than OPD Sexual Violence Rape Survivors"&amp;CHAR(10),""),IF(AA277&gt;AA276," * OPD Sexual Violence Initiated Pep "&amp;$Z$20&amp;" "&amp;$AA$21&amp;" is more than OPD Sexual Violence Rape Survivors"&amp;CHAR(10),""))</f>
        <v/>
      </c>
      <c r="AL276" s="1285"/>
      <c r="AM276" s="31"/>
      <c r="AN276" s="917"/>
      <c r="AO276" s="13">
        <v>172</v>
      </c>
      <c r="AP276" s="74"/>
      <c r="AQ276" s="75"/>
    </row>
    <row r="277" spans="1:43" ht="26.25" hidden="1" x14ac:dyDescent="0.4">
      <c r="A277" s="1224"/>
      <c r="B277" s="167" t="s">
        <v>769</v>
      </c>
      <c r="C277" s="522" t="s">
        <v>806</v>
      </c>
      <c r="D277" s="173"/>
      <c r="E277" s="173"/>
      <c r="F277" s="173"/>
      <c r="G277" s="173"/>
      <c r="H277" s="173"/>
      <c r="I277" s="173"/>
      <c r="J277" s="173"/>
      <c r="K277" s="173"/>
      <c r="L277" s="173"/>
      <c r="M277" s="173"/>
      <c r="N277" s="173"/>
      <c r="O277" s="173"/>
      <c r="P277" s="173"/>
      <c r="Q277" s="173"/>
      <c r="R277" s="173"/>
      <c r="S277" s="173"/>
      <c r="T277" s="173"/>
      <c r="U277" s="173"/>
      <c r="V277" s="173"/>
      <c r="W277" s="173"/>
      <c r="X277" s="173"/>
      <c r="Y277" s="173"/>
      <c r="Z277" s="173"/>
      <c r="AA277" s="173"/>
      <c r="AB277" s="315"/>
      <c r="AC277" s="315"/>
      <c r="AD277" s="315"/>
      <c r="AE277" s="315"/>
      <c r="AF277" s="315"/>
      <c r="AG277" s="315"/>
      <c r="AH277" s="315"/>
      <c r="AI277" s="315"/>
      <c r="AJ277" s="52">
        <f t="shared" si="67"/>
        <v>0</v>
      </c>
      <c r="AK277" s="130"/>
      <c r="AL277" s="1285"/>
      <c r="AM277" s="31"/>
      <c r="AN277" s="917"/>
      <c r="AO277" s="13">
        <v>173</v>
      </c>
      <c r="AP277" s="74"/>
      <c r="AQ277" s="75"/>
    </row>
    <row r="278" spans="1:43" ht="26.25" hidden="1" x14ac:dyDescent="0.4">
      <c r="A278" s="1224"/>
      <c r="B278" s="167" t="s">
        <v>770</v>
      </c>
      <c r="C278" s="522" t="s">
        <v>808</v>
      </c>
      <c r="D278" s="172"/>
      <c r="E278" s="172"/>
      <c r="F278" s="172"/>
      <c r="G278" s="172"/>
      <c r="H278" s="172"/>
      <c r="I278" s="172"/>
      <c r="J278" s="172"/>
      <c r="K278" s="172"/>
      <c r="L278" s="172"/>
      <c r="M278" s="172"/>
      <c r="N278" s="172"/>
      <c r="O278" s="172"/>
      <c r="P278" s="172"/>
      <c r="Q278" s="172"/>
      <c r="R278" s="172"/>
      <c r="S278" s="172"/>
      <c r="T278" s="172"/>
      <c r="U278" s="172"/>
      <c r="V278" s="172"/>
      <c r="W278" s="172"/>
      <c r="X278" s="172"/>
      <c r="Y278" s="172"/>
      <c r="Z278" s="172"/>
      <c r="AA278" s="172"/>
      <c r="AB278" s="315"/>
      <c r="AC278" s="315"/>
      <c r="AD278" s="315"/>
      <c r="AE278" s="315"/>
      <c r="AF278" s="315"/>
      <c r="AG278" s="315"/>
      <c r="AH278" s="315"/>
      <c r="AI278" s="315"/>
      <c r="AJ278" s="52">
        <f t="shared" si="67"/>
        <v>0</v>
      </c>
      <c r="AK278" s="30" t="str">
        <f>CONCATENATE(IF(D279&gt;D278," * MCH  Physical Violence Initiated Pep "&amp;$D$20&amp;" "&amp;$D$21&amp;" is more than MCH Physical Violence Rape Survivors"&amp;CHAR(10),""),IF(E279&gt;E278," * MCH  Physical Violence Initiated Pep "&amp;$D$20&amp;" "&amp;$E$21&amp;" is more than MCH Physical Violence Rape Survivors"&amp;CHAR(10),""),IF(F279&gt;F278," * MCH  Physical Violence Initiated Pep "&amp;$F$20&amp;" "&amp;$F$21&amp;" is more than MCH Physical Violence Rape Survivors"&amp;CHAR(10),""),IF(G279&gt;G278," * MCH  Physical Violence Initiated Pep "&amp;$F$20&amp;" "&amp;$G$21&amp;" is more than MCH Physical Violence Rape Survivors"&amp;CHAR(10),""),IF(H279&gt;H278," * MCH  Physical Violence Initiated Pep "&amp;$H$20&amp;" "&amp;$H$21&amp;" is more than MCH Physical Violence Rape Survivors"&amp;CHAR(10),""),IF(I279&gt;I278," * MCH  Physical Violence Initiated Pep "&amp;$H$20&amp;" "&amp;$I$21&amp;" is more than MCH Physical Violence Rape Survivors"&amp;CHAR(10),""),IF(J279&gt;J278," * MCH  Physical Violence Initiated Pep "&amp;$J$20&amp;" "&amp;$J$21&amp;" is more than MCH Physical Violence Rape Survivors"&amp;CHAR(10),""),IF(K279&gt;K278," * MCH  Physical Violence Initiated Pep "&amp;$J$20&amp;" "&amp;$K$21&amp;" is more than MCH Physical Violence Rape Survivors"&amp;CHAR(10),""),IF(L279&gt;L278," * MCH  Physical Violence Initiated Pep "&amp;$L$20&amp;" "&amp;$L$21&amp;" is more than MCH Physical Violence Rape Survivors"&amp;CHAR(10),""),IF(M279&gt;M278," * MCH  Physical Violence Initiated Pep "&amp;$L$20&amp;" "&amp;$M$21&amp;" is more than MCH Physical Violence Rape Survivors"&amp;CHAR(10),""),IF(N279&gt;N278," * MCH  Physical Violence Initiated Pep "&amp;$N$20&amp;" "&amp;$N$21&amp;" is more than MCH Physical Violence Rape Survivors"&amp;CHAR(10),""),IF(O279&gt;O278," * MCH  Physical Violence Initiated Pep "&amp;$N$20&amp;" "&amp;$O$21&amp;" is more than MCH Physical Violence Rape Survivors"&amp;CHAR(10),""),IF(P279&gt;P278," * MCH  Physical Violence Initiated Pep "&amp;$P$20&amp;" "&amp;$P$21&amp;" is more than MCH Physical Violence Rape Survivors"&amp;CHAR(10),""),IF(Q279&gt;Q278," * MCH  Physical Violence Initiated Pep "&amp;$P$20&amp;" "&amp;$Q$21&amp;" is more than MCH Physical Violence Rape Survivors"&amp;CHAR(10),""),IF(R279&gt;R278," * MCH  Physical Violence Initiated Pep "&amp;$R$20&amp;" "&amp;$R$21&amp;" is more than MCH Physical Violence Rape Survivors"&amp;CHAR(10),""),IF(S279&gt;S278," * MCH  Physical Violence Initiated Pep "&amp;$R$20&amp;" "&amp;$S$21&amp;" is more than MCH Physical Violence Rape Survivors"&amp;CHAR(10),""),IF(T279&gt;T278," * MCH  Physical Violence Initiated Pep "&amp;$T$20&amp;" "&amp;$T$21&amp;" is more than MCH Physical Violence Rape Survivors"&amp;CHAR(10),""),IF(U279&gt;U278," * MCH  Physical Violence Initiated Pep "&amp;$T$20&amp;" "&amp;$U$21&amp;" is more than MCH Physical Violence Rape Survivors"&amp;CHAR(10),""),IF(V279&gt;V278," * MCH  Physical Violence Initiated Pep "&amp;$V$20&amp;" "&amp;$V$21&amp;" is more than MCH Physical Violence Rape Survivors"&amp;CHAR(10),""),IF(W279&gt;W278," * MCH  Physical Violence Initiated Pep "&amp;$V$20&amp;" "&amp;$W$21&amp;" is more than MCH Physical Violence Rape Survivors"&amp;CHAR(10),""),IF(X279&gt;X278," * MCH  Physical Violence Initiated Pep "&amp;$X$20&amp;" "&amp;$X$21&amp;" is more than MCH Physical Violence Rape Survivors"&amp;CHAR(10),""),IF(Y279&gt;Y278," * MCH  Physical Violence Initiated Pep "&amp;$X$20&amp;" "&amp;$Y$21&amp;" is more than MCH Physical Violence Rape Survivors"&amp;CHAR(10),""),IF(Z279&gt;Z278," * MCH  Physical Violence Initiated Pep "&amp;$Z$20&amp;" "&amp;$Z$21&amp;" is more than MCH Physical Violence Rape Survivors"&amp;CHAR(10),""),IF(AA279&gt;AA278," * MCH  Physical Violence Initiated Pep "&amp;$Z$20&amp;" "&amp;$AA$21&amp;" is more than MCH Physical Violence Rape Survivors"&amp;CHAR(10),""))</f>
        <v/>
      </c>
      <c r="AL278" s="1285"/>
      <c r="AM278" s="31"/>
      <c r="AN278" s="917"/>
      <c r="AO278" s="13">
        <v>174</v>
      </c>
      <c r="AP278" s="74"/>
      <c r="AQ278" s="75"/>
    </row>
    <row r="279" spans="1:43" ht="26.25" hidden="1" x14ac:dyDescent="0.4">
      <c r="A279" s="1224"/>
      <c r="B279" s="167" t="s">
        <v>771</v>
      </c>
      <c r="C279" s="522" t="s">
        <v>809</v>
      </c>
      <c r="D279" s="173"/>
      <c r="E279" s="173"/>
      <c r="F279" s="173"/>
      <c r="G279" s="173"/>
      <c r="H279" s="173"/>
      <c r="I279" s="173"/>
      <c r="J279" s="173"/>
      <c r="K279" s="173"/>
      <c r="L279" s="173"/>
      <c r="M279" s="173"/>
      <c r="N279" s="173"/>
      <c r="O279" s="173"/>
      <c r="P279" s="173"/>
      <c r="Q279" s="173"/>
      <c r="R279" s="173"/>
      <c r="S279" s="173"/>
      <c r="T279" s="173"/>
      <c r="U279" s="173"/>
      <c r="V279" s="173"/>
      <c r="W279" s="173"/>
      <c r="X279" s="173"/>
      <c r="Y279" s="173"/>
      <c r="Z279" s="173"/>
      <c r="AA279" s="173"/>
      <c r="AB279" s="315"/>
      <c r="AC279" s="315"/>
      <c r="AD279" s="315"/>
      <c r="AE279" s="315"/>
      <c r="AF279" s="315"/>
      <c r="AG279" s="315"/>
      <c r="AH279" s="315"/>
      <c r="AI279" s="315"/>
      <c r="AJ279" s="52">
        <f t="shared" si="67"/>
        <v>0</v>
      </c>
      <c r="AK279" s="130"/>
      <c r="AL279" s="1285"/>
      <c r="AM279" s="31"/>
      <c r="AN279" s="917"/>
      <c r="AO279" s="13">
        <v>175</v>
      </c>
      <c r="AP279" s="74"/>
      <c r="AQ279" s="75"/>
    </row>
    <row r="280" spans="1:43" ht="26.25" hidden="1" x14ac:dyDescent="0.4">
      <c r="A280" s="1224"/>
      <c r="B280" s="167" t="s">
        <v>772</v>
      </c>
      <c r="C280" s="522" t="s">
        <v>810</v>
      </c>
      <c r="D280" s="174"/>
      <c r="E280" s="173"/>
      <c r="F280" s="173"/>
      <c r="G280" s="173"/>
      <c r="H280" s="173"/>
      <c r="I280" s="173"/>
      <c r="J280" s="173"/>
      <c r="K280" s="173"/>
      <c r="L280" s="173"/>
      <c r="M280" s="173"/>
      <c r="N280" s="173"/>
      <c r="O280" s="173"/>
      <c r="P280" s="173"/>
      <c r="Q280" s="173"/>
      <c r="R280" s="173"/>
      <c r="S280" s="173"/>
      <c r="T280" s="173"/>
      <c r="U280" s="173"/>
      <c r="V280" s="173"/>
      <c r="W280" s="173"/>
      <c r="X280" s="173"/>
      <c r="Y280" s="173"/>
      <c r="Z280" s="173"/>
      <c r="AA280" s="175"/>
      <c r="AB280" s="315"/>
      <c r="AC280" s="315"/>
      <c r="AD280" s="315"/>
      <c r="AE280" s="315"/>
      <c r="AF280" s="315"/>
      <c r="AG280" s="315"/>
      <c r="AH280" s="315"/>
      <c r="AI280" s="315"/>
      <c r="AJ280" s="52">
        <f t="shared" si="67"/>
        <v>0</v>
      </c>
      <c r="AK280" s="130"/>
      <c r="AL280" s="1285"/>
      <c r="AM280" s="31"/>
      <c r="AN280" s="917"/>
      <c r="AO280" s="13">
        <v>176</v>
      </c>
      <c r="AP280" s="74"/>
      <c r="AQ280" s="75"/>
    </row>
    <row r="281" spans="1:43" ht="27" hidden="1" thickBot="1" x14ac:dyDescent="0.45">
      <c r="A281" s="1225"/>
      <c r="B281" s="181" t="s">
        <v>807</v>
      </c>
      <c r="C281" s="522" t="s">
        <v>811</v>
      </c>
      <c r="D281" s="177"/>
      <c r="E281" s="178"/>
      <c r="F281" s="178"/>
      <c r="G281" s="178"/>
      <c r="H281" s="178"/>
      <c r="I281" s="178"/>
      <c r="J281" s="178"/>
      <c r="K281" s="178"/>
      <c r="L281" s="178"/>
      <c r="M281" s="178"/>
      <c r="N281" s="178"/>
      <c r="O281" s="178"/>
      <c r="P281" s="178"/>
      <c r="Q281" s="178"/>
      <c r="R281" s="178"/>
      <c r="S281" s="178"/>
      <c r="T281" s="178"/>
      <c r="U281" s="178"/>
      <c r="V281" s="178"/>
      <c r="W281" s="178"/>
      <c r="X281" s="178"/>
      <c r="Y281" s="178"/>
      <c r="Z281" s="178"/>
      <c r="AA281" s="179"/>
      <c r="AB281" s="315"/>
      <c r="AC281" s="315"/>
      <c r="AD281" s="315"/>
      <c r="AE281" s="315"/>
      <c r="AF281" s="315"/>
      <c r="AG281" s="315"/>
      <c r="AH281" s="315"/>
      <c r="AI281" s="315"/>
      <c r="AJ281" s="182">
        <f t="shared" si="67"/>
        <v>0</v>
      </c>
      <c r="AK281" s="130"/>
      <c r="AL281" s="1286"/>
      <c r="AM281" s="31"/>
      <c r="AN281" s="917"/>
      <c r="AO281" s="13">
        <v>177</v>
      </c>
      <c r="AP281" s="74"/>
      <c r="AQ281" s="75"/>
    </row>
    <row r="282" spans="1:43" ht="53.25" hidden="1" thickBot="1" x14ac:dyDescent="0.45">
      <c r="A282" s="905" t="s">
        <v>865</v>
      </c>
      <c r="B282" s="988" t="s">
        <v>616</v>
      </c>
      <c r="C282" s="543" t="s">
        <v>218</v>
      </c>
      <c r="D282" s="919"/>
      <c r="E282" s="920"/>
      <c r="F282" s="920"/>
      <c r="G282" s="920"/>
      <c r="H282" s="920"/>
      <c r="I282" s="920"/>
      <c r="J282" s="920"/>
      <c r="K282" s="920"/>
      <c r="L282" s="920"/>
      <c r="M282" s="920"/>
      <c r="N282" s="920"/>
      <c r="O282" s="920"/>
      <c r="P282" s="920"/>
      <c r="Q282" s="920"/>
      <c r="R282" s="920"/>
      <c r="S282" s="920"/>
      <c r="T282" s="920"/>
      <c r="U282" s="920"/>
      <c r="V282" s="920"/>
      <c r="W282" s="920"/>
      <c r="X282" s="920"/>
      <c r="Y282" s="920"/>
      <c r="Z282" s="920"/>
      <c r="AA282" s="921"/>
      <c r="AB282" s="354"/>
      <c r="AC282" s="325"/>
      <c r="AD282" s="325"/>
      <c r="AE282" s="325"/>
      <c r="AF282" s="325"/>
      <c r="AG282" s="325"/>
      <c r="AH282" s="325"/>
      <c r="AI282" s="325"/>
      <c r="AJ282" s="1001">
        <f>SUM(D282:AA282)</f>
        <v>0</v>
      </c>
      <c r="AK282" s="116"/>
      <c r="AL282" s="1311" t="str">
        <f>CONCATENATE(AK246,AK282,AK286,AK291,AK292,AK289,AK295,AK297,AK298,AK287,AK294,AK283,AK290,AK284,AK288,AK285,AK293)</f>
        <v/>
      </c>
      <c r="AM282" s="31"/>
      <c r="AN282" s="1463"/>
      <c r="AO282" s="13">
        <v>180</v>
      </c>
      <c r="AP282" s="74"/>
      <c r="AQ282" s="75"/>
    </row>
    <row r="283" spans="1:43" ht="26.25" hidden="1" x14ac:dyDescent="0.4">
      <c r="A283" s="1465" t="s">
        <v>864</v>
      </c>
      <c r="B283" s="993" t="s">
        <v>863</v>
      </c>
      <c r="C283" s="991" t="s">
        <v>161</v>
      </c>
      <c r="D283" s="918"/>
      <c r="E283" s="918"/>
      <c r="F283" s="918"/>
      <c r="G283" s="918"/>
      <c r="H283" s="918"/>
      <c r="I283" s="918"/>
      <c r="J283" s="918"/>
      <c r="K283" s="918"/>
      <c r="L283" s="918"/>
      <c r="M283" s="918"/>
      <c r="N283" s="918"/>
      <c r="O283" s="918"/>
      <c r="P283" s="918"/>
      <c r="Q283" s="918"/>
      <c r="R283" s="918"/>
      <c r="S283" s="918"/>
      <c r="T283" s="918"/>
      <c r="U283" s="918"/>
      <c r="V283" s="918"/>
      <c r="W283" s="918"/>
      <c r="X283" s="918"/>
      <c r="Y283" s="918"/>
      <c r="Z283" s="918"/>
      <c r="AA283" s="918"/>
      <c r="AB283" s="325"/>
      <c r="AC283" s="325"/>
      <c r="AD283" s="325"/>
      <c r="AE283" s="325"/>
      <c r="AF283" s="325"/>
      <c r="AG283" s="325"/>
      <c r="AH283" s="325"/>
      <c r="AI283" s="325"/>
      <c r="AJ283" s="452">
        <f>SUM(D283:AA283)</f>
        <v>0</v>
      </c>
      <c r="AK283" s="130" t="str">
        <f>CONCATENATE(IF(D287&gt;D283," * Initiated Pep for Age "&amp;D20&amp;" "&amp;D21&amp;" is more than Rape survivors"&amp;CHAR(10),""),IF(E287&gt;E283," * Initiated Pep for Age "&amp;D20&amp;" "&amp;E21&amp;" is more than Rape survivors"&amp;CHAR(10),""),IF(F287&gt;F283," * Initiated Pep for Age "&amp;F20&amp;" "&amp;F21&amp;" is more than Rape survivors"&amp;CHAR(10),""),IF(G287&gt;G283," * Initiated Pep for Age "&amp;F20&amp;" "&amp;G21&amp;" is more than Rape survivors"&amp;CHAR(10),""),IF(H287&gt;H283," * Initiated Pep for Age "&amp;H20&amp;" "&amp;H21&amp;" is more than Rape survivors"&amp;CHAR(10),""),IF(I287&gt;I283," * Initiated Pep for Age "&amp;H20&amp;" "&amp;I21&amp;" is more than Rape survivors"&amp;CHAR(10),""),IF(J287&gt;J283," * Initiated Pep for Age "&amp;J20&amp;" "&amp;J21&amp;" is more than Rape survivors"&amp;CHAR(10),""),IF(K287&gt;K283," * Initiated Pep for Age "&amp;J20&amp;" "&amp;K21&amp;" is more than Rape survivors"&amp;CHAR(10),""),IF(L287&gt;L283," * Initiated Pep for Age "&amp;L20&amp;" "&amp;L21&amp;" is more than Rape survivors"&amp;CHAR(10),""),IF(M287&gt;M283," * Initiated Pep for Age "&amp;L20&amp;" "&amp;M21&amp;" is more than Rape survivors"&amp;CHAR(10),""),IF(N287&gt;N283," * Initiated Pep for Age "&amp;N20&amp;" "&amp;N21&amp;" is more than Rape survivors"&amp;CHAR(10),""),IF(O287&gt;O283," * Initiated Pep for Age "&amp;N20&amp;" "&amp;O21&amp;" is more than Rape survivors"&amp;CHAR(10),""),IF(P287&gt;P283," * Initiated Pep for Age "&amp;P20&amp;" "&amp;P21&amp;" is more than Rape survivors"&amp;CHAR(10),""),IF(Q287&gt;Q283," * Initiated Pep for Age "&amp;P20&amp;" "&amp;Q21&amp;" is more than Rape survivors"&amp;CHAR(10),""),IF(R287&gt;R283," * Initiated Pep for Age "&amp;R20&amp;" "&amp;R21&amp;" is more than Rape survivors"&amp;CHAR(10),""),IF(S287&gt;S283," * Initiated Pep for Age "&amp;R20&amp;" "&amp;S21&amp;" is more than Rape survivors"&amp;CHAR(10),""),IF(T287&gt;T283," * Initiated Pep for Age "&amp;T20&amp;" "&amp;T21&amp;" is more than Rape survivors"&amp;CHAR(10),""),IF(U287&gt;U283," * Initiated Pep for Age "&amp;T20&amp;" "&amp;U21&amp;" is more than Rape survivors"&amp;CHAR(10),""),IF(V287&gt;V283," * Initiated Pep for Age "&amp;V20&amp;" "&amp;V21&amp;" is more than Rape survivors"&amp;CHAR(10),""),IF(W287&gt;W283," * Initiated Pep for Age "&amp;V20&amp;" "&amp;W21&amp;" is more than Rape survivors"&amp;CHAR(10),""),IF(X287&gt;X283," * Initiated Pep for Age "&amp;X20&amp;" "&amp;X21&amp;" is more than Rape survivors"&amp;CHAR(10),""),IF(Y287&gt;Y283," * Initiated Pep for Age "&amp;X20&amp;" "&amp;Y21&amp;" is more than Rape survivors"&amp;CHAR(10),""),IF(Z287&gt;Z283," * Initiated Pep for Age "&amp;Z20&amp;" "&amp;Z21&amp;" is more than Rape survivors"&amp;CHAR(10),""),IF(AA287&gt;AA283," * Initiated Pep for Age "&amp;Z20&amp;" "&amp;AA21&amp;" is more than Rape survivors"&amp;CHAR(10),""))</f>
        <v/>
      </c>
      <c r="AL283" s="1312"/>
      <c r="AM283" s="31"/>
      <c r="AN283" s="1463"/>
      <c r="AO283" s="13">
        <v>178</v>
      </c>
      <c r="AP283" s="74"/>
      <c r="AQ283" s="75"/>
    </row>
    <row r="284" spans="1:43" s="14" customFormat="1" ht="26.25" hidden="1" x14ac:dyDescent="0.4">
      <c r="A284" s="1466"/>
      <c r="B284" s="994" t="s">
        <v>622</v>
      </c>
      <c r="C284" s="992" t="s">
        <v>226</v>
      </c>
      <c r="D284" s="188"/>
      <c r="E284" s="188"/>
      <c r="F284" s="188"/>
      <c r="G284" s="188"/>
      <c r="H284" s="188"/>
      <c r="I284" s="188"/>
      <c r="J284" s="188"/>
      <c r="K284" s="188"/>
      <c r="L284" s="188"/>
      <c r="M284" s="188"/>
      <c r="N284" s="188"/>
      <c r="O284" s="188"/>
      <c r="P284" s="188"/>
      <c r="Q284" s="188"/>
      <c r="R284" s="188"/>
      <c r="S284" s="188"/>
      <c r="T284" s="188"/>
      <c r="U284" s="188"/>
      <c r="V284" s="188"/>
      <c r="W284" s="188"/>
      <c r="X284" s="188"/>
      <c r="Y284" s="188"/>
      <c r="Z284" s="188"/>
      <c r="AA284" s="188"/>
      <c r="AB284" s="354"/>
      <c r="AC284" s="325"/>
      <c r="AD284" s="325"/>
      <c r="AE284" s="325"/>
      <c r="AF284" s="325"/>
      <c r="AG284" s="325"/>
      <c r="AH284" s="325"/>
      <c r="AI284" s="325"/>
      <c r="AJ284" s="452">
        <f t="shared" ref="AJ284:AJ285" si="72">SUM(D284:AA284)</f>
        <v>0</v>
      </c>
      <c r="AK284" s="130" t="str">
        <f>CONCATENATE(IF(D285&gt;D284," * F05-11 for Age "&amp;D10&amp;" "&amp;D11&amp;" is more than F05-10"&amp;CHAR(10),""),IF(E285&gt;E284," * F05-11 for Age "&amp;D10&amp;" "&amp;E11&amp;" is more than F05-10"&amp;CHAR(10),""),IF(F285&gt;F284," * F05-11 for Age "&amp;F10&amp;" "&amp;F11&amp;" is more than F05-10"&amp;CHAR(10),""),IF(G285&gt;G284," * F05-11 for Age "&amp;F10&amp;" "&amp;G11&amp;" is more than F05-10"&amp;CHAR(10),""),IF(H285&gt;H284," * F05-11 for Age "&amp;H10&amp;" "&amp;H11&amp;" is more than F05-10"&amp;CHAR(10),""),IF(I285&gt;I284," * F05-11 for Age "&amp;H10&amp;" "&amp;I11&amp;" is more than F05-10"&amp;CHAR(10),""),IF(J285&gt;J284," * F05-11 for Age "&amp;J10&amp;" "&amp;J11&amp;" is more than F05-10"&amp;CHAR(10),""),IF(K285&gt;K284," * F05-11 for Age "&amp;J10&amp;" "&amp;K11&amp;" is more than F05-10"&amp;CHAR(10),""),IF(L285&gt;L284," * F05-11 for Age "&amp;L10&amp;" "&amp;L11&amp;" is more than F05-10"&amp;CHAR(10),""),IF(M285&gt;M284," * F05-11 for Age "&amp;L10&amp;" "&amp;M11&amp;" is more than F05-10"&amp;CHAR(10),""),IF(N285&gt;N284," * F05-11 for Age "&amp;N10&amp;" "&amp;N11&amp;" is more than F05-10"&amp;CHAR(10),""),IF(O285&gt;O284," * F05-11 for Age "&amp;N10&amp;" "&amp;O11&amp;" is more than F05-10"&amp;CHAR(10),""),IF(P285&gt;P284," * F05-11 for Age "&amp;P10&amp;" "&amp;P11&amp;" is more than F05-10"&amp;CHAR(10),""),IF(Q285&gt;Q284," * F05-11 for Age "&amp;P10&amp;" "&amp;Q11&amp;" is more than F05-10"&amp;CHAR(10),""),IF(R285&gt;R284," * F05-11 for Age "&amp;R10&amp;" "&amp;R11&amp;" is more than F05-10"&amp;CHAR(10),""),IF(S285&gt;S284," * F05-11 for Age "&amp;R10&amp;" "&amp;S11&amp;" is more than F05-10"&amp;CHAR(10),""),IF(T285&gt;T284," * F05-11 for Age "&amp;T10&amp;" "&amp;T11&amp;" is more than F05-10"&amp;CHAR(10),""),IF(U285&gt;U284," * F05-11 for Age "&amp;T10&amp;" "&amp;U11&amp;" is more than F05-10"&amp;CHAR(10),""),IF(V285&gt;V284," * F05-11 for Age "&amp;V10&amp;" "&amp;V11&amp;" is more than F05-10"&amp;CHAR(10),""),IF(W285&gt;W284," * F05-11 for Age "&amp;V10&amp;" "&amp;W11&amp;" is more than F05-10"&amp;CHAR(10),""),IF(X285&gt;X284," * F05-11 for Age "&amp;X10&amp;" "&amp;X11&amp;" is more than F05-10"&amp;CHAR(10),""),IF(Y285&gt;Y284," * F05-11 for Age "&amp;X10&amp;" "&amp;Y11&amp;" is more than F05-10"&amp;CHAR(10),""),IF(Z285&gt;Z284," * F05-11 for Age "&amp;Z10&amp;" "&amp;Z11&amp;" is more than F05-10"&amp;CHAR(10),""),IF(AA285&gt;AA284," * F05-11 for Age "&amp;Z10&amp;" "&amp;AA11&amp;" is more than F05-10"&amp;CHAR(10),""),IF(AJ285&gt;AJ284," * Total F05-11 is more than Total F05-10"&amp;CHAR(10),""))</f>
        <v/>
      </c>
      <c r="AL284" s="1312"/>
      <c r="AM284" s="31"/>
      <c r="AN284" s="1463"/>
      <c r="AO284" s="13">
        <v>187</v>
      </c>
      <c r="AP284" s="74"/>
      <c r="AQ284" s="147"/>
    </row>
    <row r="285" spans="1:43" s="14" customFormat="1" ht="30" hidden="1" thickBot="1" x14ac:dyDescent="0.45">
      <c r="A285" s="1466"/>
      <c r="B285" s="996" t="s">
        <v>1303</v>
      </c>
      <c r="C285" s="877" t="s">
        <v>227</v>
      </c>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c r="AA285" s="321"/>
      <c r="AB285" s="354"/>
      <c r="AC285" s="325"/>
      <c r="AD285" s="325"/>
      <c r="AE285" s="325"/>
      <c r="AF285" s="325"/>
      <c r="AG285" s="325"/>
      <c r="AH285" s="325"/>
      <c r="AI285" s="325"/>
      <c r="AJ285" s="452">
        <f t="shared" si="72"/>
        <v>0</v>
      </c>
      <c r="AK285" s="130" t="str">
        <f>CONCATENATE(IF(D286&gt;D284," * SGBV Presenting within 72 Hours for Age "&amp;D11&amp;" "&amp;D12&amp;" is more than Number Tested For HIV"&amp;CHAR(10),""),IF(E286&gt;E284," * SGBV Presenting within 72 Hours for Age "&amp;D11&amp;" "&amp;E12&amp;" is more than Number Tested For HIV"&amp;CHAR(10),""),IF(F286&gt;F284," * SGBV Presenting within 72 Hours for Age "&amp;F11&amp;" "&amp;F12&amp;" is more than Number Tested For HIV"&amp;CHAR(10),""),IF(G286&gt;G284," * SGBV Presenting within 72 Hours for Age "&amp;F11&amp;" "&amp;G12&amp;" is more than Number Tested For HIV"&amp;CHAR(10),""),IF(H286&gt;H284," * SGBV Presenting within 72 Hours for Age "&amp;H11&amp;" "&amp;H12&amp;" is more than Number Tested For HIV"&amp;CHAR(10),""),IF(I286&gt;I284," * SGBV Presenting within 72 Hours for Age "&amp;H11&amp;" "&amp;I12&amp;" is more than Number Tested For HIV"&amp;CHAR(10),""),IF(J286&gt;J284," * SGBV Presenting within 72 Hours for Age "&amp;J11&amp;" "&amp;J12&amp;" is more than Number Tested For HIV"&amp;CHAR(10),""),IF(K286&gt;K284," * SGBV Presenting within 72 Hours for Age "&amp;J11&amp;" "&amp;K12&amp;" is more than Number Tested For HIV"&amp;CHAR(10),""),IF(L286&gt;L284," * SGBV Presenting within 72 Hours for Age "&amp;L11&amp;" "&amp;L12&amp;" is more than Number Tested For HIV"&amp;CHAR(10),""),IF(M286&gt;M284," * SGBV Presenting within 72 Hours for Age "&amp;L11&amp;" "&amp;M12&amp;" is more than Number Tested For HIV"&amp;CHAR(10),""),IF(N286&gt;N284," * SGBV Presenting within 72 Hours for Age "&amp;N11&amp;" "&amp;N12&amp;" is more than Number Tested For HIV"&amp;CHAR(10),""),IF(O286&gt;O284," * SGBV Presenting within 72 Hours for Age "&amp;N11&amp;" "&amp;O12&amp;" is more than Number Tested For HIV"&amp;CHAR(10),""),IF(P286&gt;P284," * SGBV Presenting within 72 Hours for Age "&amp;P11&amp;" "&amp;P12&amp;" is more than Number Tested For HIV"&amp;CHAR(10),""),IF(Q286&gt;Q284," * SGBV Presenting within 72 Hours for Age "&amp;P11&amp;" "&amp;Q12&amp;" is more than Number Tested For HIV"&amp;CHAR(10),""),IF(R286&gt;R284," * SGBV Presenting within 72 Hours for Age "&amp;R11&amp;" "&amp;R12&amp;" is more than Number Tested For HIV"&amp;CHAR(10),""),IF(S286&gt;S284," * SGBV Presenting within 72 Hours for Age "&amp;R11&amp;" "&amp;S12&amp;" is more than Number Tested For HIV"&amp;CHAR(10),""),IF(T286&gt;T284," * SGBV Presenting within 72 Hours for Age "&amp;T11&amp;" "&amp;T12&amp;" is more than Number Tested For HIV"&amp;CHAR(10),""),IF(U286&gt;U284," * SGBV Presenting within 72 Hours for Age "&amp;T11&amp;" "&amp;U12&amp;" is more than Number Tested For HIV"&amp;CHAR(10),""),IF(V286&gt;V284," * SGBV Presenting within 72 Hours for Age "&amp;V11&amp;" "&amp;V12&amp;" is more than Number Tested For HIV"&amp;CHAR(10),""),IF(W286&gt;W284," * SGBV Presenting within 72 Hours for Age "&amp;V11&amp;" "&amp;W12&amp;" is more than Number Tested For HIV"&amp;CHAR(10),""),IF(X286&gt;X284," * SGBV Presenting within 72 Hours for Age "&amp;X11&amp;" "&amp;X12&amp;" is more than Number Tested For HIV"&amp;CHAR(10),""),IF(Y286&gt;Y284," * SGBV Presenting within 72 Hours for Age "&amp;X11&amp;" "&amp;Y12&amp;" is more than Number Tested For HIV"&amp;CHAR(10),""),IF(Z286&gt;Z284," * SGBV Presenting within 72 Hours for Age "&amp;Z11&amp;" "&amp;Z12&amp;" is more than Number Tested For HIV"&amp;CHAR(10),""),IF(AA286&gt;AA284," * SGBV Presenting within 72 Hours for Age "&amp;Z11&amp;" "&amp;AA12&amp;" is more than Number Tested For HIV"&amp;CHAR(10),""),IF(AJ286&gt;AJ284," * Total SGBV Presenting within 72 Hours is more than Total Number Tested For HIV"&amp;CHAR(10),""))</f>
        <v/>
      </c>
      <c r="AL285" s="1312"/>
      <c r="AM285" s="31"/>
      <c r="AN285" s="1463"/>
      <c r="AO285" s="13">
        <v>188</v>
      </c>
      <c r="AP285" s="74"/>
      <c r="AQ285" s="147"/>
    </row>
    <row r="286" spans="1:43" ht="26.25" hidden="1" x14ac:dyDescent="0.4">
      <c r="A286" s="1466"/>
      <c r="B286" s="998" t="s">
        <v>1288</v>
      </c>
      <c r="C286" s="925" t="s">
        <v>1279</v>
      </c>
      <c r="D286" s="918"/>
      <c r="E286" s="918"/>
      <c r="F286" s="918"/>
      <c r="G286" s="918"/>
      <c r="H286" s="918"/>
      <c r="I286" s="918"/>
      <c r="J286" s="918"/>
      <c r="K286" s="918"/>
      <c r="L286" s="918"/>
      <c r="M286" s="918"/>
      <c r="N286" s="918"/>
      <c r="O286" s="918"/>
      <c r="P286" s="918"/>
      <c r="Q286" s="918"/>
      <c r="R286" s="918"/>
      <c r="S286" s="918"/>
      <c r="T286" s="918"/>
      <c r="U286" s="918"/>
      <c r="V286" s="918"/>
      <c r="W286" s="918"/>
      <c r="X286" s="918"/>
      <c r="Y286" s="918"/>
      <c r="Z286" s="918"/>
      <c r="AA286" s="918"/>
      <c r="AB286" s="325"/>
      <c r="AC286" s="325"/>
      <c r="AD286" s="325"/>
      <c r="AE286" s="325"/>
      <c r="AF286" s="325"/>
      <c r="AG286" s="325"/>
      <c r="AH286" s="325"/>
      <c r="AI286" s="325"/>
      <c r="AJ286" s="452">
        <f>SUM(D286:AA286)</f>
        <v>0</v>
      </c>
      <c r="AK286" s="116" t="str">
        <f>CONCATENATE(IF(D286&lt;D287," * SGBV Survivors Presenting within 72 hours  for Age "&amp;D19&amp;" "&amp;D20&amp;" should not be more than Sexual Rape Survivors"&amp;CHAR(10),""),IF(E286&lt;E287," * SGBV Survivors Presenting within 72 hours  for Age "&amp;D19&amp;" "&amp;E20&amp;" should not be more than Sexual Rape Survivors"&amp;CHAR(10),""),IF(F286&lt;F287," * SGBV Survivors Presenting within 72 hours  for Age "&amp;F19&amp;" "&amp;F20&amp;" should not be more than Sexual Rape Survivors"&amp;CHAR(10),""),IF(G286&lt;G287," * SGBV Survivors Presenting within 72 hours  for Age "&amp;F19&amp;" "&amp;G20&amp;" should not be more than Sexual Rape Survivors"&amp;CHAR(10),""),IF(H286&lt;H287," * SGBV Survivors Presenting within 72 hours  for Age "&amp;H19&amp;" "&amp;H20&amp;" should not be more than Sexual Rape Survivors"&amp;CHAR(10),""),IF(I286&lt;I287," * SGBV Survivors Presenting within 72 hours  for Age "&amp;H19&amp;" "&amp;I20&amp;" should not be more than Sexual Rape Survivors"&amp;CHAR(10),""),IF(J286&lt;J287," * SGBV Survivors Presenting within 72 hours  for Age "&amp;J19&amp;" "&amp;J20&amp;" should not be more than Sexual Rape Survivors"&amp;CHAR(10),""),IF(K286&lt;K287," * SGBV Survivors Presenting within 72 hours  for Age "&amp;J19&amp;" "&amp;K20&amp;" should not be more than Sexual Rape Survivors"&amp;CHAR(10),""),IF(L286&lt;L287," * SGBV Survivors Presenting within 72 hours  for Age "&amp;L19&amp;" "&amp;L20&amp;" should not be more than Sexual Rape Survivors"&amp;CHAR(10),""),IF(M286&lt;M287," * SGBV Survivors Presenting within 72 hours  for Age "&amp;L19&amp;" "&amp;M20&amp;" should not be more than Sexual Rape Survivors"&amp;CHAR(10),""),IF(N286&lt;N287," * SGBV Survivors Presenting within 72 hours  for Age "&amp;N19&amp;" "&amp;N20&amp;" should not be more than Sexual Rape Survivors"&amp;CHAR(10),""),IF(O286&lt;O287," * SGBV Survivors Presenting within 72 hours  for Age "&amp;N19&amp;" "&amp;O20&amp;" should not be more than Sexual Rape Survivors"&amp;CHAR(10),""),IF(P286&lt;P287," * SGBV Survivors Presenting within 72 hours  for Age "&amp;P19&amp;" "&amp;P20&amp;" should not be more than Sexual Rape Survivors"&amp;CHAR(10),""),IF(Q286&lt;Q287," * SGBV Survivors Presenting within 72 hours  for Age "&amp;P19&amp;" "&amp;Q20&amp;" should not be more than Sexual Rape Survivors"&amp;CHAR(10),""),IF(R286&lt;R287," * SGBV Survivors Presenting within 72 hours  for Age "&amp;R19&amp;" "&amp;R20&amp;" should not be more than Sexual Rape Survivors"&amp;CHAR(10),""),IF(S286&lt;S287," * SGBV Survivors Presenting within 72 hours  for Age "&amp;R19&amp;" "&amp;S20&amp;" should not be more than Sexual Rape Survivors"&amp;CHAR(10),""),IF(T286&lt;T287," * SGBV Survivors Presenting within 72 hours  for Age "&amp;T19&amp;" "&amp;T20&amp;" should not be more than Sexual Rape Survivors"&amp;CHAR(10),""),IF(U286&lt;U287," * SGBV Survivors Presenting within 72 hours  for Age "&amp;T19&amp;" "&amp;U20&amp;" should not be more than Sexual Rape Survivors"&amp;CHAR(10),""),IF(V286&lt;V287," * SGBV Survivors Presenting within 72 hours  for Age "&amp;V19&amp;" "&amp;V20&amp;" should not be more than Sexual Rape Survivors"&amp;CHAR(10),""),IF(W286&lt;W287," * SGBV Survivors Presenting within 72 hours  for Age "&amp;V19&amp;" "&amp;W20&amp;" should not be more than Sexual Rape Survivors"&amp;CHAR(10),""),IF(X286&lt;X287," * SGBV Survivors Presenting within 72 hours  for Age "&amp;X19&amp;" "&amp;X20&amp;" should not be more than Sexual Rape Survivors"&amp;CHAR(10),""),IF(Y286&lt;Y287," * SGBV Survivors Presenting within 72 hours  for Age "&amp;X19&amp;" "&amp;Y20&amp;" should not be more than Sexual Rape Survivors"&amp;CHAR(10),""),IF(Z286&lt;Z287," * SGBV Survivors Presenting within 72 hours  for Age "&amp;Z19&amp;" "&amp;Z20&amp;" should not be more than Sexual Rape Survivors"&amp;CHAR(10),""),IF(AA286&lt;AA287," * SGBV Survivors Presenting within 72 hours  for Age "&amp;Z19&amp;" "&amp;AA20&amp;" should not be more than Sexual Rape Survivors"&amp;CHAR(10),""))</f>
        <v/>
      </c>
      <c r="AL286" s="1312"/>
      <c r="AM286" s="31"/>
      <c r="AN286" s="1463"/>
      <c r="AO286" s="13">
        <v>181</v>
      </c>
      <c r="AP286" s="74"/>
      <c r="AQ286" s="75"/>
    </row>
    <row r="287" spans="1:43" ht="26.25" hidden="1" x14ac:dyDescent="0.4">
      <c r="A287" s="1466"/>
      <c r="B287" s="998" t="s">
        <v>824</v>
      </c>
      <c r="C287" s="974" t="s">
        <v>160</v>
      </c>
      <c r="D287" s="922"/>
      <c r="E287" s="923"/>
      <c r="F287" s="923"/>
      <c r="G287" s="923"/>
      <c r="H287" s="923"/>
      <c r="I287" s="923"/>
      <c r="J287" s="923"/>
      <c r="K287" s="923"/>
      <c r="L287" s="923"/>
      <c r="M287" s="923"/>
      <c r="N287" s="923"/>
      <c r="O287" s="923"/>
      <c r="P287" s="923"/>
      <c r="Q287" s="923"/>
      <c r="R287" s="923"/>
      <c r="S287" s="923"/>
      <c r="T287" s="923"/>
      <c r="U287" s="923"/>
      <c r="V287" s="923"/>
      <c r="W287" s="923"/>
      <c r="X287" s="923"/>
      <c r="Y287" s="923"/>
      <c r="Z287" s="923"/>
      <c r="AA287" s="924"/>
      <c r="AB287" s="354"/>
      <c r="AC287" s="325"/>
      <c r="AD287" s="325"/>
      <c r="AE287" s="325"/>
      <c r="AF287" s="325"/>
      <c r="AG287" s="325"/>
      <c r="AH287" s="325"/>
      <c r="AI287" s="325"/>
      <c r="AJ287" s="452">
        <f>SUM(D287:AA287)</f>
        <v>0</v>
      </c>
      <c r="AK287" s="130" t="str">
        <f>CONCATENATE(IF(D286&lt;D287," * SGBV Survivors Presenting within 72 hours  for Age "&amp;D19&amp;" "&amp;D20&amp;" should not be more than Sexual Rape Survivors"&amp;CHAR(10),""),IF(E286&lt;E287," * SGBV Survivors Presenting within 72 hours  for Age "&amp;D19&amp;" "&amp;E20&amp;" should not be more than Sexual Rape Survivors"&amp;CHAR(10),""),IF(F286&lt;F287," * SGBV Survivors Presenting within 72 hours  for Age "&amp;F19&amp;" "&amp;F20&amp;" should not be more than Sexual Rape Survivors"&amp;CHAR(10),""),IF(G286&lt;G287," * SGBV Survivors Presenting within 72 hours  for Age "&amp;F19&amp;" "&amp;G20&amp;" should not be more than Sexual Rape Survivors"&amp;CHAR(10),""),IF(H286&lt;H287," * SGBV Survivors Presenting within 72 hours  for Age "&amp;H19&amp;" "&amp;H20&amp;" should not be more than Sexual Rape Survivors"&amp;CHAR(10),""),IF(I286&lt;I287," * SGBV Survivors Presenting within 72 hours  for Age "&amp;H19&amp;" "&amp;I20&amp;" should not be more than Sexual Rape Survivors"&amp;CHAR(10),""),IF(J286&lt;J287," * SGBV Survivors Presenting within 72 hours  for Age "&amp;J19&amp;" "&amp;J20&amp;" should not be more than Sexual Rape Survivors"&amp;CHAR(10),""),IF(K286&lt;K287," * SGBV Survivors Presenting within 72 hours  for Age "&amp;J19&amp;" "&amp;K20&amp;" should not be more than Sexual Rape Survivors"&amp;CHAR(10),""),IF(L286&lt;L287," * SGBV Survivors Presenting within 72 hours  for Age "&amp;L19&amp;" "&amp;L20&amp;" should not be more than Sexual Rape Survivors"&amp;CHAR(10),""),IF(M286&lt;M287," * SGBV Survivors Presenting within 72 hours  for Age "&amp;L19&amp;" "&amp;M20&amp;" should not be more than Sexual Rape Survivors"&amp;CHAR(10),""),IF(N286&lt;N287," * SGBV Survivors Presenting within 72 hours  for Age "&amp;N19&amp;" "&amp;N20&amp;" should not be more than Sexual Rape Survivors"&amp;CHAR(10),""),IF(O286&lt;O287," * SGBV Survivors Presenting within 72 hours  for Age "&amp;N19&amp;" "&amp;O20&amp;" should not be more than Sexual Rape Survivors"&amp;CHAR(10),""),IF(P286&lt;P287," * SGBV Survivors Presenting within 72 hours  for Age "&amp;P19&amp;" "&amp;P20&amp;" should not be more than Sexual Rape Survivors"&amp;CHAR(10),""),IF(Q286&lt;Q287," * SGBV Survivors Presenting within 72 hours  for Age "&amp;P19&amp;" "&amp;Q20&amp;" should not be more than Sexual Rape Survivors"&amp;CHAR(10),""),IF(R286&lt;R287," * SGBV Survivors Presenting within 72 hours  for Age "&amp;R19&amp;" "&amp;R20&amp;" should not be more than Sexual Rape Survivors"&amp;CHAR(10),""),IF(S286&lt;S287," * SGBV Survivors Presenting within 72 hours  for Age "&amp;R19&amp;" "&amp;S20&amp;" should not be more than Sexual Rape Survivors"&amp;CHAR(10),""),IF(T286&lt;T287," * SGBV Survivors Presenting within 72 hours  for Age "&amp;T19&amp;" "&amp;T20&amp;" should not be more than Sexual Rape Survivors"&amp;CHAR(10),""),IF(U286&lt;U287," * SGBV Survivors Presenting within 72 hours  for Age "&amp;T19&amp;" "&amp;U20&amp;" should not be more than Sexual Rape Survivors"&amp;CHAR(10),""),IF(V286&lt;V287," * SGBV Survivors Presenting within 72 hours  for Age "&amp;V19&amp;" "&amp;V20&amp;" should not be more than Sexual Rape Survivors"&amp;CHAR(10),""),IF(W286&lt;W287," * SGBV Survivors Presenting within 72 hours  for Age "&amp;V19&amp;" "&amp;W20&amp;" should not be more than Sexual Rape Survivors"&amp;CHAR(10),""),IF(X286&lt;X287," * SGBV Survivors Presenting within 72 hours  for Age "&amp;X19&amp;" "&amp;X20&amp;" should not be more than Sexual Rape Survivors"&amp;CHAR(10),""),IF(Y286&lt;Y287," * SGBV Survivors Presenting within 72 hours  for Age "&amp;X19&amp;" "&amp;Y20&amp;" should not be more than Sexual Rape Survivors"&amp;CHAR(10),""),IF(Z286&lt;Z287," * SGBV Survivors Presenting within 72 hours  for Age "&amp;Z19&amp;" "&amp;Z20&amp;" should not be more than Sexual Rape Survivors"&amp;CHAR(10),""),IF(AA286&lt;AA287," * SGBV Survivors Presenting within 72 hours  for Age "&amp;Z19&amp;" "&amp;AA20&amp;" should not be more than Sexual Rape Survivors"&amp;CHAR(10),""))</f>
        <v/>
      </c>
      <c r="AL287" s="1312"/>
      <c r="AM287" s="31"/>
      <c r="AN287" s="1463"/>
      <c r="AO287" s="13">
        <v>179</v>
      </c>
      <c r="AP287" s="74"/>
      <c r="AQ287" s="75"/>
    </row>
    <row r="288" spans="1:43" ht="26.25" hidden="1" x14ac:dyDescent="0.4">
      <c r="A288" s="1466"/>
      <c r="B288" s="998" t="s">
        <v>1281</v>
      </c>
      <c r="C288" s="925" t="s">
        <v>1280</v>
      </c>
      <c r="D288" s="120"/>
      <c r="E288" s="918"/>
      <c r="F288" s="120"/>
      <c r="G288" s="918"/>
      <c r="H288" s="120"/>
      <c r="I288" s="918"/>
      <c r="J288" s="120"/>
      <c r="K288" s="918"/>
      <c r="L288" s="120"/>
      <c r="M288" s="918"/>
      <c r="N288" s="120"/>
      <c r="O288" s="918"/>
      <c r="P288" s="120"/>
      <c r="Q288" s="918"/>
      <c r="R288" s="120"/>
      <c r="S288" s="918"/>
      <c r="T288" s="120"/>
      <c r="U288" s="918"/>
      <c r="V288" s="120"/>
      <c r="W288" s="918"/>
      <c r="X288" s="120"/>
      <c r="Y288" s="918"/>
      <c r="Z288" s="120"/>
      <c r="AA288" s="918"/>
      <c r="AB288" s="325"/>
      <c r="AC288" s="325"/>
      <c r="AD288" s="325"/>
      <c r="AE288" s="325"/>
      <c r="AF288" s="325"/>
      <c r="AG288" s="325"/>
      <c r="AH288" s="325"/>
      <c r="AI288" s="325"/>
      <c r="AJ288" s="452">
        <f t="shared" ref="AJ288" si="73">SUM(D288:AA288)</f>
        <v>0</v>
      </c>
      <c r="AK288" s="909" t="str">
        <f>CONCATENATE(IF(D288&gt;D287," * SGBV Survivors Presenting within 120 hours  for Age "&amp;D19&amp;" "&amp;D20&amp;" should not be more than Sexual Rape Survivors"&amp;CHAR(10),""),IF(E288&gt;E287," * SGBV Survivors Presenting within 120 hours  for Age "&amp;D19&amp;" "&amp;E20&amp;" should not be more than Sexual Rape Survivors"&amp;CHAR(10),""),IF(F288&gt;F287," * SGBV Survivors Presenting within 120 hours  for Age "&amp;F19&amp;" "&amp;F20&amp;" should not be more than Sexual Rape Survivors"&amp;CHAR(10),""),IF(G288&gt;G287," * SGBV Survivors Presenting within 120 hours  for Age "&amp;F19&amp;" "&amp;G20&amp;" should not be more than Sexual Rape Survivors"&amp;CHAR(10),""),IF(H288&gt;H287," * SGBV Survivors Presenting within 120 hours  for Age "&amp;H19&amp;" "&amp;H20&amp;" should not be more than Sexual Rape Survivors"&amp;CHAR(10),""),IF(I288&gt;I287," * SGBV Survivors Presenting within 120 hours  for Age "&amp;H19&amp;" "&amp;I20&amp;" should not be more than Sexual Rape Survivors"&amp;CHAR(10),""),IF(J288&gt;J287," * SGBV Survivors Presenting within 120 hours  for Age "&amp;J19&amp;" "&amp;J20&amp;" should not be more than Sexual Rape Survivors"&amp;CHAR(10),""),IF(K288&gt;K287," * SGBV Survivors Presenting within 120 hours  for Age "&amp;J19&amp;" "&amp;K20&amp;" should not be more than Sexual Rape Survivors"&amp;CHAR(10),""),IF(L288&gt;L287," * SGBV Survivors Presenting within 120 hours  for Age "&amp;L19&amp;" "&amp;L20&amp;" should not be more than Sexual Rape Survivors"&amp;CHAR(10),""),IF(M288&gt;M287," * SGBV Survivors Presenting within 120 hours  for Age "&amp;L19&amp;" "&amp;M20&amp;" should not be more than Sexual Rape Survivors"&amp;CHAR(10),""),IF(N288&gt;N287," * SGBV Survivors Presenting within 120 hours  for Age "&amp;N19&amp;" "&amp;N20&amp;" should not be more than Sexual Rape Survivors"&amp;CHAR(10),""),IF(O288&gt;O287," * SGBV Survivors Presenting within 120 hours  for Age "&amp;N19&amp;" "&amp;O20&amp;" should not be more than Sexual Rape Survivors"&amp;CHAR(10),""),IF(P288&gt;P287," * SGBV Survivors Presenting within 120 hours  for Age "&amp;P19&amp;" "&amp;P20&amp;" should not be more than Sexual Rape Survivors"&amp;CHAR(10),""),IF(Q288&gt;Q287," * SGBV Survivors Presenting within 120 hours  for Age "&amp;P19&amp;" "&amp;Q20&amp;" should not be more than Sexual Rape Survivors"&amp;CHAR(10),""),IF(R288&gt;R287," * SGBV Survivors Presenting within 120 hours  for Age "&amp;R19&amp;" "&amp;R20&amp;" should not be more than Sexual Rape Survivors"&amp;CHAR(10),""),IF(S288&gt;S287," * SGBV Survivors Presenting within 120 hours  for Age "&amp;R19&amp;" "&amp;S20&amp;" should not be more than Sexual Rape Survivors"&amp;CHAR(10),""),IF(T288&gt;T287," * SGBV Survivors Presenting within 120 hours  for Age "&amp;T19&amp;" "&amp;T20&amp;" should not be more than Sexual Rape Survivors"&amp;CHAR(10),""),IF(U288&gt;U287," * SGBV Survivors Presenting within 120 hours  for Age "&amp;T19&amp;" "&amp;U20&amp;" should not be more than Sexual Rape Survivors"&amp;CHAR(10),""),IF(V288&gt;V287," * SGBV Survivors Presenting within 120 hours  for Age "&amp;V19&amp;" "&amp;V20&amp;" should not be more than Sexual Rape Survivors"&amp;CHAR(10),""),IF(W288&gt;W287," * SGBV Survivors Presenting within 120 hours  for Age "&amp;V19&amp;" "&amp;W20&amp;" should not be more than Sexual Rape Survivors"&amp;CHAR(10),""),IF(X288&gt;X287," * SGBV Survivors Presenting within 120 hours  for Age "&amp;X19&amp;" "&amp;X20&amp;" should not be more than Sexual Rape Survivors"&amp;CHAR(10),""),IF(Y288&gt;Y287," * SGBV Survivors Presenting within 120 hours  for Age "&amp;X19&amp;" "&amp;Y20&amp;" should not be more than Sexual Rape Survivors"&amp;CHAR(10),""),IF(Z288&gt;Z287," * SGBV Survivors Presenting within 120 hours  for Age "&amp;Z19&amp;" "&amp;Z20&amp;" should not be more than Sexual Rape Survivors"&amp;CHAR(10),""),IF(AA288&gt;AA287," * SGBV Survivors Presenting within 120 hours  for Age "&amp;Z19&amp;" "&amp;AA20&amp;" should not be more than Sexual Rape Survivors"&amp;CHAR(10),""))</f>
        <v/>
      </c>
      <c r="AL288" s="1312"/>
      <c r="AM288" s="31"/>
      <c r="AN288" s="1463"/>
      <c r="AO288" s="13">
        <v>181</v>
      </c>
      <c r="AP288" s="74"/>
      <c r="AQ288" s="75"/>
    </row>
    <row r="289" spans="1:43" s="14" customFormat="1" ht="26.25" hidden="1" x14ac:dyDescent="0.4">
      <c r="A289" s="1466"/>
      <c r="B289" s="998" t="s">
        <v>620</v>
      </c>
      <c r="C289" s="992" t="s">
        <v>224</v>
      </c>
      <c r="D289" s="120"/>
      <c r="E289" s="120"/>
      <c r="F289" s="120"/>
      <c r="G289" s="120"/>
      <c r="H289" s="120"/>
      <c r="I289" s="120"/>
      <c r="J289" s="120"/>
      <c r="K289" s="188"/>
      <c r="L289" s="120"/>
      <c r="M289" s="188"/>
      <c r="N289" s="120"/>
      <c r="O289" s="188"/>
      <c r="P289" s="120"/>
      <c r="Q289" s="188"/>
      <c r="R289" s="120"/>
      <c r="S289" s="188"/>
      <c r="T289" s="120"/>
      <c r="U289" s="188"/>
      <c r="V289" s="120"/>
      <c r="W289" s="188"/>
      <c r="X289" s="120"/>
      <c r="Y289" s="188"/>
      <c r="Z289" s="120"/>
      <c r="AA289" s="319"/>
      <c r="AB289" s="354"/>
      <c r="AC289" s="325"/>
      <c r="AD289" s="325"/>
      <c r="AE289" s="325"/>
      <c r="AF289" s="325"/>
      <c r="AG289" s="325"/>
      <c r="AH289" s="325"/>
      <c r="AI289" s="325"/>
      <c r="AJ289" s="452">
        <f>SUM(D289:AA289)</f>
        <v>0</v>
      </c>
      <c r="AK289" s="130" t="str">
        <f>CONCATENATE(IF(D289&gt;D283," * Given Emergency Contraceptive Pill for Age "&amp;D20&amp;" "&amp;D21&amp;" is more than Sexual Violence Rape Survivors"&amp;CHAR(10),""),IF(E289&gt;E283," * Given Emergency Contraceptive Pill for Age "&amp;D20&amp;" "&amp;E21&amp;" is more than Sexual Violence Rape Survivors"&amp;CHAR(10),""),IF(F289&gt;F283," * Given Emergency Contraceptive Pill for Age "&amp;F20&amp;" "&amp;F21&amp;" is more than Sexual Violence Rape Survivors"&amp;CHAR(10),""),IF(G289&gt;G283," * Given Emergency Contraceptive Pill for Age "&amp;F20&amp;" "&amp;G21&amp;" is more than Sexual Violence Rape Survivors"&amp;CHAR(10),""),IF(H289&gt;H283," * Given Emergency Contraceptive Pill for Age "&amp;H20&amp;" "&amp;H21&amp;" is more than Sexual Violence Rape Survivors"&amp;CHAR(10),""),IF(I289&gt;I283," * Given Emergency Contraceptive Pill for Age "&amp;H20&amp;" "&amp;I21&amp;" is more than Sexual Violence Rape Survivors"&amp;CHAR(10),""),IF(J289&gt;J283," * Given Emergency Contraceptive Pill for Age "&amp;J20&amp;" "&amp;J21&amp;" is more than Sexual Violence Rape Survivors"&amp;CHAR(10),""),IF(K289&gt;K283," * Given Emergency Contraceptive Pill for Age "&amp;J20&amp;" "&amp;K21&amp;" is more than Sexual Violence Rape Survivors"&amp;CHAR(10),""),IF(L289&gt;L283," * Given Emergency Contraceptive Pill for Age "&amp;L20&amp;" "&amp;L21&amp;" is more than Sexual Violence Rape Survivors"&amp;CHAR(10),""),IF(M289&gt;M283," * Given Emergency Contraceptive Pill for Age "&amp;L20&amp;" "&amp;M21&amp;" is more than Sexual Violence Rape Survivors"&amp;CHAR(10),""),IF(N289&gt;N283," * Given Emergency Contraceptive Pill for Age "&amp;N20&amp;" "&amp;N21&amp;" is more than Sexual Violence Rape Survivors"&amp;CHAR(10),""),IF(O289&gt;O283," * Given Emergency Contraceptive Pill for Age "&amp;N20&amp;" "&amp;O21&amp;" is more than Sexual Violence Rape Survivors"&amp;CHAR(10),""),IF(P289&gt;P283," * Given Emergency Contraceptive Pill for Age "&amp;P20&amp;" "&amp;P21&amp;" is more than Sexual Violence Rape Survivors"&amp;CHAR(10),""),IF(Q289&gt;Q283," * Given Emergency Contraceptive Pill for Age "&amp;P20&amp;" "&amp;Q21&amp;" is more than Sexual Violence Rape Survivors"&amp;CHAR(10),""),IF(R289&gt;R283," * Given Emergency Contraceptive Pill for Age "&amp;R20&amp;" "&amp;R21&amp;" is more than Sexual Violence Rape Survivors"&amp;CHAR(10),""),IF(S289&gt;S283," * Given Emergency Contraceptive Pill for Age "&amp;R20&amp;" "&amp;S21&amp;" is more than Sexual Violence Rape Survivors"&amp;CHAR(10),""),IF(T289&gt;T283," * Given Emergency Contraceptive Pill for Age "&amp;T20&amp;" "&amp;T21&amp;" is more than Sexual Violence Rape Survivors"&amp;CHAR(10),""),IF(U289&gt;U283," * Given Emergency Contraceptive Pill for Age "&amp;T20&amp;" "&amp;U21&amp;" is more than Sexual Violence Rape Survivors"&amp;CHAR(10),""),IF(V289&gt;V283," * Given Emergency Contraceptive Pill for Age "&amp;V20&amp;" "&amp;V21&amp;" is more than Sexual Violence Rape Survivors"&amp;CHAR(10),""),IF(W289&gt;W283," * Given Emergency Contraceptive Pill for Age "&amp;V20&amp;" "&amp;W21&amp;" is more than Sexual Violence Rape Survivors"&amp;CHAR(10),""),IF(X289&gt;X283," * Given Emergency Contraceptive Pill for Age "&amp;X20&amp;" "&amp;X21&amp;" is more than Sexual Violence Rape Survivors"&amp;CHAR(10),""),IF(Y289&gt;Y283," * Given Emergency Contraceptive Pill for Age "&amp;X20&amp;" "&amp;Y21&amp;" is more than Sexual Violence Rape Survivors"&amp;CHAR(10),""),IF(Z289&gt;Z283," * Given Emergency Contraceptive Pill for Age "&amp;Z20&amp;" "&amp;Z21&amp;" is more than Sexual Violence Rape Survivors"&amp;CHAR(10),""),IF(AA289&gt;AA283," * Given Emergency Contraceptive Pill for Age "&amp;Z20&amp;" "&amp;AA21&amp;" is more than Sexual Violence Rape Survivors"&amp;CHAR(10),""))</f>
        <v/>
      </c>
      <c r="AL289" s="1312"/>
      <c r="AM289" s="31"/>
      <c r="AN289" s="1463"/>
      <c r="AO289" s="13">
        <v>185</v>
      </c>
      <c r="AP289" s="74"/>
      <c r="AQ289" s="147"/>
    </row>
    <row r="290" spans="1:43" s="14" customFormat="1" ht="26.25" hidden="1" x14ac:dyDescent="0.4">
      <c r="A290" s="1466"/>
      <c r="B290" s="998" t="s">
        <v>621</v>
      </c>
      <c r="C290" s="992" t="s">
        <v>225</v>
      </c>
      <c r="D290" s="120"/>
      <c r="E290" s="120"/>
      <c r="F290" s="120"/>
      <c r="G290" s="120"/>
      <c r="H290" s="120"/>
      <c r="I290" s="120"/>
      <c r="J290" s="120"/>
      <c r="K290" s="189"/>
      <c r="L290" s="120"/>
      <c r="M290" s="189"/>
      <c r="N290" s="120"/>
      <c r="O290" s="189"/>
      <c r="P290" s="120"/>
      <c r="Q290" s="189"/>
      <c r="R290" s="120"/>
      <c r="S290" s="189"/>
      <c r="T290" s="120"/>
      <c r="U290" s="189"/>
      <c r="V290" s="120"/>
      <c r="W290" s="189"/>
      <c r="X290" s="120"/>
      <c r="Y290" s="189"/>
      <c r="Z290" s="120"/>
      <c r="AA290" s="320"/>
      <c r="AB290" s="354"/>
      <c r="AC290" s="325"/>
      <c r="AD290" s="325"/>
      <c r="AE290" s="325"/>
      <c r="AF290" s="325"/>
      <c r="AG290" s="325"/>
      <c r="AH290" s="325"/>
      <c r="AI290" s="325"/>
      <c r="AJ290" s="452">
        <f>SUM(D290:AA290)</f>
        <v>0</v>
      </c>
      <c r="AK290" s="130" t="str">
        <f>CONCATENATE(IF(D290&gt;D289," * Given Emergency Contraceptive Pill for Age "&amp;D20&amp;" "&amp;D21&amp;" is more than Eligible for Emergency Contraceptive Pill"&amp;CHAR(10),""),IF(E290&gt;E289," * Given Emergency Contraceptive Pill for Age "&amp;D20&amp;" "&amp;E21&amp;" is more than Eligible for Emergency Contraceptive Pill"&amp;CHAR(10),""),IF(F290&gt;F289," * Given Emergency Contraceptive Pill for Age "&amp;F20&amp;" "&amp;F21&amp;" is more than Eligible for Emergency Contraceptive Pill"&amp;CHAR(10),""),IF(G290&gt;G289," * Given Emergency Contraceptive Pill for Age "&amp;F20&amp;" "&amp;G21&amp;" is more than Eligible for Emergency Contraceptive Pill"&amp;CHAR(10),""),IF(H290&gt;H289," * Given Emergency Contraceptive Pill for Age "&amp;H20&amp;" "&amp;H21&amp;" is more than Eligible for Emergency Contraceptive Pill"&amp;CHAR(10),""),IF(I290&gt;I289," * Given Emergency Contraceptive Pill for Age "&amp;H20&amp;" "&amp;I21&amp;" is more than Eligible for Emergency Contraceptive Pill"&amp;CHAR(10),""),IF(J290&gt;J289," * Given Emergency Contraceptive Pill for Age "&amp;J20&amp;" "&amp;J21&amp;" is more than Eligible for Emergency Contraceptive Pill"&amp;CHAR(10),""),IF(K290&gt;K289," * Given Emergency Contraceptive Pill for Age "&amp;J20&amp;" "&amp;K21&amp;" is more than Eligible for Emergency Contraceptive Pill"&amp;CHAR(10),""),IF(L290&gt;L289," * Given Emergency Contraceptive Pill for Age "&amp;L20&amp;" "&amp;L21&amp;" is more than Eligible for Emergency Contraceptive Pill"&amp;CHAR(10),""),IF(M290&gt;M289," * Given Emergency Contraceptive Pill for Age "&amp;L20&amp;" "&amp;M21&amp;" is more than Eligible for Emergency Contraceptive Pill"&amp;CHAR(10),""),IF(N290&gt;N289," * Given Emergency Contraceptive Pill for Age "&amp;N20&amp;" "&amp;N21&amp;" is more than Eligible for Emergency Contraceptive Pill"&amp;CHAR(10),""),IF(O290&gt;O289," * Given Emergency Contraceptive Pill for Age "&amp;N20&amp;" "&amp;O21&amp;" is more than Eligible for Emergency Contraceptive Pill"&amp;CHAR(10),""),IF(P290&gt;P289," * Given Emergency Contraceptive Pill for Age "&amp;P20&amp;" "&amp;P21&amp;" is more than Eligible for Emergency Contraceptive Pill"&amp;CHAR(10),""),IF(Q290&gt;Q289," * Given Emergency Contraceptive Pill for Age "&amp;P20&amp;" "&amp;Q21&amp;" is more than Eligible for Emergency Contraceptive Pill"&amp;CHAR(10),""),IF(R290&gt;R289," * Given Emergency Contraceptive Pill for Age "&amp;R20&amp;" "&amp;R21&amp;" is more than Eligible for Emergency Contraceptive Pill"&amp;CHAR(10),""),IF(S290&gt;S289," * Given Emergency Contraceptive Pill for Age "&amp;R20&amp;" "&amp;S21&amp;" is more than Eligible for Emergency Contraceptive Pill"&amp;CHAR(10),""),IF(T290&gt;T289," * Given Emergency Contraceptive Pill for Age "&amp;T20&amp;" "&amp;T21&amp;" is more than Eligible for Emergency Contraceptive Pill"&amp;CHAR(10),""),IF(U290&gt;U289," * Given Emergency Contraceptive Pill for Age "&amp;T20&amp;" "&amp;U21&amp;" is more than Eligible for Emergency Contraceptive Pill"&amp;CHAR(10),""),IF(V290&gt;V289," * Given Emergency Contraceptive Pill for Age "&amp;V20&amp;" "&amp;V21&amp;" is more than Eligible for Emergency Contraceptive Pill"&amp;CHAR(10),""),IF(W290&gt;W289," * Given Emergency Contraceptive Pill for Age "&amp;V20&amp;" "&amp;W21&amp;" is more than Eligible for Emergency Contraceptive Pill"&amp;CHAR(10),""),IF(X290&gt;X289," * Given Emergency Contraceptive Pill for Age "&amp;X20&amp;" "&amp;X21&amp;" is more than Eligible for Emergency Contraceptive Pill"&amp;CHAR(10),""),IF(Y290&gt;Y289," * Given Emergency Contraceptive Pill for Age "&amp;X20&amp;" "&amp;Y21&amp;" is more than Eligible for Emergency Contraceptive Pill"&amp;CHAR(10),""),IF(Z290&gt;Z289," * Given Emergency Contraceptive Pill for Age "&amp;Z20&amp;" "&amp;Z21&amp;" is more than Eligible for Emergency Contraceptive Pill"&amp;CHAR(10),""),IF(AA290&gt;AA289," * Given Emergency Contraceptive Pill for Age "&amp;Z20&amp;" "&amp;AA21&amp;" is more than Eligible for Emergency Contraceptive Pill"&amp;CHAR(10),""))</f>
        <v/>
      </c>
      <c r="AL290" s="1312"/>
      <c r="AM290" s="31"/>
      <c r="AN290" s="1463"/>
      <c r="AO290" s="13">
        <v>186</v>
      </c>
      <c r="AP290" s="74"/>
      <c r="AQ290" s="147"/>
    </row>
    <row r="291" spans="1:43" s="14" customFormat="1" ht="26.25" hidden="1" x14ac:dyDescent="0.4">
      <c r="A291" s="1466"/>
      <c r="B291" s="998" t="s">
        <v>617</v>
      </c>
      <c r="C291" s="974" t="s">
        <v>221</v>
      </c>
      <c r="D291" s="185"/>
      <c r="E291" s="185"/>
      <c r="F291" s="185"/>
      <c r="G291" s="185"/>
      <c r="H291" s="185"/>
      <c r="I291" s="185"/>
      <c r="J291" s="185"/>
      <c r="K291" s="185"/>
      <c r="L291" s="185"/>
      <c r="M291" s="185"/>
      <c r="N291" s="185"/>
      <c r="O291" s="185"/>
      <c r="P291" s="185"/>
      <c r="Q291" s="185"/>
      <c r="R291" s="185"/>
      <c r="S291" s="185"/>
      <c r="T291" s="185"/>
      <c r="U291" s="185"/>
      <c r="V291" s="185"/>
      <c r="W291" s="185"/>
      <c r="X291" s="185"/>
      <c r="Y291" s="185"/>
      <c r="Z291" s="185"/>
      <c r="AA291" s="318"/>
      <c r="AB291" s="354"/>
      <c r="AC291" s="325"/>
      <c r="AD291" s="325"/>
      <c r="AE291" s="325"/>
      <c r="AF291" s="325"/>
      <c r="AG291" s="325"/>
      <c r="AH291" s="325"/>
      <c r="AI291" s="325"/>
      <c r="AJ291" s="452">
        <f t="shared" ref="AJ291:AJ298" si="74">SUM(D291:AA291)</f>
        <v>0</v>
      </c>
      <c r="AK291" s="116" t="str">
        <f>CONCATENATE(IF(D291&gt;D283," * Total Rape Survivors for Age "&amp;D20&amp;" "&amp;D21&amp;" is less than Screened For STI"&amp;CHAR(10),""),IF(E291&gt;E283," * Total Rape Survivors for Age "&amp;D20&amp;" "&amp;E21&amp;" is less than Screened For STI"&amp;CHAR(10),""),IF(F291&gt;F283," * Total Rape Survivors for Age "&amp;F20&amp;" "&amp;F21&amp;" is less than Screened For STI"&amp;CHAR(10),""),IF(G291&gt;G283," * Total Rape Survivors for Age "&amp;F20&amp;" "&amp;G21&amp;" is less than Screened For STI"&amp;CHAR(10),""),IF(H291&gt;H283," * Total Rape Survivors for Age "&amp;H20&amp;" "&amp;H21&amp;" is less than Screened For STI"&amp;CHAR(10),""),IF(I291&gt;I283," * Total Rape Survivors for Age "&amp;H20&amp;" "&amp;I21&amp;" is less than Screened For STI"&amp;CHAR(10),""),IF(J291&gt;J283," * Total Rape Survivors for Age "&amp;J20&amp;" "&amp;J21&amp;" is less than Screened For STI"&amp;CHAR(10),""),IF(K291&gt;K283," * Total Rape Survivors for Age "&amp;J20&amp;" "&amp;K21&amp;" is less than Screened For STI"&amp;CHAR(10),""),IF(L291&gt;L283," * Total Rape Survivors for Age "&amp;L20&amp;" "&amp;L21&amp;" is less than Screened For STI"&amp;CHAR(10),""),IF(M291&gt;M283," * Total Rape Survivors for Age "&amp;L20&amp;" "&amp;M21&amp;" is less than Screened For STI"&amp;CHAR(10),""),IF(N291&gt;N283," * Total Rape Survivors for Age "&amp;N20&amp;" "&amp;N21&amp;" is less than Screened For STI"&amp;CHAR(10),""),IF(O291&gt;O283," * Total Rape Survivors for Age "&amp;N20&amp;" "&amp;O21&amp;" is less than Screened For STI"&amp;CHAR(10),""),IF(P291&gt;P283," * Total Rape Survivors for Age "&amp;P20&amp;" "&amp;P21&amp;" is less than Screened For STI"&amp;CHAR(10),""),IF(Q291&gt;Q283," * Total Rape Survivors for Age "&amp;P20&amp;" "&amp;Q21&amp;" is less than Screened For STI"&amp;CHAR(10),""),IF(R291&gt;R283," * Total Rape Survivors for Age "&amp;R20&amp;" "&amp;R21&amp;" is less than Screened For STI"&amp;CHAR(10),""),IF(S291&gt;S283," * Total Rape Survivors for Age "&amp;R20&amp;" "&amp;S21&amp;" is less than Screened For STI"&amp;CHAR(10),""),IF(T291&gt;T283," * Total Rape Survivors for Age "&amp;T20&amp;" "&amp;T21&amp;" is less than Screened For STI"&amp;CHAR(10),""),IF(U291&gt;U283," * Total Rape Survivors for Age "&amp;T20&amp;" "&amp;U21&amp;" is less than Screened For STI"&amp;CHAR(10),""),IF(V291&gt;V283," * Total Rape Survivors for Age "&amp;V20&amp;" "&amp;V21&amp;" is less than Screened For STI"&amp;CHAR(10),""),IF(W291&gt;W283," * Total Rape Survivors for Age "&amp;V20&amp;" "&amp;W21&amp;" is less than Screened For STI"&amp;CHAR(10),""),IF(X291&gt;X283," * Total Rape Survivors for Age "&amp;X20&amp;" "&amp;X21&amp;" is less than Screened For STI"&amp;CHAR(10),""),IF(Y291&gt;Y283," * Total Rape Survivors for Age "&amp;X20&amp;" "&amp;Y21&amp;" is less than Screened For STI"&amp;CHAR(10),""),IF(Z291&gt;Z283," * Total Rape Survivors for Age "&amp;Z20&amp;" "&amp;Z21&amp;" is less than Screened For STI"&amp;CHAR(10),""),IF(AA291&gt;AA283," * Total Rape Survivors for Age "&amp;Z20&amp;" "&amp;AA21&amp;" is less than Screened For STI"&amp;CHAR(10),""),IF(AJ291&gt;AJ283," * Total Total Rape Survivors is less than Total Screened For STI"&amp;CHAR(10),""))</f>
        <v/>
      </c>
      <c r="AL291" s="1312"/>
      <c r="AM291" s="31"/>
      <c r="AN291" s="1463"/>
      <c r="AO291" s="13">
        <v>182</v>
      </c>
      <c r="AP291" s="74"/>
      <c r="AQ291" s="147"/>
    </row>
    <row r="292" spans="1:43" s="14" customFormat="1" ht="26.25" hidden="1" x14ac:dyDescent="0.4">
      <c r="A292" s="1466"/>
      <c r="B292" s="997" t="s">
        <v>618</v>
      </c>
      <c r="C292" s="992" t="s">
        <v>222</v>
      </c>
      <c r="D292" s="187"/>
      <c r="E292" s="187"/>
      <c r="F292" s="187"/>
      <c r="G292" s="187"/>
      <c r="H292" s="187"/>
      <c r="I292" s="187"/>
      <c r="J292" s="187"/>
      <c r="K292" s="187"/>
      <c r="L292" s="187"/>
      <c r="M292" s="187"/>
      <c r="N292" s="187"/>
      <c r="O292" s="187"/>
      <c r="P292" s="187"/>
      <c r="Q292" s="187"/>
      <c r="R292" s="187"/>
      <c r="S292" s="187"/>
      <c r="T292" s="187"/>
      <c r="U292" s="187"/>
      <c r="V292" s="187"/>
      <c r="W292" s="187"/>
      <c r="X292" s="187"/>
      <c r="Y292" s="187"/>
      <c r="Z292" s="187"/>
      <c r="AA292" s="187"/>
      <c r="AB292" s="354"/>
      <c r="AC292" s="325"/>
      <c r="AD292" s="325"/>
      <c r="AE292" s="325"/>
      <c r="AF292" s="325"/>
      <c r="AG292" s="325"/>
      <c r="AH292" s="325"/>
      <c r="AI292" s="325"/>
      <c r="AJ292" s="452">
        <f t="shared" si="74"/>
        <v>0</v>
      </c>
      <c r="AK292" s="130" t="str">
        <f>CONCATENATE(IF(D292&gt;D291," * Screened For STI for Age "&amp;D20&amp;" "&amp;D21&amp;" is more than Tested For STI"&amp;CHAR(10),""),IF(E292&gt;E291," * Screened For STI for Age "&amp;D20&amp;" "&amp;E21&amp;" is more than Tested For STI"&amp;CHAR(10),""),IF(F292&gt;F291," * Screened For STI for Age "&amp;F20&amp;" "&amp;F21&amp;" is more than Tested For STI"&amp;CHAR(10),""),IF(G292&gt;G291," * Screened For STI for Age "&amp;F20&amp;" "&amp;G21&amp;" is more than Tested For STI"&amp;CHAR(10),""),IF(H292&gt;H291," * Screened For STI for Age "&amp;H20&amp;" "&amp;H21&amp;" is more than Tested For STI"&amp;CHAR(10),""),IF(I292&gt;I291," * Screened For STI for Age "&amp;H20&amp;" "&amp;I21&amp;" is more than Tested For STI"&amp;CHAR(10),""),IF(J292&gt;J291," * Screened For STI for Age "&amp;J20&amp;" "&amp;J21&amp;" is more than Tested For STI"&amp;CHAR(10),""),IF(K292&gt;K291," * Screened For STI for Age "&amp;J20&amp;" "&amp;K21&amp;" is more than Tested For STI"&amp;CHAR(10),""),IF(L292&gt;L291," * Screened For STI for Age "&amp;L20&amp;" "&amp;L21&amp;" is more than Tested For STI"&amp;CHAR(10),""),IF(M292&gt;M291," * Screened For STI for Age "&amp;L20&amp;" "&amp;M21&amp;" is more than Tested For STI"&amp;CHAR(10),""),IF(N292&gt;N291," * Screened For STI for Age "&amp;N20&amp;" "&amp;N21&amp;" is more than Tested For STI"&amp;CHAR(10),""),IF(O292&gt;O291," * Screened For STI for Age "&amp;N20&amp;" "&amp;O21&amp;" is more than Tested For STI"&amp;CHAR(10),""),IF(P292&gt;P291," * Screened For STI for Age "&amp;P20&amp;" "&amp;P21&amp;" is more than Tested For STI"&amp;CHAR(10),""),IF(Q292&gt;Q291," * Screened For STI for Age "&amp;P20&amp;" "&amp;Q21&amp;" is more than Tested For STI"&amp;CHAR(10),""),IF(R292&gt;R291," * Screened For STI for Age "&amp;R20&amp;" "&amp;R21&amp;" is more than Tested For STI"&amp;CHAR(10),""),IF(S292&gt;S291," * Screened For STI for Age "&amp;R20&amp;" "&amp;S21&amp;" is more than Tested For STI"&amp;CHAR(10),""),IF(T292&gt;T291," * Screened For STI for Age "&amp;T20&amp;" "&amp;T21&amp;" is more than Tested For STI"&amp;CHAR(10),""),IF(U292&gt;U291," * Screened For STI for Age "&amp;T20&amp;" "&amp;U21&amp;" is more than Tested For STI"&amp;CHAR(10),""),IF(V292&gt;V291," * Screened For STI for Age "&amp;V20&amp;" "&amp;V21&amp;" is more than Tested For STI"&amp;CHAR(10),""),IF(W292&gt;W291," * Screened For STI for Age "&amp;V20&amp;" "&amp;W21&amp;" is more than Tested For STI"&amp;CHAR(10),""),IF(X292&gt;X291," * Screened For STI for Age "&amp;X20&amp;" "&amp;X21&amp;" is more than Tested For STI"&amp;CHAR(10),""),IF(Y292&gt;Y291," * Screened For STI for Age "&amp;X20&amp;" "&amp;Y21&amp;" is more than Tested For STI"&amp;CHAR(10),""),IF(Z292&gt;Z291," * Screened For STI for Age "&amp;Z20&amp;" "&amp;Z21&amp;" is more than Tested For STI"&amp;CHAR(10),""),IF(AA292&gt;AA291," * Screened For STI for Age "&amp;AA20&amp;" "&amp;AA21&amp;" is more than Tested For STI"&amp;CHAR(10),""))</f>
        <v/>
      </c>
      <c r="AL292" s="1312"/>
      <c r="AM292" s="31"/>
      <c r="AN292" s="1463"/>
      <c r="AO292" s="13">
        <v>183</v>
      </c>
      <c r="AP292" s="74"/>
      <c r="AQ292" s="147"/>
    </row>
    <row r="293" spans="1:43" s="14" customFormat="1" ht="26.25" hidden="1" x14ac:dyDescent="0.4">
      <c r="A293" s="1466"/>
      <c r="B293" s="999" t="s">
        <v>1314</v>
      </c>
      <c r="C293" s="1000" t="s">
        <v>1312</v>
      </c>
      <c r="D293" s="187"/>
      <c r="E293" s="187"/>
      <c r="F293" s="187"/>
      <c r="G293" s="187"/>
      <c r="H293" s="187"/>
      <c r="I293" s="187"/>
      <c r="J293" s="187"/>
      <c r="K293" s="187"/>
      <c r="L293" s="187"/>
      <c r="M293" s="187"/>
      <c r="N293" s="187"/>
      <c r="O293" s="187"/>
      <c r="P293" s="187"/>
      <c r="Q293" s="187"/>
      <c r="R293" s="187"/>
      <c r="S293" s="187"/>
      <c r="T293" s="187"/>
      <c r="U293" s="187"/>
      <c r="V293" s="187"/>
      <c r="W293" s="187"/>
      <c r="X293" s="187"/>
      <c r="Y293" s="187"/>
      <c r="Z293" s="187"/>
      <c r="AA293" s="187"/>
      <c r="AB293" s="354"/>
      <c r="AC293" s="325"/>
      <c r="AD293" s="325"/>
      <c r="AE293" s="325"/>
      <c r="AF293" s="325"/>
      <c r="AG293" s="325"/>
      <c r="AH293" s="325"/>
      <c r="AI293" s="325"/>
      <c r="AJ293" s="452">
        <f t="shared" ref="AJ293" si="75">SUM(D293:AA293)</f>
        <v>0</v>
      </c>
      <c r="AK293" s="130" t="str">
        <f>CONCATENATE(IF(D293&gt;D292," * Tested Positive for STI for Age "&amp;D21&amp;" "&amp;D22&amp;" is more than Tested For STI"&amp;CHAR(10),""),IF(E293&gt;E292," * Screened For STI for Age "&amp;D21&amp;" "&amp;E22&amp;" is more than Tested For STI"&amp;CHAR(10),""),IF(F293&gt;F292," * Screened For STI for Age "&amp;F21&amp;" "&amp;F22&amp;" is more than Tested For STI"&amp;CHAR(10),""),IF(G293&gt;G292," * Screened For STI for Age "&amp;F21&amp;" "&amp;G22&amp;" is more than Tested For STI"&amp;CHAR(10),""),IF(H293&gt;H292," * Screened For STI for Age "&amp;H21&amp;" "&amp;H22&amp;" is more than Tested For STI"&amp;CHAR(10),""),IF(I293&gt;I292," * Screened For STI for Age "&amp;H21&amp;" "&amp;I22&amp;" is more than Tested For STI"&amp;CHAR(10),""),IF(J293&gt;J292," * Screened For STI for Age "&amp;J21&amp;" "&amp;J22&amp;" is more than Tested For STI"&amp;CHAR(10),""),IF(K293&gt;K292," * Screened For STI for Age "&amp;J21&amp;" "&amp;K22&amp;" is more than Tested For STI"&amp;CHAR(10),""),IF(L293&gt;L292," * Screened For STI for Age "&amp;L21&amp;" "&amp;L22&amp;" is more than Tested For STI"&amp;CHAR(10),""),IF(M293&gt;M292," * Screened For STI for Age "&amp;L21&amp;" "&amp;M22&amp;" is more than Tested For STI"&amp;CHAR(10),""),IF(N293&gt;N292," * Screened For STI for Age "&amp;N21&amp;" "&amp;N22&amp;" is more than Tested For STI"&amp;CHAR(10),""),IF(O293&gt;O292," * Screened For STI for Age "&amp;N21&amp;" "&amp;O22&amp;" is more than Tested For STI"&amp;CHAR(10),""),IF(P293&gt;P292," * Screened For STI for Age "&amp;P21&amp;" "&amp;P22&amp;" is more than Tested For STI"&amp;CHAR(10),""),IF(Q293&gt;Q292," * Screened For STI for Age "&amp;P21&amp;" "&amp;Q22&amp;" is more than Tested For STI"&amp;CHAR(10),""),IF(R293&gt;R292," * Screened For STI for Age "&amp;R21&amp;" "&amp;R22&amp;" is more than Tested For STI"&amp;CHAR(10),""),IF(S293&gt;S292," * Screened For STI for Age "&amp;R21&amp;" "&amp;S22&amp;" is more than Tested For STI"&amp;CHAR(10),""),IF(T293&gt;T292," * Screened For STI for Age "&amp;T21&amp;" "&amp;T22&amp;" is more than Tested For STI"&amp;CHAR(10),""),IF(U293&gt;U292," * Screened For STI for Age "&amp;T21&amp;" "&amp;U22&amp;" is more than Tested For STI"&amp;CHAR(10),""),IF(V293&gt;V292," * Screened For STI for Age "&amp;V21&amp;" "&amp;V22&amp;" is more than Tested For STI"&amp;CHAR(10),""),IF(W293&gt;W292," * Screened For STI for Age "&amp;V21&amp;" "&amp;W22&amp;" is more than Tested For STI"&amp;CHAR(10),""),IF(X293&gt;X292," * Screened For STI for Age "&amp;X21&amp;" "&amp;X22&amp;" is more than Tested For STI"&amp;CHAR(10),""),IF(Y293&gt;Y292," * Screened For STI for Age "&amp;X21&amp;" "&amp;Y22&amp;" is more than Tested For STI"&amp;CHAR(10),""),IF(Z293&gt;Z292," * Screened For STI for Age "&amp;Z21&amp;" "&amp;Z22&amp;" is more than Tested For STI"&amp;CHAR(10),""),IF(AA293&gt;AA292," * Screened For STI for Age "&amp;AA21&amp;" "&amp;AA22&amp;" is more than Tested For STI"&amp;CHAR(10),""))</f>
        <v/>
      </c>
      <c r="AL293" s="1312"/>
      <c r="AM293" s="31"/>
      <c r="AN293" s="1463"/>
      <c r="AO293" s="13">
        <v>183</v>
      </c>
      <c r="AP293" s="74"/>
      <c r="AQ293" s="147"/>
    </row>
    <row r="294" spans="1:43" s="14" customFormat="1" ht="27" hidden="1" thickBot="1" x14ac:dyDescent="0.45">
      <c r="A294" s="1467"/>
      <c r="B294" s="995" t="s">
        <v>619</v>
      </c>
      <c r="C294" s="992" t="s">
        <v>223</v>
      </c>
      <c r="D294" s="189"/>
      <c r="E294" s="129"/>
      <c r="F294" s="129"/>
      <c r="G294" s="129"/>
      <c r="H294" s="129"/>
      <c r="I294" s="129"/>
      <c r="J294" s="129"/>
      <c r="K294" s="129"/>
      <c r="L294" s="129"/>
      <c r="M294" s="129"/>
      <c r="N294" s="129"/>
      <c r="O294" s="129"/>
      <c r="P294" s="129"/>
      <c r="Q294" s="129"/>
      <c r="R294" s="129"/>
      <c r="S294" s="129"/>
      <c r="T294" s="129"/>
      <c r="U294" s="129"/>
      <c r="V294" s="129"/>
      <c r="W294" s="129"/>
      <c r="X294" s="129"/>
      <c r="Y294" s="129"/>
      <c r="Z294" s="129"/>
      <c r="AA294" s="303"/>
      <c r="AB294" s="354"/>
      <c r="AC294" s="325"/>
      <c r="AD294" s="325"/>
      <c r="AE294" s="325"/>
      <c r="AF294" s="325"/>
      <c r="AG294" s="325"/>
      <c r="AH294" s="325"/>
      <c r="AI294" s="325"/>
      <c r="AJ294" s="452">
        <f t="shared" si="74"/>
        <v>0</v>
      </c>
      <c r="AK294" s="130" t="str">
        <f>CONCATENATE(IF(D294&gt;D292," * F05-07 for Age "&amp;D20&amp;" "&amp;D21&amp;" is more than F05-06"&amp;CHAR(10),""),IF(E294&gt;E292," * F05-07 for Age "&amp;D20&amp;" "&amp;E21&amp;" is more than F05-06"&amp;CHAR(10),""),IF(F294&gt;F292," * F05-07 for Age "&amp;F20&amp;" "&amp;F21&amp;" is more than F05-06"&amp;CHAR(10),""),IF(G294&gt;G292," * F05-07 for Age "&amp;F20&amp;" "&amp;G21&amp;" is more than F05-06"&amp;CHAR(10),""),IF(H294&gt;H292," * F05-07 for Age "&amp;H20&amp;" "&amp;H21&amp;" is more than F05-06"&amp;CHAR(10),""),IF(I294&gt;I292," * F05-07 for Age "&amp;H20&amp;" "&amp;I21&amp;" is more than F05-06"&amp;CHAR(10),""),IF(J294&gt;J292," * F05-07 for Age "&amp;J20&amp;" "&amp;J21&amp;" is more than F05-06"&amp;CHAR(10),""),IF(K294&gt;K292," * F05-07 for Age "&amp;J20&amp;" "&amp;K21&amp;" is more than F05-06"&amp;CHAR(10),""),IF(L294&gt;L292," * F05-07 for Age "&amp;L20&amp;" "&amp;L21&amp;" is more than F05-06"&amp;CHAR(10),""),IF(M294&gt;M292," * F05-07 for Age "&amp;L20&amp;" "&amp;M21&amp;" is more than F05-06"&amp;CHAR(10),""),IF(N294&gt;N292," * F05-07 for Age "&amp;N20&amp;" "&amp;N21&amp;" is more than F05-06"&amp;CHAR(10),""),IF(O294&gt;O292," * F05-07 for Age "&amp;N20&amp;" "&amp;O21&amp;" is more than F05-06"&amp;CHAR(10),""),IF(P294&gt;P292," * F05-07 for Age "&amp;P20&amp;" "&amp;P21&amp;" is more than F05-06"&amp;CHAR(10),""),IF(Q294&gt;Q292," * F05-07 for Age "&amp;P20&amp;" "&amp;Q21&amp;" is more than F05-06"&amp;CHAR(10),""),IF(R294&gt;R292," * F05-07 for Age "&amp;R20&amp;" "&amp;R21&amp;" is more than F05-06"&amp;CHAR(10),""),IF(S294&gt;S292," * F05-07 for Age "&amp;R20&amp;" "&amp;S21&amp;" is more than F05-06"&amp;CHAR(10),""),IF(T294&gt;T292," * F05-07 for Age "&amp;T20&amp;" "&amp;T21&amp;" is more than F05-06"&amp;CHAR(10),""),IF(U294&gt;U292," * F05-07 for Age "&amp;T20&amp;" "&amp;U21&amp;" is more than F05-06"&amp;CHAR(10),""),IF(V294&gt;V292," * F05-07 for Age "&amp;V20&amp;" "&amp;V21&amp;" is more than F05-06"&amp;CHAR(10),""),IF(W294&gt;W292," * F05-07 for Age "&amp;V20&amp;" "&amp;W21&amp;" is more than F05-06"&amp;CHAR(10),""),IF(X294&gt;X292," * F05-07 for Age "&amp;X20&amp;" "&amp;X21&amp;" is more than F05-06"&amp;CHAR(10),""),IF(Y294&gt;Y292," * F05-07 for Age "&amp;X20&amp;" "&amp;Y21&amp;" is more than F05-06"&amp;CHAR(10),""),IF(Z294&gt;Z292," * F05-07 for Age "&amp;Z20&amp;" "&amp;Z21&amp;" is more than F05-06"&amp;CHAR(10),""),IF(AA294&gt;AA292," * F05-07 for Age "&amp;Z20&amp;" "&amp;AA21&amp;" is more than F05-06"&amp;CHAR(10),""),IF(AJ294&gt;AJ292," * Total F05-07 is more than Total F05-06"&amp;CHAR(10),""))</f>
        <v/>
      </c>
      <c r="AL294" s="1312"/>
      <c r="AM294" s="31"/>
      <c r="AN294" s="1463"/>
      <c r="AO294" s="13">
        <v>184</v>
      </c>
      <c r="AP294" s="74"/>
      <c r="AQ294" s="147"/>
    </row>
    <row r="295" spans="1:43" s="14" customFormat="1" ht="26.25" hidden="1" x14ac:dyDescent="0.4">
      <c r="A295" s="1307" t="s">
        <v>91</v>
      </c>
      <c r="B295" s="926" t="s">
        <v>623</v>
      </c>
      <c r="C295" s="525" t="s">
        <v>228</v>
      </c>
      <c r="D295" s="140"/>
      <c r="E295" s="141"/>
      <c r="F295" s="141"/>
      <c r="G295" s="141"/>
      <c r="H295" s="141"/>
      <c r="I295" s="141"/>
      <c r="J295" s="141"/>
      <c r="K295" s="141"/>
      <c r="L295" s="141"/>
      <c r="M295" s="141"/>
      <c r="N295" s="141"/>
      <c r="O295" s="141"/>
      <c r="P295" s="141"/>
      <c r="Q295" s="141"/>
      <c r="R295" s="141"/>
      <c r="S295" s="141"/>
      <c r="T295" s="141"/>
      <c r="U295" s="141"/>
      <c r="V295" s="141"/>
      <c r="W295" s="141"/>
      <c r="X295" s="141"/>
      <c r="Y295" s="141"/>
      <c r="Z295" s="141"/>
      <c r="AA295" s="306"/>
      <c r="AB295" s="354"/>
      <c r="AC295" s="325"/>
      <c r="AD295" s="325"/>
      <c r="AE295" s="325"/>
      <c r="AF295" s="325"/>
      <c r="AG295" s="325"/>
      <c r="AH295" s="325"/>
      <c r="AI295" s="325"/>
      <c r="AJ295" s="452">
        <f t="shared" si="74"/>
        <v>0</v>
      </c>
      <c r="AK295" s="1202" t="str">
        <f>CONCATENATE(IF(D296&gt;D295," * F05-13 for Age "&amp;D20&amp;" "&amp;D21&amp;" is more than F05-12"&amp;CHAR(10),""),IF(E296&gt;E295," * F05-13 for Age "&amp;D20&amp;" "&amp;E21&amp;" is more than F05-12"&amp;CHAR(10),""),IF(F296&gt;F295," * F05-13 for Age "&amp;F20&amp;" "&amp;F21&amp;" is more than F05-12"&amp;CHAR(10),""),IF(G296&gt;G295," * F05-13 for Age "&amp;F20&amp;" "&amp;G21&amp;" is more than F05-12"&amp;CHAR(10),""),IF(H296&gt;H295," * F05-13 for Age "&amp;H20&amp;" "&amp;H21&amp;" is more than F05-12"&amp;CHAR(10),""),IF(I296&gt;I295," * F05-13 for Age "&amp;H20&amp;" "&amp;I21&amp;" is more than F05-12"&amp;CHAR(10),""),IF(J296&gt;J295," * F05-13 for Age "&amp;J20&amp;" "&amp;J21&amp;" is more than F05-12"&amp;CHAR(10),""),IF(K296&gt;K295," * F05-13 for Age "&amp;J20&amp;" "&amp;K21&amp;" is more than F05-12"&amp;CHAR(10),""),IF(L296&gt;L295," * F05-13 for Age "&amp;L20&amp;" "&amp;L21&amp;" is more than F05-12"&amp;CHAR(10),""),IF(M296&gt;M295," * F05-13 for Age "&amp;L20&amp;" "&amp;M21&amp;" is more than F05-12"&amp;CHAR(10),""),IF(N296&gt;N295," * F05-13 for Age "&amp;N20&amp;" "&amp;N21&amp;" is more than F05-12"&amp;CHAR(10),""),IF(O296&gt;O295," * F05-13 for Age "&amp;N20&amp;" "&amp;O21&amp;" is more than F05-12"&amp;CHAR(10),""),IF(P296&gt;P295," * F05-13 for Age "&amp;P20&amp;" "&amp;P21&amp;" is more than F05-12"&amp;CHAR(10),""),IF(Q296&gt;Q295," * F05-13 for Age "&amp;P20&amp;" "&amp;Q21&amp;" is more than F05-12"&amp;CHAR(10),""),IF(R296&gt;R295," * F05-13 for Age "&amp;R20&amp;" "&amp;R21&amp;" is more than F05-12"&amp;CHAR(10),""),IF(S296&gt;S295," * F05-13 for Age "&amp;R20&amp;" "&amp;S21&amp;" is more than F05-12"&amp;CHAR(10),""),IF(T296&gt;T295," * F05-13 for Age "&amp;T20&amp;" "&amp;T21&amp;" is more than F05-12"&amp;CHAR(10),""),IF(U296&gt;U295," * F05-13 for Age "&amp;T20&amp;" "&amp;U21&amp;" is more than F05-12"&amp;CHAR(10),""),IF(V296&gt;V295," * F05-13 for Age "&amp;V20&amp;" "&amp;V21&amp;" is more than F05-12"&amp;CHAR(10),""),IF(W296&gt;W295," * F05-13 for Age "&amp;V20&amp;" "&amp;W21&amp;" is more than F05-12"&amp;CHAR(10),""),IF(X296&gt;X295," * F05-13 for Age "&amp;X20&amp;" "&amp;X21&amp;" is more than F05-12"&amp;CHAR(10),""),IF(Y296&gt;Y295," * F05-13 for Age "&amp;X20&amp;" "&amp;Y21&amp;" is more than F05-12"&amp;CHAR(10),""),IF(Z296&gt;Z295," * F05-13 for Age "&amp;Z20&amp;" "&amp;Z21&amp;" is more than F05-12"&amp;CHAR(10),""),IF(AA296&gt;AA295," * F05-13 for Age "&amp;Z20&amp;" "&amp;AA21&amp;" is more than F05-12"&amp;CHAR(10),""),IF(AJ296&gt;AJ295," * Total F05-13 is more than Total F05-12"&amp;CHAR(10),""))</f>
        <v/>
      </c>
      <c r="AL295" s="1312"/>
      <c r="AM295" s="31"/>
      <c r="AN295" s="1463"/>
      <c r="AO295" s="13">
        <v>189</v>
      </c>
      <c r="AP295" s="74"/>
      <c r="AQ295" s="147"/>
    </row>
    <row r="296" spans="1:43" s="14" customFormat="1" ht="26.25" hidden="1" x14ac:dyDescent="0.4">
      <c r="A296" s="1263"/>
      <c r="B296" s="186" t="s">
        <v>624</v>
      </c>
      <c r="C296" s="526" t="s">
        <v>229</v>
      </c>
      <c r="D296" s="187"/>
      <c r="E296" s="188"/>
      <c r="F296" s="188"/>
      <c r="G296" s="188"/>
      <c r="H296" s="188"/>
      <c r="I296" s="188"/>
      <c r="J296" s="188"/>
      <c r="K296" s="188"/>
      <c r="L296" s="188"/>
      <c r="M296" s="188"/>
      <c r="N296" s="188"/>
      <c r="O296" s="188"/>
      <c r="P296" s="188"/>
      <c r="Q296" s="188"/>
      <c r="R296" s="188"/>
      <c r="S296" s="188"/>
      <c r="T296" s="188"/>
      <c r="U296" s="188"/>
      <c r="V296" s="188"/>
      <c r="W296" s="188"/>
      <c r="X296" s="188"/>
      <c r="Y296" s="188"/>
      <c r="Z296" s="188"/>
      <c r="AA296" s="319"/>
      <c r="AB296" s="354"/>
      <c r="AC296" s="325"/>
      <c r="AD296" s="325"/>
      <c r="AE296" s="325"/>
      <c r="AF296" s="325"/>
      <c r="AG296" s="325"/>
      <c r="AH296" s="325"/>
      <c r="AI296" s="325"/>
      <c r="AJ296" s="452">
        <f t="shared" si="74"/>
        <v>0</v>
      </c>
      <c r="AK296" s="1202"/>
      <c r="AL296" s="1312"/>
      <c r="AM296" s="31"/>
      <c r="AN296" s="1463"/>
      <c r="AO296" s="13">
        <v>190</v>
      </c>
      <c r="AP296" s="74"/>
      <c r="AQ296" s="147"/>
    </row>
    <row r="297" spans="1:43" s="14" customFormat="1" ht="26.25" hidden="1" x14ac:dyDescent="0.4">
      <c r="A297" s="1263"/>
      <c r="B297" s="186" t="s">
        <v>625</v>
      </c>
      <c r="C297" s="526" t="s">
        <v>285</v>
      </c>
      <c r="D297" s="189"/>
      <c r="E297" s="129"/>
      <c r="F297" s="129"/>
      <c r="G297" s="129"/>
      <c r="H297" s="129"/>
      <c r="I297" s="129"/>
      <c r="J297" s="129"/>
      <c r="K297" s="129"/>
      <c r="L297" s="129"/>
      <c r="M297" s="129"/>
      <c r="N297" s="129"/>
      <c r="O297" s="129"/>
      <c r="P297" s="129"/>
      <c r="Q297" s="129"/>
      <c r="R297" s="129"/>
      <c r="S297" s="129"/>
      <c r="T297" s="129"/>
      <c r="U297" s="129"/>
      <c r="V297" s="129"/>
      <c r="W297" s="129"/>
      <c r="X297" s="129"/>
      <c r="Y297" s="129"/>
      <c r="Z297" s="129"/>
      <c r="AA297" s="303"/>
      <c r="AB297" s="354"/>
      <c r="AC297" s="325"/>
      <c r="AD297" s="325"/>
      <c r="AE297" s="325"/>
      <c r="AF297" s="325"/>
      <c r="AG297" s="325"/>
      <c r="AH297" s="325"/>
      <c r="AI297" s="325"/>
      <c r="AJ297" s="452">
        <f t="shared" si="74"/>
        <v>0</v>
      </c>
      <c r="AK297" s="116" t="str">
        <f>CONCATENATE(IF(D297&gt;D295," * F05-14 for Age "&amp;D20&amp;" "&amp;D21&amp;" is more than F05-12"&amp;CHAR(10),""),IF(E297&gt;E295," * F05-14 for Age "&amp;D20&amp;" "&amp;E21&amp;" is more than F05-12"&amp;CHAR(10),""),IF(F297&gt;F295," * F05-14 for Age "&amp;F20&amp;" "&amp;F21&amp;" is more than F05-12"&amp;CHAR(10),""),IF(G297&gt;G295," * F05-14 for Age "&amp;F20&amp;" "&amp;G21&amp;" is more than F05-12"&amp;CHAR(10),""),IF(H297&gt;H295," * F05-14 for Age "&amp;H20&amp;" "&amp;H21&amp;" is more than F05-12"&amp;CHAR(10),""),IF(I297&gt;I295," * F05-14 for Age "&amp;H20&amp;" "&amp;I21&amp;" is more than F05-12"&amp;CHAR(10),""),IF(J297&gt;J295," * F05-14 for Age "&amp;J20&amp;" "&amp;J21&amp;" is more than F05-12"&amp;CHAR(10),""),IF(K297&gt;K295," * F05-14 for Age "&amp;J20&amp;" "&amp;K21&amp;" is more than F05-12"&amp;CHAR(10),""),IF(L297&gt;L295," * F05-14 for Age "&amp;L20&amp;" "&amp;L21&amp;" is more than F05-12"&amp;CHAR(10),""),IF(M297&gt;M295," * F05-14 for Age "&amp;L20&amp;" "&amp;M21&amp;" is more than F05-12"&amp;CHAR(10),""),IF(N297&gt;N295," * F05-14 for Age "&amp;N20&amp;" "&amp;N21&amp;" is more than F05-12"&amp;CHAR(10),""),IF(O297&gt;O295," * F05-14 for Age "&amp;N20&amp;" "&amp;O21&amp;" is more than F05-12"&amp;CHAR(10),""),IF(P297&gt;P295," * F05-14 for Age "&amp;P20&amp;" "&amp;P21&amp;" is more than F05-12"&amp;CHAR(10),""),IF(Q297&gt;Q295," * F05-14 for Age "&amp;P20&amp;" "&amp;Q21&amp;" is more than F05-12"&amp;CHAR(10),""),IF(R297&gt;R295," * F05-14 for Age "&amp;R20&amp;" "&amp;R21&amp;" is more than F05-12"&amp;CHAR(10),""),IF(S297&gt;S295," * F05-14 for Age "&amp;R20&amp;" "&amp;S21&amp;" is more than F05-12"&amp;CHAR(10),""),IF(T297&gt;T295," * F05-14 for Age "&amp;T20&amp;" "&amp;T21&amp;" is more than F05-12"&amp;CHAR(10),""),IF(U297&gt;U295," * F05-14 for Age "&amp;T20&amp;" "&amp;U21&amp;" is more than F05-12"&amp;CHAR(10),""),IF(V297&gt;V295," * F05-14 for Age "&amp;V20&amp;" "&amp;V21&amp;" is more than F05-12"&amp;CHAR(10),""),IF(W297&gt;W295," * F05-14 for Age "&amp;V20&amp;" "&amp;W21&amp;" is more than F05-12"&amp;CHAR(10),""),IF(X297&gt;X295," * F05-14 for Age "&amp;X20&amp;" "&amp;X21&amp;" is more than F05-12"&amp;CHAR(10),""),IF(Y297&gt;Y295," * F05-14 for Age "&amp;X20&amp;" "&amp;Y21&amp;" is more than F05-12"&amp;CHAR(10),""),IF(Z297&gt;Z295," * F05-14 for Age "&amp;Z20&amp;" "&amp;Z21&amp;" is more than F05-12"&amp;CHAR(10),""),IF(AA297&gt;AA295," * F05-14 for Age "&amp;Z20&amp;" "&amp;AA21&amp;" is more than F05-12"&amp;CHAR(10),""),IF(AJ297&gt;AJ295," * Total F05-14 is more than Total F05-12"&amp;CHAR(10),""))</f>
        <v/>
      </c>
      <c r="AL297" s="1312"/>
      <c r="AM297" s="31"/>
      <c r="AN297" s="1463"/>
      <c r="AO297" s="13">
        <v>191</v>
      </c>
      <c r="AP297" s="74"/>
      <c r="AQ297" s="147"/>
    </row>
    <row r="298" spans="1:43" s="14" customFormat="1" ht="27" hidden="1" thickBot="1" x14ac:dyDescent="0.45">
      <c r="A298" s="1308"/>
      <c r="B298" s="135" t="s">
        <v>626</v>
      </c>
      <c r="C298" s="527" t="s">
        <v>286</v>
      </c>
      <c r="D298" s="131"/>
      <c r="E298" s="120"/>
      <c r="F298" s="120"/>
      <c r="G298" s="120"/>
      <c r="H298" s="120"/>
      <c r="I298" s="120"/>
      <c r="J298" s="120"/>
      <c r="K298" s="129"/>
      <c r="L298" s="120"/>
      <c r="M298" s="129"/>
      <c r="N298" s="120"/>
      <c r="O298" s="129"/>
      <c r="P298" s="120"/>
      <c r="Q298" s="129"/>
      <c r="R298" s="120"/>
      <c r="S298" s="129"/>
      <c r="T298" s="120"/>
      <c r="U298" s="129"/>
      <c r="V298" s="120"/>
      <c r="W298" s="129"/>
      <c r="X298" s="120"/>
      <c r="Y298" s="129"/>
      <c r="Z298" s="120"/>
      <c r="AA298" s="303"/>
      <c r="AB298" s="355"/>
      <c r="AC298" s="356"/>
      <c r="AD298" s="356"/>
      <c r="AE298" s="356"/>
      <c r="AF298" s="356"/>
      <c r="AG298" s="356"/>
      <c r="AH298" s="356"/>
      <c r="AI298" s="356"/>
      <c r="AJ298" s="1002">
        <f t="shared" si="74"/>
        <v>0</v>
      </c>
      <c r="AK298" s="122" t="str">
        <f>CONCATENATE(IF(D298&gt;D295," * F05-15 for Age "&amp;D20&amp;" "&amp;D21&amp;" is more than F05-12"&amp;CHAR(10),""),IF(E298&gt;E295," * F05-15 for Age "&amp;D20&amp;" "&amp;E21&amp;" is more than F05-12"&amp;CHAR(10),""),IF(F298&gt;F295," * F05-15 for Age "&amp;F20&amp;" "&amp;F21&amp;" is more than F05-12"&amp;CHAR(10),""),IF(G298&gt;G295," * F05-15 for Age "&amp;F20&amp;" "&amp;G21&amp;" is more than F05-12"&amp;CHAR(10),""),IF(H298&gt;H295," * F05-15 for Age "&amp;H20&amp;" "&amp;H21&amp;" is more than F05-12"&amp;CHAR(10),""),IF(I298&gt;I295," * F05-15 for Age "&amp;H20&amp;" "&amp;I21&amp;" is more than F05-12"&amp;CHAR(10),""),IF(J298&gt;J295," * F05-15 for Age "&amp;J20&amp;" "&amp;J21&amp;" is more than F05-12"&amp;CHAR(10),""),IF(K298&gt;K295," * F05-15 for Age "&amp;J20&amp;" "&amp;K21&amp;" is more than F05-12"&amp;CHAR(10),""),IF(L298&gt;L295," * F05-15 for Age "&amp;L20&amp;" "&amp;L21&amp;" is more than F05-12"&amp;CHAR(10),""),IF(M298&gt;M295," * F05-15 for Age "&amp;L20&amp;" "&amp;M21&amp;" is more than F05-12"&amp;CHAR(10),""),IF(N298&gt;N295," * F05-15 for Age "&amp;N20&amp;" "&amp;N21&amp;" is more than F05-12"&amp;CHAR(10),""),IF(O298&gt;O295," * F05-15 for Age "&amp;N20&amp;" "&amp;O21&amp;" is more than F05-12"&amp;CHAR(10),""),IF(P298&gt;P295," * F05-15 for Age "&amp;P20&amp;" "&amp;P21&amp;" is more than F05-12"&amp;CHAR(10),""),IF(Q298&gt;Q295," * F05-15 for Age "&amp;P20&amp;" "&amp;Q21&amp;" is more than F05-12"&amp;CHAR(10),""),IF(R298&gt;R295," * F05-15 for Age "&amp;R20&amp;" "&amp;R21&amp;" is more than F05-12"&amp;CHAR(10),""),IF(S298&gt;S295," * F05-15 for Age "&amp;R20&amp;" "&amp;S21&amp;" is more than F05-12"&amp;CHAR(10),""),IF(T298&gt;T295," * F05-15 for Age "&amp;T20&amp;" "&amp;T21&amp;" is more than F05-12"&amp;CHAR(10),""),IF(U298&gt;U295," * F05-15 for Age "&amp;T20&amp;" "&amp;U21&amp;" is more than F05-12"&amp;CHAR(10),""),IF(V298&gt;V295," * F05-15 for Age "&amp;V20&amp;" "&amp;V21&amp;" is more than F05-12"&amp;CHAR(10),""),IF(W298&gt;W295," * F05-15 for Age "&amp;V20&amp;" "&amp;W21&amp;" is more than F05-12"&amp;CHAR(10),""),IF(X298&gt;X295," * F05-15 for Age "&amp;X20&amp;" "&amp;X21&amp;" is more than F05-12"&amp;CHAR(10),""),IF(Y298&gt;Y295," * F05-15 for Age "&amp;X20&amp;" "&amp;Y21&amp;" is more than F05-12"&amp;CHAR(10),""),IF(Z298&gt;Z295," * F05-15 for Age "&amp;Z20&amp;" "&amp;Z21&amp;" is more than F05-12"&amp;CHAR(10),""),IF(AA298&gt;AA295," * F05-15 for Age "&amp;Z20&amp;" "&amp;AA21&amp;" is more than F05-12"&amp;CHAR(10),""),IF(AJ298&gt;AJ295," * Total F05-12 is more than Total F05-12"&amp;CHAR(10),""))</f>
        <v/>
      </c>
      <c r="AL298" s="1313"/>
      <c r="AM298" s="123"/>
      <c r="AN298" s="1464"/>
      <c r="AO298" s="13">
        <v>192</v>
      </c>
      <c r="AP298" s="74"/>
      <c r="AQ298" s="147"/>
    </row>
    <row r="299" spans="1:43" ht="27" thickBot="1" x14ac:dyDescent="0.45">
      <c r="A299" s="1249" t="s">
        <v>106</v>
      </c>
      <c r="B299" s="1250"/>
      <c r="C299" s="1250"/>
      <c r="D299" s="1250"/>
      <c r="E299" s="1250"/>
      <c r="F299" s="1250"/>
      <c r="G299" s="1250"/>
      <c r="H299" s="1250"/>
      <c r="I299" s="1250"/>
      <c r="J299" s="1250"/>
      <c r="K299" s="1250"/>
      <c r="L299" s="1250"/>
      <c r="M299" s="1250"/>
      <c r="N299" s="1250"/>
      <c r="O299" s="1250"/>
      <c r="P299" s="1250"/>
      <c r="Q299" s="1250"/>
      <c r="R299" s="1250"/>
      <c r="S299" s="1250"/>
      <c r="T299" s="1250"/>
      <c r="U299" s="1250"/>
      <c r="V299" s="1250"/>
      <c r="W299" s="1250"/>
      <c r="X299" s="1250"/>
      <c r="Y299" s="1250"/>
      <c r="Z299" s="1250"/>
      <c r="AA299" s="1250"/>
      <c r="AB299" s="1276"/>
      <c r="AC299" s="1276"/>
      <c r="AD299" s="1276"/>
      <c r="AE299" s="1276"/>
      <c r="AF299" s="1276"/>
      <c r="AG299" s="1276"/>
      <c r="AH299" s="1276"/>
      <c r="AI299" s="1276"/>
      <c r="AJ299" s="1251"/>
      <c r="AK299" s="1250"/>
      <c r="AL299" s="1250"/>
      <c r="AM299" s="1250"/>
      <c r="AN299" s="1252"/>
      <c r="AO299" s="13">
        <v>193</v>
      </c>
      <c r="AP299" s="74"/>
      <c r="AQ299" s="75"/>
    </row>
    <row r="300" spans="1:43" ht="26.25" customHeight="1" x14ac:dyDescent="0.4">
      <c r="A300" s="1214" t="s">
        <v>35</v>
      </c>
      <c r="B300" s="1461" t="s">
        <v>307</v>
      </c>
      <c r="C300" s="1192" t="s">
        <v>291</v>
      </c>
      <c r="D300" s="1218" t="s">
        <v>0</v>
      </c>
      <c r="E300" s="1199"/>
      <c r="F300" s="1199" t="s">
        <v>1</v>
      </c>
      <c r="G300" s="1199"/>
      <c r="H300" s="1199" t="s">
        <v>2</v>
      </c>
      <c r="I300" s="1199"/>
      <c r="J300" s="1199" t="s">
        <v>3</v>
      </c>
      <c r="K300" s="1199"/>
      <c r="L300" s="1199" t="s">
        <v>4</v>
      </c>
      <c r="M300" s="1199"/>
      <c r="N300" s="1199" t="s">
        <v>5</v>
      </c>
      <c r="O300" s="1199"/>
      <c r="P300" s="1199" t="s">
        <v>6</v>
      </c>
      <c r="Q300" s="1199"/>
      <c r="R300" s="1199" t="s">
        <v>7</v>
      </c>
      <c r="S300" s="1199"/>
      <c r="T300" s="1199" t="s">
        <v>8</v>
      </c>
      <c r="U300" s="1199"/>
      <c r="V300" s="1199" t="s">
        <v>23</v>
      </c>
      <c r="W300" s="1199"/>
      <c r="X300" s="1199" t="s">
        <v>24</v>
      </c>
      <c r="Y300" s="1199"/>
      <c r="Z300" s="1199" t="s">
        <v>9</v>
      </c>
      <c r="AA300" s="1207"/>
      <c r="AB300" s="1417"/>
      <c r="AC300" s="1231"/>
      <c r="AD300" s="1231"/>
      <c r="AE300" s="1231"/>
      <c r="AF300" s="1231"/>
      <c r="AG300" s="1231"/>
      <c r="AH300" s="1231"/>
      <c r="AI300" s="1232"/>
      <c r="AJ300" s="1378" t="s">
        <v>19</v>
      </c>
      <c r="AK300" s="1309" t="s">
        <v>340</v>
      </c>
      <c r="AL300" s="1291" t="s">
        <v>346</v>
      </c>
      <c r="AM300" s="1237" t="s">
        <v>347</v>
      </c>
      <c r="AN300" s="1300" t="s">
        <v>347</v>
      </c>
      <c r="AO300" s="13">
        <v>194</v>
      </c>
      <c r="AP300" s="74"/>
      <c r="AQ300" s="75"/>
    </row>
    <row r="301" spans="1:43" ht="27" customHeight="1" thickBot="1" x14ac:dyDescent="0.45">
      <c r="A301" s="1215"/>
      <c r="B301" s="1462"/>
      <c r="C301" s="1193"/>
      <c r="D301" s="270" t="s">
        <v>10</v>
      </c>
      <c r="E301" s="68" t="s">
        <v>11</v>
      </c>
      <c r="F301" s="68" t="s">
        <v>10</v>
      </c>
      <c r="G301" s="68" t="s">
        <v>11</v>
      </c>
      <c r="H301" s="68" t="s">
        <v>10</v>
      </c>
      <c r="I301" s="68" t="s">
        <v>11</v>
      </c>
      <c r="J301" s="68" t="s">
        <v>10</v>
      </c>
      <c r="K301" s="68" t="s">
        <v>11</v>
      </c>
      <c r="L301" s="68" t="s">
        <v>10</v>
      </c>
      <c r="M301" s="68" t="s">
        <v>11</v>
      </c>
      <c r="N301" s="68" t="s">
        <v>10</v>
      </c>
      <c r="O301" s="68" t="s">
        <v>11</v>
      </c>
      <c r="P301" s="68" t="s">
        <v>10</v>
      </c>
      <c r="Q301" s="68" t="s">
        <v>11</v>
      </c>
      <c r="R301" s="68" t="s">
        <v>10</v>
      </c>
      <c r="S301" s="68" t="s">
        <v>11</v>
      </c>
      <c r="T301" s="68" t="s">
        <v>10</v>
      </c>
      <c r="U301" s="68" t="s">
        <v>11</v>
      </c>
      <c r="V301" s="68" t="s">
        <v>10</v>
      </c>
      <c r="W301" s="68" t="s">
        <v>11</v>
      </c>
      <c r="X301" s="68" t="s">
        <v>10</v>
      </c>
      <c r="Y301" s="68" t="s">
        <v>11</v>
      </c>
      <c r="Z301" s="68" t="s">
        <v>10</v>
      </c>
      <c r="AA301" s="336" t="s">
        <v>11</v>
      </c>
      <c r="AB301" s="338"/>
      <c r="AC301" s="339"/>
      <c r="AD301" s="339"/>
      <c r="AE301" s="339"/>
      <c r="AF301" s="339"/>
      <c r="AG301" s="339"/>
      <c r="AH301" s="339"/>
      <c r="AI301" s="340"/>
      <c r="AJ301" s="1392"/>
      <c r="AK301" s="1310"/>
      <c r="AL301" s="1242"/>
      <c r="AM301" s="1237"/>
      <c r="AN301" s="1254"/>
      <c r="AO301" s="13">
        <v>195</v>
      </c>
      <c r="AP301" s="74"/>
      <c r="AQ301" s="75"/>
    </row>
    <row r="302" spans="1:43" ht="31.15" customHeight="1" x14ac:dyDescent="0.4">
      <c r="A302" s="1393" t="s">
        <v>95</v>
      </c>
      <c r="B302" s="190" t="s">
        <v>627</v>
      </c>
      <c r="C302" s="543" t="s">
        <v>328</v>
      </c>
      <c r="D302" s="70"/>
      <c r="E302" s="71"/>
      <c r="F302" s="71"/>
      <c r="G302" s="71"/>
      <c r="H302" s="71"/>
      <c r="I302" s="71"/>
      <c r="J302" s="71"/>
      <c r="K302" s="127"/>
      <c r="L302" s="71"/>
      <c r="M302" s="127"/>
      <c r="N302" s="71"/>
      <c r="O302" s="127"/>
      <c r="P302" s="71"/>
      <c r="Q302" s="127"/>
      <c r="R302" s="71"/>
      <c r="S302" s="127"/>
      <c r="T302" s="71"/>
      <c r="U302" s="127"/>
      <c r="V302" s="71"/>
      <c r="W302" s="127"/>
      <c r="X302" s="71"/>
      <c r="Y302" s="127"/>
      <c r="Z302" s="71"/>
      <c r="AA302" s="322"/>
      <c r="AB302" s="352"/>
      <c r="AC302" s="353"/>
      <c r="AD302" s="353"/>
      <c r="AE302" s="353"/>
      <c r="AF302" s="353"/>
      <c r="AG302" s="353"/>
      <c r="AH302" s="353"/>
      <c r="AI302" s="288"/>
      <c r="AJ302" s="360">
        <f>SUM(D302:AA302)</f>
        <v>0</v>
      </c>
      <c r="AK302" s="137" t="str">
        <f>CONCATENATE(IF(D302&lt;SUM(D303,D304)," * Sum of (KP at ANC1 and initial test at ANC1) for Age "&amp;D20&amp;" "&amp;D21&amp;" is more than New 1st ANC Clients"&amp;CHAR(10),""),IF(E302&lt;SUM(E303,E304,E242)," * Sum of (KP at ANC1 and initial test at ANC1) for Age "&amp;D20&amp;" "&amp;E21&amp;" is more than New 1st ANC Clients"&amp;CHAR(10),""),IF(F302&lt;SUM(F303,F304)," * Sum of (KP at ANC1 and initial test at ANC1) for Age "&amp;F20&amp;" "&amp;F21&amp;" is more than New 1st ANC Clients"&amp;CHAR(10),""),IF(G302&lt;SUM(G303,G304,G242)," * Sum of (KP at ANC1 and initial test at ANC1) for Age "&amp;F20&amp;" "&amp;G21&amp;" is more than New 1st ANC Clients"&amp;CHAR(10),""),IF(H302&lt;SUM(H303,H304)," * Sum of (KP at ANC1 and initial test at ANC1) for Age "&amp;H20&amp;" "&amp;H21&amp;" is more than New 1st ANC Clients"&amp;CHAR(10),""),IF(I302&lt;SUM(I303,I304,I242)," * Sum of (KP at ANC1 and initial test at ANC1) for Age "&amp;H20&amp;" "&amp;I21&amp;" is more than New 1st ANC Clients"&amp;CHAR(10),""),IF(J302&lt;SUM(J303,J304)," * Sum of (KP at ANC1 and initial test at ANC1) for Age "&amp;J20&amp;" "&amp;J21&amp;" is more than New 1st ANC Clients"&amp;CHAR(10),""),IF(K302&lt;SUM(K303,K304,K242)," * Sum of (KP at ANC1 and initial test at ANC1) for Age "&amp;J20&amp;" "&amp;K21&amp;" is more than New 1st ANC Clients"&amp;CHAR(10),""),IF(L302&lt;SUM(L303,L304)," * Sum of (KP at ANC1 and initial test at ANC1) for Age "&amp;L20&amp;" "&amp;L21&amp;" is more than New 1st ANC Clients"&amp;CHAR(10),""),IF(M302&lt;SUM(M303,M304,M242)," * Sum of (KP at ANC1 and initial test at ANC1) for Age "&amp;L20&amp;" "&amp;M21&amp;" is more than New 1st ANC Clients"&amp;CHAR(10),""),IF(N302&lt;SUM(N303,N304)," * Sum of (KP at ANC1 and initial test at ANC1) for Age "&amp;N20&amp;" "&amp;N21&amp;" is more than New 1st ANC Clients"&amp;CHAR(10),""),IF(O302&lt;SUM(O303,O304,O242)," * Sum of (KP at ANC1 and initial test at ANC1) for Age "&amp;N20&amp;" "&amp;O21&amp;" is more than New 1st ANC Clients"&amp;CHAR(10),""),IF(P302&lt;SUM(P303,P304)," * Sum of (KP at ANC1 and initial test at ANC1) for Age "&amp;P20&amp;" "&amp;P21&amp;" is more than New 1st ANC Clients"&amp;CHAR(10),""),IF(Q302&lt;SUM(Q303,Q304,Q242)," * Sum of (KP at ANC1 and initial test at ANC1) for Age "&amp;P20&amp;" "&amp;Q21&amp;" is more than New 1st ANC Clients"&amp;CHAR(10),""),IF(R302&lt;SUM(R303,R304)," * Sum of (KP at ANC1 and initial test at ANC1) for Age "&amp;R20&amp;" "&amp;R21&amp;" is more than New 1st ANC Clients"&amp;CHAR(10),""),IF(S302&lt;SUM(S303,S304,S242)," * Sum of (KP at ANC1 and initial test at ANC1) for Age "&amp;R20&amp;" "&amp;S21&amp;" is more than New 1st ANC Clients"&amp;CHAR(10),""),IF(T302&lt;SUM(T303,T304)," * Sum of (KP at ANC1 and initial test at ANC1) for Age "&amp;T20&amp;" "&amp;T21&amp;" is more than New 1st ANC Clients"&amp;CHAR(10),""),IF(U302&lt;SUM(U303,U304,U242)," * Sum of (KP at ANC1 and initial test at ANC1) for Age "&amp;T20&amp;" "&amp;U21&amp;" is more than New 1st ANC Clients"&amp;CHAR(10),""),IF(V302&lt;SUM(V303,V304)," * Sum of (KP at ANC1 and initial test at ANC1) for Age "&amp;V20&amp;" "&amp;V21&amp;" is more than New 1st ANC Clients"&amp;CHAR(10),""),IF(W302&lt;SUM(W303,W304,W242)," * Sum of (KP at ANC1 and initial test at ANC1) for Age "&amp;V20&amp;" "&amp;W21&amp;" is more than New 1st ANC Clients"&amp;CHAR(10),""),IF(X302&lt;SUM(X303,X304)," * Sum of (KP at ANC1 and initial test at ANC1) for Age "&amp;X20&amp;" "&amp;X21&amp;" is more than New 1st ANC Clients"&amp;CHAR(10),""),IF(Y302&lt;SUM(Y303,Y304,Y242)," * Sum of (KP at ANC1 and initial test at ANC1) for Age "&amp;X20&amp;" "&amp;Y21&amp;" is more than New 1st ANC Clients"&amp;CHAR(10),""),IF(Z302&lt;SUM(Z303,Z304)," * Sum of (KP at ANC1 and initial test at ANC1) for Age "&amp;Z20&amp;" "&amp;Z21&amp;" is more than New 1st ANC Clients"&amp;CHAR(10),""),IF(AA302&lt;SUM(AA303,AA304,AA242)," * Sum of (KP at ANC1 and initial test at ANC1) for Age "&amp;Z20&amp;" "&amp;AA21&amp;" is more than New 1st ANC Clients"&amp;CHAR(10),""),IF(AJ302&lt;SUM(AJ303,AJ304)," * Total Sum of (KP at ANC1 and initial test at ANC1) is more than New 1st ANC Clients"&amp;CHAR(10),""))</f>
        <v/>
      </c>
      <c r="AL302" s="1284" t="str">
        <f>CONCATENATE(AK302,AK303,AK304,AK305,AK308,AK312,AK316,AK324,AK315,AK314,AK306,AK307,AK311,AK318,AK319,AK320,AK321,AK323,AK322,AK310)</f>
        <v/>
      </c>
      <c r="AM302" s="191"/>
      <c r="AN302" s="1281" t="str">
        <f>CONCATENATE(AM302,AM303,AM304,AM305,AM308,AM309,AM312,AM313,AM316,AM317,AM324,AM325,AM306,AM307,AM310,AM311,AM314,AM315,AM318,AM319,AM320,AM321)</f>
        <v/>
      </c>
      <c r="AO302" s="13">
        <v>196</v>
      </c>
      <c r="AP302" s="74"/>
      <c r="AQ302" s="75"/>
    </row>
    <row r="303" spans="1:43" ht="31.15" customHeight="1" x14ac:dyDescent="0.4">
      <c r="A303" s="1304"/>
      <c r="B303" s="192" t="s">
        <v>628</v>
      </c>
      <c r="C303" s="526" t="s">
        <v>239</v>
      </c>
      <c r="D303" s="77"/>
      <c r="E303" s="78"/>
      <c r="F303" s="78"/>
      <c r="G303" s="78"/>
      <c r="H303" s="78"/>
      <c r="I303" s="78"/>
      <c r="J303" s="78"/>
      <c r="K303" s="193"/>
      <c r="L303" s="194"/>
      <c r="M303" s="193"/>
      <c r="N303" s="194"/>
      <c r="O303" s="193"/>
      <c r="P303" s="194"/>
      <c r="Q303" s="193"/>
      <c r="R303" s="194"/>
      <c r="S303" s="193"/>
      <c r="T303" s="194"/>
      <c r="U303" s="193"/>
      <c r="V303" s="194"/>
      <c r="W303" s="193"/>
      <c r="X303" s="194"/>
      <c r="Y303" s="193"/>
      <c r="Z303" s="78"/>
      <c r="AA303" s="323"/>
      <c r="AB303" s="354"/>
      <c r="AC303" s="325"/>
      <c r="AD303" s="325"/>
      <c r="AE303" s="325"/>
      <c r="AF303" s="325"/>
      <c r="AG303" s="325"/>
      <c r="AH303" s="325"/>
      <c r="AI303" s="285"/>
      <c r="AJ303" s="361">
        <f t="shared" ref="AJ303:AJ333" si="76">SUM(D303:AA303)</f>
        <v>0</v>
      </c>
      <c r="AK303" s="116" t="str">
        <f>CONCATENATE(IF(D338&gt;D303," * ON HAART at 1st ANC for Age "&amp;D20&amp;" "&amp;D21&amp;" is more than KP at 1st ANC "&amp;CHAR(10),""),IF(E338&gt;E303," * ON HAART at 1st ANC for Age "&amp;D20&amp;" "&amp;E21&amp;" is more than KP at 1st ANC "&amp;CHAR(10),""),IF(F338&gt;F303," * ON HAART at 1st ANC for Age "&amp;F20&amp;" "&amp;F21&amp;" is more than KP at 1st ANC "&amp;CHAR(10),""),IF(G338&gt;G303," * ON HAART at 1st ANC for Age "&amp;F20&amp;" "&amp;G21&amp;" is more than KP at 1st ANC "&amp;CHAR(10),""),IF(H338&gt;H303," * ON HAART at 1st ANC for Age "&amp;H20&amp;" "&amp;H21&amp;" is more than KP at 1st ANC "&amp;CHAR(10),""),IF(I338&gt;I303," * ON HAART at 1st ANC for Age "&amp;H20&amp;" "&amp;I21&amp;" is more than KP at 1st ANC "&amp;CHAR(10),""),IF(J338&gt;J303," * ON HAART at 1st ANC for Age "&amp;J20&amp;" "&amp;J21&amp;" is more than KP at 1st ANC "&amp;CHAR(10),""),IF(K338&gt;K303," * ON HAART at 1st ANC for Age "&amp;J20&amp;" "&amp;K21&amp;" is more than KP at 1st ANC "&amp;CHAR(10),""),IF(L338&gt;L303," * ON HAART at 1st ANC for Age "&amp;L20&amp;" "&amp;L21&amp;" is more than KP at 1st ANC "&amp;CHAR(10),""),IF(M338&gt;M303," * ON HAART at 1st ANC for Age "&amp;L20&amp;" "&amp;M21&amp;" is more than KP at 1st ANC "&amp;CHAR(10),""),IF(N338&gt;N303," * ON HAART at 1st ANC for Age "&amp;N20&amp;" "&amp;N21&amp;" is more than KP at 1st ANC "&amp;CHAR(10),""),IF(O338&gt;O303," * ON HAART at 1st ANC for Age "&amp;N20&amp;" "&amp;O21&amp;" is more than KP at 1st ANC "&amp;CHAR(10),""),IF(P338&gt;P303," * ON HAART at 1st ANC for Age "&amp;P20&amp;" "&amp;P21&amp;" is more than KP at 1st ANC "&amp;CHAR(10),""),IF(Q338&gt;Q303," * ON HAART at 1st ANC for Age "&amp;P20&amp;" "&amp;Q21&amp;" is more than KP at 1st ANC "&amp;CHAR(10),""),IF(R338&gt;R303," * ON HAART at 1st ANC for Age "&amp;R20&amp;" "&amp;R21&amp;" is more than KP at 1st ANC "&amp;CHAR(10),""),IF(S338&gt;S303," * ON HAART at 1st ANC for Age "&amp;R20&amp;" "&amp;S21&amp;" is more than KP at 1st ANC "&amp;CHAR(10),""),IF(T338&gt;T303," * ON HAART at 1st ANC for Age "&amp;T20&amp;" "&amp;T21&amp;" is more than KP at 1st ANC "&amp;CHAR(10),""),IF(U338&gt;U303," * ON HAART at 1st ANC for Age "&amp;T20&amp;" "&amp;U21&amp;" is more than KP at 1st ANC "&amp;CHAR(10),""),IF(V338&gt;V303," * ON HAART at 1st ANC for Age "&amp;V20&amp;" "&amp;V21&amp;" is more than KP at 1st ANC "&amp;CHAR(10),""),IF(W338&gt;W303," * ON HAART at 1st ANC for Age "&amp;V20&amp;" "&amp;W21&amp;" is more than KP at 1st ANC "&amp;CHAR(10),""),IF(X338&gt;X303," * ON HAART at 1st ANC for Age "&amp;X20&amp;" "&amp;X21&amp;" is more than KP at 1st ANC "&amp;CHAR(10),""),IF(Y338&gt;Y303," * ON HAART at 1st ANC for Age "&amp;X20&amp;" "&amp;Y21&amp;" is more than KP at 1st ANC "&amp;CHAR(10),""),IF(Z338&gt;Z303," * ON HAART at 1st ANC for Age "&amp;Z20&amp;" "&amp;Z21&amp;" is more than KP at 1st ANC "&amp;CHAR(10),""),IF(AA338&gt;AA303," * ON HAART at 1st ANC for Age "&amp;Z20&amp;" "&amp;AA21&amp;" is more than KP at 1st ANC "&amp;CHAR(10),""))</f>
        <v/>
      </c>
      <c r="AL303" s="1285"/>
      <c r="AM303" s="195" t="str">
        <f>CONCATENATE(IF(D302&gt;SUM(D303,D304)," * Sum of (KP at ANC1 and initial test at ANC1) for Age "&amp;D20&amp;" "&amp;D21&amp;" is less than New 1st ANC Clients"&amp;CHAR(10),""),IF(E302&gt;SUM(E303,E304,E242)," * Sum of (KP at ANC1 and initial test at ANC1) for Age "&amp;D20&amp;" "&amp;E21&amp;" is less than New 1st ANC Clients"&amp;CHAR(10),""),IF(F302&gt;SUM(F303,F304)," * Sum of (KP at ANC1 and initial test at ANC1) for Age "&amp;F20&amp;" "&amp;F21&amp;" is less than New 1st ANC Clients"&amp;CHAR(10),""),IF(G302&gt;SUM(G303,G304,G242)," * Sum of (KP at ANC1 and initial test at ANC1) for Age "&amp;F20&amp;" "&amp;G21&amp;" is less than New 1st ANC Clients"&amp;CHAR(10),""),IF(H302&gt;SUM(H303,H304)," * Sum of (KP at ANC1 and initial test at ANC1) for Age "&amp;H20&amp;" "&amp;H21&amp;" is less than New 1st ANC Clients"&amp;CHAR(10),""),IF(I302&gt;SUM(I303,I304,I242)," * Sum of (KP at ANC1 and initial test at ANC1) for Age "&amp;H20&amp;" "&amp;I21&amp;" is less than New 1st ANC Clients"&amp;CHAR(10),""),IF(J302&gt;SUM(J303,J304)," * Sum of (KP at ANC1 and initial test at ANC1) for Age "&amp;J20&amp;" "&amp;J21&amp;" is less than New 1st ANC Clients"&amp;CHAR(10),""),IF(K302&gt;SUM(K303,K304,K242)," * Sum of (KP at ANC1 and initial test at ANC1) for Age "&amp;J20&amp;" "&amp;K21&amp;" is less than New 1st ANC Clients"&amp;CHAR(10),""),IF(L302&gt;SUM(L303,L304)," * Sum of (KP at ANC1 and initial test at ANC1) for Age "&amp;L20&amp;" "&amp;L21&amp;" is less than New 1st ANC Clients"&amp;CHAR(10),""),IF(M302&gt;SUM(M303,M304,M242)," * Sum of (KP at ANC1 and initial test at ANC1) for Age "&amp;L20&amp;" "&amp;M21&amp;" is less than New 1st ANC Clients"&amp;CHAR(10),""),IF(N302&gt;SUM(N303,N304)," * Sum of (KP at ANC1 and initial test at ANC1) for Age "&amp;N20&amp;" "&amp;N21&amp;" is less than New 1st ANC Clients"&amp;CHAR(10),""),IF(O302&gt;SUM(O303,O304,O242)," * Sum of (KP at ANC1 and initial test at ANC1) for Age "&amp;N20&amp;" "&amp;O21&amp;" is less than New 1st ANC Clients"&amp;CHAR(10),""),IF(P302&gt;SUM(P303,P304)," * Sum of (KP at ANC1 and initial test at ANC1) for Age "&amp;P20&amp;" "&amp;P21&amp;" is less than New 1st ANC Clients"&amp;CHAR(10),""),IF(Q302&gt;SUM(Q303,Q304,Q242)," * Sum of (KP at ANC1 and initial test at ANC1) for Age "&amp;P20&amp;" "&amp;Q21&amp;" is less than New 1st ANC Clients"&amp;CHAR(10),""),IF(R302&gt;SUM(R303,R304)," * Sum of (KP at ANC1 and initial test at ANC1) for Age "&amp;R20&amp;" "&amp;R21&amp;" is less than New 1st ANC Clients"&amp;CHAR(10),""),IF(S302&gt;SUM(S303,S304,S242)," * Sum of (KP at ANC1 and initial test at ANC1) for Age "&amp;R20&amp;" "&amp;S21&amp;" is less than New 1st ANC Clients"&amp;CHAR(10),""),IF(T302&gt;SUM(T303,T304)," * Sum of (KP at ANC1 and initial test at ANC1) for Age "&amp;T20&amp;" "&amp;T21&amp;" is less than New 1st ANC Clients"&amp;CHAR(10),""),IF(U302&gt;SUM(U303,U304,U242)," * Sum of (KP at ANC1 and initial test at ANC1) for Age "&amp;T20&amp;" "&amp;U21&amp;" is less than New 1st ANC Clients"&amp;CHAR(10),""),IF(V302&gt;SUM(V303,V304)," * Sum of (KP at ANC1 and initial test at ANC1) for Age "&amp;V20&amp;" "&amp;V21&amp;" is less than New 1st ANC Clients"&amp;CHAR(10),""),IF(W302&gt;SUM(W303,W304,W242)," * Sum of (KP at ANC1 and initial test at ANC1) for Age "&amp;V20&amp;" "&amp;W21&amp;" is less than New 1st ANC Clients"&amp;CHAR(10),""),IF(X302&gt;SUM(X303,X304)," * Sum of (KP at ANC1 and initial test at ANC1) for Age "&amp;X20&amp;" "&amp;X21&amp;" is less than New 1st ANC Clients"&amp;CHAR(10),""),IF(Y302&gt;SUM(Y303,Y304,Y242)," * Sum of (KP at ANC1 and initial test at ANC1) for Age "&amp;X20&amp;" "&amp;Y21&amp;" is less than New 1st ANC Clients"&amp;CHAR(10),""),IF(Z302&gt;SUM(Z303,Z304)," * Sum of (KP at ANC1 and initial test at ANC1) for Age "&amp;Z20&amp;" "&amp;Z21&amp;" is less than New 1st ANC Clients"&amp;CHAR(10),""),IF(AA302&gt;SUM(AA303,AA304,AA242)," * Sum of (KP at ANC1 and initial test at ANC1) for Age "&amp;Z20&amp;" "&amp;AA21&amp;" is less than New 1st ANC Clients"&amp;CHAR(10),""))</f>
        <v/>
      </c>
      <c r="AN303" s="1282"/>
      <c r="AO303" s="13">
        <v>197</v>
      </c>
      <c r="AP303" s="74"/>
      <c r="AQ303" s="75"/>
    </row>
    <row r="304" spans="1:43" ht="26.25" x14ac:dyDescent="0.4">
      <c r="A304" s="1304"/>
      <c r="B304" s="76" t="s">
        <v>629</v>
      </c>
      <c r="C304" s="526" t="s">
        <v>240</v>
      </c>
      <c r="D304" s="77"/>
      <c r="E304" s="78"/>
      <c r="F304" s="78"/>
      <c r="G304" s="78"/>
      <c r="H304" s="78"/>
      <c r="I304" s="78"/>
      <c r="J304" s="78"/>
      <c r="K304" s="79"/>
      <c r="L304" s="78"/>
      <c r="M304" s="79"/>
      <c r="N304" s="78"/>
      <c r="O304" s="79"/>
      <c r="P304" s="78"/>
      <c r="Q304" s="79"/>
      <c r="R304" s="78"/>
      <c r="S304" s="79"/>
      <c r="T304" s="78"/>
      <c r="U304" s="79"/>
      <c r="V304" s="78"/>
      <c r="W304" s="79"/>
      <c r="X304" s="78"/>
      <c r="Y304" s="79"/>
      <c r="Z304" s="78"/>
      <c r="AA304" s="323"/>
      <c r="AB304" s="354"/>
      <c r="AC304" s="325"/>
      <c r="AD304" s="325"/>
      <c r="AE304" s="325"/>
      <c r="AF304" s="325"/>
      <c r="AG304" s="325"/>
      <c r="AH304" s="325"/>
      <c r="AI304" s="285"/>
      <c r="AJ304" s="361">
        <f t="shared" si="76"/>
        <v>0</v>
      </c>
      <c r="AK304" s="116" t="str">
        <f>CONCATENATE(IF(D304&gt;D302," * F06-03 for Age "&amp;D20&amp;" "&amp;D21&amp;" is more than F06-01"&amp;CHAR(10),""),IF(E304&gt;E302," * F06-03 for Age "&amp;D20&amp;" "&amp;E21&amp;" is more than F06-01"&amp;CHAR(10),""),IF(F304&gt;F302," * F06-03 for Age "&amp;F20&amp;" "&amp;F21&amp;" is more than F06-01"&amp;CHAR(10),""),IF(G304&gt;G302," * F06-03 for Age "&amp;F20&amp;" "&amp;G21&amp;" is more than F06-01"&amp;CHAR(10),""),IF(H304&gt;H302," * F06-03 for Age "&amp;H20&amp;" "&amp;H21&amp;" is more than F06-01"&amp;CHAR(10),""),IF(I304&gt;I302," * F06-03 for Age "&amp;H20&amp;" "&amp;I21&amp;" is more than F06-01"&amp;CHAR(10),""),IF(J304&gt;J302," * F06-03 for Age "&amp;J20&amp;" "&amp;J21&amp;" is more than F06-01"&amp;CHAR(10),""),IF(K304&gt;K302," * F06-03 for Age "&amp;J20&amp;" "&amp;K21&amp;" is more than F06-01"&amp;CHAR(10),""),IF(L304&gt;L302," * F06-03 for Age "&amp;L20&amp;" "&amp;L21&amp;" is more than F06-01"&amp;CHAR(10),""),IF(M304&gt;M302," * F06-03 for Age "&amp;L20&amp;" "&amp;M21&amp;" is more than F06-01"&amp;CHAR(10),""),IF(N304&gt;N302," * F06-03 for Age "&amp;N20&amp;" "&amp;N21&amp;" is more than F06-01"&amp;CHAR(10),""),IF(O304&gt;O302," * F06-03 for Age "&amp;N20&amp;" "&amp;O21&amp;" is more than F06-01"&amp;CHAR(10),""),IF(P304&gt;P302," * F06-03 for Age "&amp;P20&amp;" "&amp;P21&amp;" is more than F06-01"&amp;CHAR(10),""),IF(Q304&gt;Q302," * F06-03 for Age "&amp;P20&amp;" "&amp;Q21&amp;" is more than F06-01"&amp;CHAR(10),""),IF(R304&gt;R302," * F06-03 for Age "&amp;R20&amp;" "&amp;R21&amp;" is more than F06-01"&amp;CHAR(10),""),IF(S304&gt;S302," * F06-03 for Age "&amp;R20&amp;" "&amp;S21&amp;" is more than F06-01"&amp;CHAR(10),""),IF(T304&gt;T302," * F06-03 for Age "&amp;T20&amp;" "&amp;T21&amp;" is more than F06-01"&amp;CHAR(10),""),IF(U304&gt;U302," * F06-03 for Age "&amp;T20&amp;" "&amp;U21&amp;" is more than F06-01"&amp;CHAR(10),""),IF(V304&gt;V302," * F06-03 for Age "&amp;V20&amp;" "&amp;V21&amp;" is more than F06-01"&amp;CHAR(10),""),IF(W304&gt;W302," * F06-03 for Age "&amp;V20&amp;" "&amp;W21&amp;" is more than F06-01"&amp;CHAR(10),""),IF(X304&gt;X302," * F06-03 for Age "&amp;X20&amp;" "&amp;X21&amp;" is more than F06-01"&amp;CHAR(10),""),IF(Y304&gt;Y302," * F06-03 for Age "&amp;X20&amp;" "&amp;Y21&amp;" is more than F06-01"&amp;CHAR(10),""),IF(Z304&gt;Z302," * F06-03 for Age "&amp;Z20&amp;" "&amp;Z21&amp;" is more than F06-01"&amp;CHAR(10),""),IF(AA304&gt;AA302," * F06-03 for Age "&amp;Z20&amp;" "&amp;AA21&amp;" is more than F06-01"&amp;CHAR(10),""),IF(AJ304&gt;AJ302," * Total F06-03 is more than Total F06-01"&amp;CHAR(10),""))</f>
        <v/>
      </c>
      <c r="AL304" s="1285"/>
      <c r="AM304" s="31"/>
      <c r="AN304" s="1282"/>
      <c r="AO304" s="13">
        <v>198</v>
      </c>
      <c r="AP304" s="74"/>
      <c r="AQ304" s="75"/>
    </row>
    <row r="305" spans="1:43" ht="26.25" x14ac:dyDescent="0.4">
      <c r="A305" s="1304"/>
      <c r="B305" s="161" t="s">
        <v>630</v>
      </c>
      <c r="C305" s="526" t="s">
        <v>329</v>
      </c>
      <c r="D305" s="77"/>
      <c r="E305" s="78"/>
      <c r="F305" s="78"/>
      <c r="G305" s="78"/>
      <c r="H305" s="78"/>
      <c r="I305" s="78"/>
      <c r="J305" s="78"/>
      <c r="K305" s="193"/>
      <c r="L305" s="78"/>
      <c r="M305" s="193"/>
      <c r="N305" s="78"/>
      <c r="O305" s="193"/>
      <c r="P305" s="78"/>
      <c r="Q305" s="193"/>
      <c r="R305" s="78"/>
      <c r="S305" s="193"/>
      <c r="T305" s="78"/>
      <c r="U305" s="193"/>
      <c r="V305" s="78"/>
      <c r="W305" s="193"/>
      <c r="X305" s="78"/>
      <c r="Y305" s="193"/>
      <c r="Z305" s="78"/>
      <c r="AA305" s="323"/>
      <c r="AB305" s="354"/>
      <c r="AC305" s="325"/>
      <c r="AD305" s="325"/>
      <c r="AE305" s="325"/>
      <c r="AF305" s="325"/>
      <c r="AG305" s="325"/>
      <c r="AH305" s="325"/>
      <c r="AI305" s="285"/>
      <c r="AJ305" s="361">
        <f t="shared" si="76"/>
        <v>0</v>
      </c>
      <c r="AK305" s="116" t="str">
        <f>CONCATENATE(IF(D305&gt;D304," * New positive at ANC1 for Age "&amp;D20&amp;" "&amp;D21&amp;" is more than initial test at ANC1"&amp;CHAR(10),""),IF(E305&gt;E304," * New positive at ANC1 for Age "&amp;D20&amp;" "&amp;E21&amp;" is more than initial test at ANC1"&amp;CHAR(10),""),IF(F305&gt;F304," * New positive at ANC1 for Age "&amp;F20&amp;" "&amp;F21&amp;" is more than initial test at ANC1"&amp;CHAR(10),""),IF(G305&gt;G304," * New positive at ANC1 for Age "&amp;F20&amp;" "&amp;G21&amp;" is more than initial test at ANC1"&amp;CHAR(10),""),IF(H305&gt;H304," * New positive at ANC1 for Age "&amp;H20&amp;" "&amp;H21&amp;" is more than initial test at ANC1"&amp;CHAR(10),""),IF(I305&gt;I304," * New positive at ANC1 for Age "&amp;H20&amp;" "&amp;I21&amp;" is more than initial test at ANC1"&amp;CHAR(10),""),IF(J305&gt;J304," * New positive at ANC1 for Age "&amp;J20&amp;" "&amp;J21&amp;" is more than initial test at ANC1"&amp;CHAR(10),""),IF(K305&gt;K304," * New positive at ANC1 for Age "&amp;J20&amp;" "&amp;K21&amp;" is more than initial test at ANC1"&amp;CHAR(10),""),IF(L305&gt;L304," * New positive at ANC1 for Age "&amp;L20&amp;" "&amp;L21&amp;" is more than initial test at ANC1"&amp;CHAR(10),""),IF(M305&gt;M304," * New positive at ANC1 for Age "&amp;L20&amp;" "&amp;M21&amp;" is more than initial test at ANC1"&amp;CHAR(10),""),IF(N305&gt;N304," * New positive at ANC1 for Age "&amp;N20&amp;" "&amp;N21&amp;" is more than initial test at ANC1"&amp;CHAR(10),""),IF(O305&gt;O304," * New positive at ANC1 for Age "&amp;N20&amp;" "&amp;O21&amp;" is more than initial test at ANC1"&amp;CHAR(10),""),IF(P305&gt;P304," * New positive at ANC1 for Age "&amp;P20&amp;" "&amp;P21&amp;" is more than initial test at ANC1"&amp;CHAR(10),""),IF(Q305&gt;Q304," * New positive at ANC1 for Age "&amp;P20&amp;" "&amp;Q21&amp;" is more than initial test at ANC1"&amp;CHAR(10),""),IF(R305&gt;R304," * New positive at ANC1 for Age "&amp;R20&amp;" "&amp;R21&amp;" is more than initial test at ANC1"&amp;CHAR(10),""),IF(S305&gt;S304," * New positive at ANC1 for Age "&amp;R20&amp;" "&amp;S21&amp;" is more than initial test at ANC1"&amp;CHAR(10),""),IF(T305&gt;T304," * New positive at ANC1 for Age "&amp;T20&amp;" "&amp;T21&amp;" is more than initial test at ANC1"&amp;CHAR(10),""),IF(U305&gt;U304," * New positive at ANC1 for Age "&amp;T20&amp;" "&amp;U21&amp;" is more than initial test at ANC1"&amp;CHAR(10),""),IF(V305&gt;V304," * New positive at ANC1 for Age "&amp;V20&amp;" "&amp;V21&amp;" is more than initial test at ANC1"&amp;CHAR(10),""),IF(W305&gt;W304," * New positive at ANC1 for Age "&amp;V20&amp;" "&amp;W21&amp;" is more than initial test at ANC1"&amp;CHAR(10),""),IF(X305&gt;X304," * New positive at ANC1 for Age "&amp;X20&amp;" "&amp;X21&amp;" is more than initial test at ANC1"&amp;CHAR(10),""),IF(Y305&gt;Y304," * New positive at ANC1 for Age "&amp;X20&amp;" "&amp;Y21&amp;" is more than initial test at ANC1"&amp;CHAR(10),""),IF(Z305&gt;Z304," * New positive at ANC1 for Age "&amp;Z20&amp;" "&amp;Z21&amp;" is more than initial test at ANC1"&amp;CHAR(10),""),IF(AA305&gt;AA304," * New positive at ANC1 for Age "&amp;Z20&amp;" "&amp;AA21&amp;" is more than initial test at ANC1"&amp;CHAR(10),""),IF(AJ305&gt;AJ304," * Total New positive at ANC1 is more than Total initial test at ANC1"&amp;CHAR(10),""))</f>
        <v/>
      </c>
      <c r="AL305" s="1285"/>
      <c r="AM305" s="31"/>
      <c r="AN305" s="1282"/>
      <c r="AO305" s="13">
        <v>199</v>
      </c>
      <c r="AP305" s="74"/>
      <c r="AQ305" s="75"/>
    </row>
    <row r="306" spans="1:43" ht="26.25" x14ac:dyDescent="0.4">
      <c r="A306" s="1304"/>
      <c r="B306" s="196" t="s">
        <v>435</v>
      </c>
      <c r="C306" s="526" t="s">
        <v>439</v>
      </c>
      <c r="D306" s="77"/>
      <c r="E306" s="78"/>
      <c r="F306" s="78"/>
      <c r="G306" s="78"/>
      <c r="H306" s="78"/>
      <c r="I306" s="78"/>
      <c r="J306" s="78"/>
      <c r="K306" s="197">
        <f>K304+K303</f>
        <v>0</v>
      </c>
      <c r="L306" s="78"/>
      <c r="M306" s="197">
        <f>M304+M303</f>
        <v>0</v>
      </c>
      <c r="N306" s="78"/>
      <c r="O306" s="197">
        <f>O304+O303</f>
        <v>0</v>
      </c>
      <c r="P306" s="78"/>
      <c r="Q306" s="197">
        <f>Q304+Q303</f>
        <v>0</v>
      </c>
      <c r="R306" s="78"/>
      <c r="S306" s="197">
        <f>S304+S303</f>
        <v>0</v>
      </c>
      <c r="T306" s="78"/>
      <c r="U306" s="197">
        <f>U304+U303</f>
        <v>0</v>
      </c>
      <c r="V306" s="78"/>
      <c r="W306" s="197">
        <f>W304+W303</f>
        <v>0</v>
      </c>
      <c r="X306" s="78"/>
      <c r="Y306" s="197">
        <f>Y304+Y303</f>
        <v>0</v>
      </c>
      <c r="Z306" s="78"/>
      <c r="AA306" s="323"/>
      <c r="AB306" s="354"/>
      <c r="AC306" s="325"/>
      <c r="AD306" s="325"/>
      <c r="AE306" s="325"/>
      <c r="AF306" s="325"/>
      <c r="AG306" s="325"/>
      <c r="AH306" s="325"/>
      <c r="AI306" s="285"/>
      <c r="AJ306" s="361">
        <f t="shared" si="76"/>
        <v>0</v>
      </c>
      <c r="AK306" s="116"/>
      <c r="AL306" s="1285"/>
      <c r="AM306" s="31"/>
      <c r="AN306" s="1282"/>
      <c r="AO306" s="13">
        <v>200</v>
      </c>
      <c r="AP306" s="74"/>
      <c r="AQ306" s="75"/>
    </row>
    <row r="307" spans="1:43" ht="27" thickBot="1" x14ac:dyDescent="0.45">
      <c r="A307" s="1305"/>
      <c r="B307" s="198" t="s">
        <v>440</v>
      </c>
      <c r="C307" s="527" t="s">
        <v>454</v>
      </c>
      <c r="D307" s="103"/>
      <c r="E307" s="102"/>
      <c r="F307" s="102"/>
      <c r="G307" s="102"/>
      <c r="H307" s="102"/>
      <c r="I307" s="102"/>
      <c r="J307" s="102"/>
      <c r="K307" s="199">
        <f>K305+K303</f>
        <v>0</v>
      </c>
      <c r="L307" s="102"/>
      <c r="M307" s="199">
        <f>M305+M303</f>
        <v>0</v>
      </c>
      <c r="N307" s="102"/>
      <c r="O307" s="199">
        <f>O305+O303</f>
        <v>0</v>
      </c>
      <c r="P307" s="102"/>
      <c r="Q307" s="199">
        <f>Q305+Q303</f>
        <v>0</v>
      </c>
      <c r="R307" s="102"/>
      <c r="S307" s="199">
        <f>S305+S303</f>
        <v>0</v>
      </c>
      <c r="T307" s="102"/>
      <c r="U307" s="199">
        <f>U305+U303</f>
        <v>0</v>
      </c>
      <c r="V307" s="102"/>
      <c r="W307" s="199">
        <f>W305+W303</f>
        <v>0</v>
      </c>
      <c r="X307" s="102"/>
      <c r="Y307" s="199">
        <f>Y305+Y303</f>
        <v>0</v>
      </c>
      <c r="Z307" s="102"/>
      <c r="AA307" s="296"/>
      <c r="AB307" s="354"/>
      <c r="AC307" s="325"/>
      <c r="AD307" s="325"/>
      <c r="AE307" s="325"/>
      <c r="AF307" s="325"/>
      <c r="AG307" s="325"/>
      <c r="AH307" s="325"/>
      <c r="AI307" s="285"/>
      <c r="AJ307" s="362">
        <f t="shared" si="76"/>
        <v>0</v>
      </c>
      <c r="AK307" s="116"/>
      <c r="AL307" s="1285"/>
      <c r="AM307" s="31"/>
      <c r="AN307" s="1282"/>
      <c r="AO307" s="13">
        <v>201</v>
      </c>
      <c r="AP307" s="74"/>
      <c r="AQ307" s="75"/>
    </row>
    <row r="308" spans="1:43" ht="26.25" x14ac:dyDescent="0.4">
      <c r="A308" s="1244" t="s">
        <v>903</v>
      </c>
      <c r="B308" s="200" t="s">
        <v>631</v>
      </c>
      <c r="C308" s="525" t="s">
        <v>245</v>
      </c>
      <c r="D308" s="98"/>
      <c r="E308" s="99"/>
      <c r="F308" s="99"/>
      <c r="G308" s="99"/>
      <c r="H308" s="99"/>
      <c r="I308" s="99"/>
      <c r="J308" s="99"/>
      <c r="K308" s="94"/>
      <c r="L308" s="99"/>
      <c r="M308" s="94"/>
      <c r="N308" s="99"/>
      <c r="O308" s="94"/>
      <c r="P308" s="99"/>
      <c r="Q308" s="94"/>
      <c r="R308" s="99"/>
      <c r="S308" s="94"/>
      <c r="T308" s="99"/>
      <c r="U308" s="94"/>
      <c r="V308" s="99"/>
      <c r="W308" s="94"/>
      <c r="X308" s="99"/>
      <c r="Y308" s="94"/>
      <c r="Z308" s="99"/>
      <c r="AA308" s="295"/>
      <c r="AB308" s="354"/>
      <c r="AC308" s="325"/>
      <c r="AD308" s="325"/>
      <c r="AE308" s="325"/>
      <c r="AF308" s="325"/>
      <c r="AG308" s="325"/>
      <c r="AH308" s="325"/>
      <c r="AI308" s="285"/>
      <c r="AJ308" s="363">
        <f t="shared" si="76"/>
        <v>0</v>
      </c>
      <c r="AK308" s="1202" t="str">
        <f>CONCATENATE(IF(D309&gt;D308," * Initial positive results at ANC 2 and above for Age "&amp;D20&amp;" "&amp;D21&amp;" is more than Initial test at ANC 2 and above"&amp;CHAR(10),""),IF(E309&gt;E308," * Initial positive results at ANC 2 and above for Age "&amp;D20&amp;" "&amp;E21&amp;" is more than Initial test at ANC 2 and above"&amp;CHAR(10),""),IF(F309&gt;F308," * Initial positive results at ANC 2 and above for Age "&amp;F20&amp;" "&amp;F21&amp;" is more than Initial test at ANC 2 and above"&amp;CHAR(10),""),IF(G309&gt;G308," * Initial positive results at ANC 2 and above for Age "&amp;F20&amp;" "&amp;G21&amp;" is more than Initial test at ANC 2 and above"&amp;CHAR(10),""),IF(H309&gt;H308," * Initial positive results at ANC 2 and above for Age "&amp;H20&amp;" "&amp;H21&amp;" is more than Initial test at ANC 2 and above"&amp;CHAR(10),""),IF(I309&gt;I308," * Initial positive results at ANC 2 and above for Age "&amp;H20&amp;" "&amp;I21&amp;" is more than Initial test at ANC 2 and above"&amp;CHAR(10),""),IF(J309&gt;J308," * Initial positive results at ANC 2 and above for Age "&amp;J20&amp;" "&amp;J21&amp;" is more than Initial test at ANC 2 and above"&amp;CHAR(10),""),IF(K309&gt;K308," * Initial positive results at ANC 2 and above for Age "&amp;J20&amp;" "&amp;K21&amp;" is more than Initial test at ANC 2 and above"&amp;CHAR(10),""),IF(L309&gt;L308," * Initial positive results at ANC 2 and above for Age "&amp;L20&amp;" "&amp;L21&amp;" is more than Initial test at ANC 2 and above"&amp;CHAR(10),""),IF(M309&gt;M308," * Initial positive results at ANC 2 and above for Age "&amp;L20&amp;" "&amp;M21&amp;" is more than Initial test at ANC 2 and above"&amp;CHAR(10),""),IF(N309&gt;N308," * Initial positive results at ANC 2 and above for Age "&amp;N20&amp;" "&amp;N21&amp;" is more than Initial test at ANC 2 and above"&amp;CHAR(10),""),IF(O309&gt;O308," * Initial positive results at ANC 2 and above for Age "&amp;N20&amp;" "&amp;O21&amp;" is more than Initial test at ANC 2 and above"&amp;CHAR(10),""),IF(P309&gt;P308," * Initial positive results at ANC 2 and above for Age "&amp;P20&amp;" "&amp;P21&amp;" is more than Initial test at ANC 2 and above"&amp;CHAR(10),""),IF(Q309&gt;Q308," * Initial positive results at ANC 2 and above for Age "&amp;P20&amp;" "&amp;Q21&amp;" is more than Initial test at ANC 2 and above"&amp;CHAR(10),""),IF(R309&gt;R308," * Initial positive results at ANC 2 and above for Age "&amp;R20&amp;" "&amp;R21&amp;" is more than Initial test at ANC 2 and above"&amp;CHAR(10),""),IF(S309&gt;S308," * Initial positive results at ANC 2 and above for Age "&amp;R20&amp;" "&amp;S21&amp;" is more than Initial test at ANC 2 and above"&amp;CHAR(10),""),IF(T309&gt;T308," * Initial positive results at ANC 2 and above for Age "&amp;T20&amp;" "&amp;T21&amp;" is more than Initial test at ANC 2 and above"&amp;CHAR(10),""),IF(U309&gt;U308," * Initial positive results at ANC 2 and above for Age "&amp;T20&amp;" "&amp;U21&amp;" is more than Initial test at ANC 2 and above"&amp;CHAR(10),""),IF(V309&gt;V308," * Initial positive results at ANC 2 and above for Age "&amp;V20&amp;" "&amp;V21&amp;" is more than Initial test at ANC 2 and above"&amp;CHAR(10),""),IF(W309&gt;W308," * Initial positive results at ANC 2 and above for Age "&amp;V20&amp;" "&amp;W21&amp;" is more than Initial test at ANC 2 and above"&amp;CHAR(10),""),IF(X309&gt;X308," * Initial positive results at ANC 2 and above for Age "&amp;X20&amp;" "&amp;X21&amp;" is more than Initial test at ANC 2 and above"&amp;CHAR(10),""),IF(Y309&gt;Y308," * Initial positive results at ANC 2 and above for Age "&amp;X20&amp;" "&amp;Y21&amp;" is more than Initial test at ANC 2 and above"&amp;CHAR(10),""),IF(Z309&gt;Z308," * Initial positive results at ANC 2 and above for Age "&amp;Z20&amp;" "&amp;Z21&amp;" is more than Initial test at ANC 2 and above"&amp;CHAR(10),""),IF(AA309&gt;AA308," * Initial positive results at ANC 2 and above for Age "&amp;Z20&amp;" "&amp;AA21&amp;" is more than Initial test at ANC 2 and above"&amp;CHAR(10),""))</f>
        <v/>
      </c>
      <c r="AL308" s="1285"/>
      <c r="AM308" s="31"/>
      <c r="AN308" s="1282"/>
      <c r="AO308" s="13">
        <v>202</v>
      </c>
      <c r="AP308" s="74"/>
      <c r="AQ308" s="75"/>
    </row>
    <row r="309" spans="1:43" ht="26.25" x14ac:dyDescent="0.4">
      <c r="A309" s="1275"/>
      <c r="B309" s="201" t="s">
        <v>437</v>
      </c>
      <c r="C309" s="526" t="s">
        <v>246</v>
      </c>
      <c r="D309" s="77"/>
      <c r="E309" s="78"/>
      <c r="F309" s="78"/>
      <c r="G309" s="78"/>
      <c r="H309" s="78"/>
      <c r="I309" s="78"/>
      <c r="J309" s="78"/>
      <c r="K309" s="193"/>
      <c r="L309" s="194"/>
      <c r="M309" s="193"/>
      <c r="N309" s="194"/>
      <c r="O309" s="193"/>
      <c r="P309" s="194"/>
      <c r="Q309" s="193"/>
      <c r="R309" s="194"/>
      <c r="S309" s="193"/>
      <c r="T309" s="194"/>
      <c r="U309" s="193"/>
      <c r="V309" s="194"/>
      <c r="W309" s="193"/>
      <c r="X309" s="194"/>
      <c r="Y309" s="193"/>
      <c r="Z309" s="78"/>
      <c r="AA309" s="323"/>
      <c r="AB309" s="354"/>
      <c r="AC309" s="325"/>
      <c r="AD309" s="325"/>
      <c r="AE309" s="325"/>
      <c r="AF309" s="325"/>
      <c r="AG309" s="325"/>
      <c r="AH309" s="325"/>
      <c r="AI309" s="285"/>
      <c r="AJ309" s="361">
        <f t="shared" si="76"/>
        <v>0</v>
      </c>
      <c r="AK309" s="1202"/>
      <c r="AL309" s="1285"/>
      <c r="AM309" s="31"/>
      <c r="AN309" s="1282"/>
      <c r="AO309" s="13">
        <v>203</v>
      </c>
      <c r="AP309" s="74"/>
      <c r="AQ309" s="75"/>
    </row>
    <row r="310" spans="1:43" ht="31.15" customHeight="1" x14ac:dyDescent="0.4">
      <c r="A310" s="1275"/>
      <c r="B310" s="76" t="s">
        <v>442</v>
      </c>
      <c r="C310" s="526" t="s">
        <v>444</v>
      </c>
      <c r="D310" s="77"/>
      <c r="E310" s="78"/>
      <c r="F310" s="78"/>
      <c r="G310" s="78"/>
      <c r="H310" s="78"/>
      <c r="I310" s="78"/>
      <c r="J310" s="78"/>
      <c r="K310" s="79"/>
      <c r="L310" s="78"/>
      <c r="M310" s="79"/>
      <c r="N310" s="78"/>
      <c r="O310" s="79"/>
      <c r="P310" s="78"/>
      <c r="Q310" s="79"/>
      <c r="R310" s="78"/>
      <c r="S310" s="79"/>
      <c r="T310" s="78"/>
      <c r="U310" s="79"/>
      <c r="V310" s="78"/>
      <c r="W310" s="79"/>
      <c r="X310" s="78"/>
      <c r="Y310" s="79"/>
      <c r="Z310" s="78"/>
      <c r="AA310" s="323"/>
      <c r="AB310" s="354"/>
      <c r="AC310" s="325"/>
      <c r="AD310" s="325"/>
      <c r="AE310" s="325"/>
      <c r="AF310" s="325"/>
      <c r="AG310" s="325"/>
      <c r="AH310" s="325"/>
      <c r="AI310" s="285"/>
      <c r="AJ310" s="361">
        <f t="shared" si="76"/>
        <v>0</v>
      </c>
      <c r="AK310" s="30" t="str">
        <f>CONCATENATE(IF(D311&gt;D310," * Retesting at ANC 2 and above For age "&amp;$D$20&amp;" "&amp;$D$21&amp;" is less than  than Retesting positive result at ANC 2 and above"&amp;CHAR(10),""),IF(E311&gt;E310," * Retesting at ANC 2 and above For age "&amp;$D$20&amp;" "&amp;$E$21&amp;" is less than  than Retesting positive result at ANC 2 and above"&amp;CHAR(10),""),IF(F311&gt;F310," * Retesting at ANC 2 and above For age "&amp;$F$20&amp;" "&amp;$F$21&amp;" is less than  than Retesting positive result at ANC 2 and above"&amp;CHAR(10),""),IF(G311&gt;G310," * Retesting at ANC 2 and above For age "&amp;$F$20&amp;" "&amp;$G$21&amp;" is less than  than Retesting positive result at ANC 2 and above"&amp;CHAR(10),""),IF(H311&gt;H310," * Retesting at ANC 2 and above For age "&amp;$H$20&amp;" "&amp;$H$21&amp;" is less than  than Retesting positive result at ANC 2 and above"&amp;CHAR(10),""),IF(I311&gt;I310," * Retesting at ANC 2 and above For age "&amp;$H$20&amp;" "&amp;$I$21&amp;" is less than  than Retesting positive result at ANC 2 and above"&amp;CHAR(10),""),IF(J311&gt;J310," * Retesting at ANC 2 and above For age "&amp;$J$20&amp;" "&amp;$J$21&amp;" is less than  than Retesting positive result at ANC 2 and above"&amp;CHAR(10),""),IF(K311&gt;K310," * Retesting at ANC 2 and above For age "&amp;$J$20&amp;" "&amp;$K$21&amp;" is less than  than Retesting positive result at ANC 2 and above"&amp;CHAR(10),""),IF(L311&gt;L310," * Retesting at ANC 2 and above For age "&amp;$L$20&amp;" "&amp;$L$21&amp;" is less than  than Retesting positive result at ANC 2 and above"&amp;CHAR(10),""),IF(M311&gt;M310," * Retesting at ANC 2 and above For age "&amp;$L$20&amp;" "&amp;$M$21&amp;" is less than  than Retesting positive result at ANC 2 and above"&amp;CHAR(10),""),IF(N311&gt;N310," * Retesting at ANC 2 and above For age "&amp;$N$20&amp;" "&amp;$N$21&amp;" is less than  than Retesting positive result at ANC 2 and above"&amp;CHAR(10),""),IF(O311&gt;O310," * Retesting at ANC 2 and above For age "&amp;$N$20&amp;" "&amp;$O$21&amp;" is less than  than Retesting positive result at ANC 2 and above"&amp;CHAR(10),""),IF(P311&gt;P310," * Retesting at ANC 2 and above For age "&amp;$P$20&amp;" "&amp;$P$21&amp;" is less than  than Retesting positive result at ANC 2 and above"&amp;CHAR(10),""),IF(Q311&gt;Q310," * Retesting at ANC 2 and above For age "&amp;$P$20&amp;" "&amp;$Q$21&amp;" is less than  than Retesting positive result at ANC 2 and above"&amp;CHAR(10),""),IF(R311&gt;R310," * Retesting at ANC 2 and above For age "&amp;$R$20&amp;" "&amp;$R$21&amp;" is less than  than Retesting positive result at ANC 2 and above"&amp;CHAR(10),""),IF(S311&gt;S310," * Retesting at ANC 2 and above For age "&amp;$R$20&amp;" "&amp;$S$21&amp;" is less than  than Retesting positive result at ANC 2 and above"&amp;CHAR(10),""),IF(T311&gt;T310," * Retesting at ANC 2 and above For age "&amp;$T$20&amp;" "&amp;$T$21&amp;" is less than  than Retesting positive result at ANC 2 and above"&amp;CHAR(10),""),IF(U311&gt;U310," * Retesting at ANC 2 and above For age "&amp;$T$20&amp;" "&amp;$U$21&amp;" is less than  than Retesting positive result at ANC 2 and above"&amp;CHAR(10),""),IF(V311&gt;V310," * Retesting at ANC 2 and above For age "&amp;$V$20&amp;" "&amp;$V$21&amp;" is less than  than Retesting positive result at ANC 2 and above"&amp;CHAR(10),""),IF(W311&gt;W310," * Retesting at ANC 2 and above For age "&amp;$V$20&amp;" "&amp;$W$21&amp;" is less than  than Retesting positive result at ANC 2 and above"&amp;CHAR(10),""),IF(X311&gt;X310," * Retesting at ANC 2 and above For age "&amp;$X$20&amp;" "&amp;$X$21&amp;" is less than  than Retesting positive result at ANC 2 and above"&amp;CHAR(10),""),IF(Y311&gt;Y310," * Retesting at ANC 2 and above For age "&amp;$X$20&amp;" "&amp;$Y$21&amp;" is less than  than Retesting positive result at ANC 2 and above"&amp;CHAR(10),""),IF(Z311&gt;Z310," * Retesting at ANC 2 and above For age "&amp;$Z$20&amp;" "&amp;$Z$21&amp;" is less than  than Retesting positive result at ANC 2 and above"&amp;CHAR(10),""),IF(AA311&gt;AA310," * Retesting at ANC 2 and above For age "&amp;$Z$20&amp;" "&amp;$AA$21&amp;" is less than  than Retesting positive result at ANC 2 and above"&amp;CHAR(10),""))</f>
        <v/>
      </c>
      <c r="AL310" s="1285"/>
      <c r="AM310" s="31"/>
      <c r="AN310" s="1282"/>
      <c r="AO310" s="13">
        <v>204</v>
      </c>
      <c r="AP310" s="74"/>
      <c r="AQ310" s="75"/>
    </row>
    <row r="311" spans="1:43" ht="27" thickBot="1" x14ac:dyDescent="0.45">
      <c r="A311" s="1245"/>
      <c r="B311" s="95" t="s">
        <v>443</v>
      </c>
      <c r="C311" s="527" t="s">
        <v>445</v>
      </c>
      <c r="D311" s="103"/>
      <c r="E311" s="102"/>
      <c r="F311" s="102"/>
      <c r="G311" s="102"/>
      <c r="H311" s="102"/>
      <c r="I311" s="102"/>
      <c r="J311" s="202"/>
      <c r="K311" s="97"/>
      <c r="L311" s="202"/>
      <c r="M311" s="97"/>
      <c r="N311" s="202"/>
      <c r="O311" s="97"/>
      <c r="P311" s="202"/>
      <c r="Q311" s="97"/>
      <c r="R311" s="202"/>
      <c r="S311" s="97"/>
      <c r="T311" s="202"/>
      <c r="U311" s="97"/>
      <c r="V311" s="202"/>
      <c r="W311" s="97"/>
      <c r="X311" s="202"/>
      <c r="Y311" s="97"/>
      <c r="Z311" s="102"/>
      <c r="AA311" s="296"/>
      <c r="AB311" s="354"/>
      <c r="AC311" s="325"/>
      <c r="AD311" s="325"/>
      <c r="AE311" s="325"/>
      <c r="AF311" s="325"/>
      <c r="AG311" s="325"/>
      <c r="AH311" s="325"/>
      <c r="AI311" s="285"/>
      <c r="AJ311" s="362">
        <f t="shared" si="76"/>
        <v>0</v>
      </c>
      <c r="AK311" s="130"/>
      <c r="AL311" s="1285"/>
      <c r="AM311" s="31"/>
      <c r="AN311" s="1282"/>
      <c r="AO311" s="13">
        <v>205</v>
      </c>
      <c r="AP311" s="74"/>
      <c r="AQ311" s="75"/>
    </row>
    <row r="312" spans="1:43" ht="26.25" x14ac:dyDescent="0.4">
      <c r="A312" s="1187" t="s">
        <v>446</v>
      </c>
      <c r="B312" s="91" t="s">
        <v>632</v>
      </c>
      <c r="C312" s="525" t="s">
        <v>330</v>
      </c>
      <c r="D312" s="98"/>
      <c r="E312" s="99"/>
      <c r="F312" s="99"/>
      <c r="G312" s="99"/>
      <c r="H312" s="99"/>
      <c r="I312" s="99"/>
      <c r="J312" s="99"/>
      <c r="K312" s="94"/>
      <c r="L312" s="99"/>
      <c r="M312" s="94"/>
      <c r="N312" s="99"/>
      <c r="O312" s="94"/>
      <c r="P312" s="99"/>
      <c r="Q312" s="94"/>
      <c r="R312" s="99"/>
      <c r="S312" s="94"/>
      <c r="T312" s="99"/>
      <c r="U312" s="94"/>
      <c r="V312" s="99"/>
      <c r="W312" s="94"/>
      <c r="X312" s="99"/>
      <c r="Y312" s="94"/>
      <c r="Z312" s="99"/>
      <c r="AA312" s="295"/>
      <c r="AB312" s="354"/>
      <c r="AC312" s="325"/>
      <c r="AD312" s="325"/>
      <c r="AE312" s="325"/>
      <c r="AF312" s="325"/>
      <c r="AG312" s="325"/>
      <c r="AH312" s="325"/>
      <c r="AI312" s="285"/>
      <c r="AJ312" s="363">
        <f t="shared" si="76"/>
        <v>0</v>
      </c>
      <c r="AK312" s="1202" t="str">
        <f>CONCATENATE(IF(D313&gt;D312," * F06-08 for Age "&amp;D20&amp;" "&amp;D21&amp;" is more than F06-07"&amp;CHAR(10),""),IF(E313&gt;E312," * F06-08 for Age "&amp;D20&amp;" "&amp;E21&amp;" is more than F06-07"&amp;CHAR(10),""),IF(F313&gt;F312," * F06-08 for Age "&amp;F20&amp;" "&amp;F21&amp;" is more than F06-07"&amp;CHAR(10),""),IF(G313&gt;G312," * F06-08 for Age "&amp;F20&amp;" "&amp;G21&amp;" is more than F06-07"&amp;CHAR(10),""),IF(H313&gt;H312," * F06-08 for Age "&amp;H20&amp;" "&amp;H21&amp;" is more than F06-07"&amp;CHAR(10),""),IF(I313&gt;I312," * F06-08 for Age "&amp;H20&amp;" "&amp;I21&amp;" is more than F06-07"&amp;CHAR(10),""),IF(J313&gt;J312," * F06-08 for Age "&amp;J20&amp;" "&amp;J21&amp;" is more than F06-07"&amp;CHAR(10),""),IF(K313&gt;K312," * F06-08 for Age "&amp;J20&amp;" "&amp;K21&amp;" is more than F06-07"&amp;CHAR(10),""),IF(L313&gt;L312," * F06-08 for Age "&amp;L20&amp;" "&amp;L21&amp;" is more than F06-07"&amp;CHAR(10),""),IF(M313&gt;M312," * F06-08 for Age "&amp;L20&amp;" "&amp;M21&amp;" is more than F06-07"&amp;CHAR(10),""),IF(N313&gt;N312," * F06-08 for Age "&amp;N20&amp;" "&amp;N21&amp;" is more than F06-07"&amp;CHAR(10),""),IF(O313&gt;O312," * F06-08 for Age "&amp;N20&amp;" "&amp;O21&amp;" is more than F06-07"&amp;CHAR(10),""),IF(P313&gt;P312," * F06-08 for Age "&amp;P20&amp;" "&amp;P21&amp;" is more than F06-07"&amp;CHAR(10),""),IF(Q313&gt;Q312," * F06-08 for Age "&amp;P20&amp;" "&amp;Q21&amp;" is more than F06-07"&amp;CHAR(10),""),IF(R313&gt;R312," * F06-08 for Age "&amp;R20&amp;" "&amp;R21&amp;" is more than F06-07"&amp;CHAR(10),""),IF(S313&gt;S312," * F06-08 for Age "&amp;R20&amp;" "&amp;S21&amp;" is more than F06-07"&amp;CHAR(10),""),IF(T313&gt;T312," * F06-08 for Age "&amp;T20&amp;" "&amp;T21&amp;" is more than F06-07"&amp;CHAR(10),""),IF(U313&gt;U312," * F06-08 for Age "&amp;T20&amp;" "&amp;U21&amp;" is more than F06-07"&amp;CHAR(10),""),IF(V313&gt;V312," * F06-08 for Age "&amp;V20&amp;" "&amp;V21&amp;" is more than F06-07"&amp;CHAR(10),""),IF(W313&gt;W312," * F06-08 for Age "&amp;V20&amp;" "&amp;W21&amp;" is more than F06-07"&amp;CHAR(10),""),IF(X313&gt;X312," * F06-08 for Age "&amp;X20&amp;" "&amp;X21&amp;" is more than F06-07"&amp;CHAR(10),""),IF(Y313&gt;Y312," * F06-08 for Age "&amp;X20&amp;" "&amp;Y21&amp;" is more than F06-07"&amp;CHAR(10),""),IF(Z313&gt;Z312," * F06-08 for Age "&amp;Z20&amp;" "&amp;Z21&amp;" is more than F06-07"&amp;CHAR(10),""),IF(AA313&gt;AA312," * F06-08 for Age "&amp;Z20&amp;" "&amp;AA21&amp;" is more than F06-07"&amp;CHAR(10),""),IF(AJ313&gt;AJ312," * Total F06-08 is more than Total F06-07"&amp;CHAR(10),""))</f>
        <v/>
      </c>
      <c r="AL312" s="1285"/>
      <c r="AM312" s="31"/>
      <c r="AN312" s="1282"/>
      <c r="AO312" s="13">
        <v>206</v>
      </c>
      <c r="AP312" s="74"/>
      <c r="AQ312" s="75"/>
    </row>
    <row r="313" spans="1:43" ht="26.25" x14ac:dyDescent="0.4">
      <c r="A313" s="1188"/>
      <c r="B313" s="201" t="s">
        <v>633</v>
      </c>
      <c r="C313" s="526" t="s">
        <v>331</v>
      </c>
      <c r="D313" s="77"/>
      <c r="E313" s="78"/>
      <c r="F313" s="78"/>
      <c r="G313" s="78"/>
      <c r="H313" s="78"/>
      <c r="I313" s="78"/>
      <c r="J313" s="78"/>
      <c r="K313" s="193"/>
      <c r="L313" s="194"/>
      <c r="M313" s="193"/>
      <c r="N313" s="194"/>
      <c r="O313" s="193"/>
      <c r="P313" s="194"/>
      <c r="Q313" s="193"/>
      <c r="R313" s="194"/>
      <c r="S313" s="193"/>
      <c r="T313" s="194"/>
      <c r="U313" s="193"/>
      <c r="V313" s="194"/>
      <c r="W313" s="193"/>
      <c r="X313" s="194"/>
      <c r="Y313" s="193"/>
      <c r="Z313" s="194"/>
      <c r="AA313" s="323"/>
      <c r="AB313" s="354"/>
      <c r="AC313" s="325"/>
      <c r="AD313" s="325"/>
      <c r="AE313" s="325"/>
      <c r="AF313" s="325"/>
      <c r="AG313" s="325"/>
      <c r="AH313" s="325"/>
      <c r="AI313" s="285"/>
      <c r="AJ313" s="361">
        <f t="shared" si="76"/>
        <v>0</v>
      </c>
      <c r="AK313" s="1202"/>
      <c r="AL313" s="1285"/>
      <c r="AM313" s="31"/>
      <c r="AN313" s="1282"/>
      <c r="AO313" s="13">
        <v>207</v>
      </c>
      <c r="AP313" s="74"/>
      <c r="AQ313" s="75"/>
    </row>
    <row r="314" spans="1:43" ht="26.25" x14ac:dyDescent="0.4">
      <c r="A314" s="1188"/>
      <c r="B314" s="76" t="s">
        <v>634</v>
      </c>
      <c r="C314" s="526" t="s">
        <v>589</v>
      </c>
      <c r="D314" s="77"/>
      <c r="E314" s="78"/>
      <c r="F314" s="78"/>
      <c r="G314" s="78"/>
      <c r="H314" s="78"/>
      <c r="I314" s="78"/>
      <c r="J314" s="78"/>
      <c r="K314" s="79"/>
      <c r="L314" s="78"/>
      <c r="M314" s="79"/>
      <c r="N314" s="78"/>
      <c r="O314" s="79"/>
      <c r="P314" s="78"/>
      <c r="Q314" s="79"/>
      <c r="R314" s="78"/>
      <c r="S314" s="79"/>
      <c r="T314" s="78"/>
      <c r="U314" s="79"/>
      <c r="V314" s="78"/>
      <c r="W314" s="79"/>
      <c r="X314" s="78"/>
      <c r="Y314" s="79"/>
      <c r="Z314" s="78"/>
      <c r="AA314" s="323"/>
      <c r="AB314" s="354"/>
      <c r="AC314" s="325"/>
      <c r="AD314" s="325"/>
      <c r="AE314" s="325"/>
      <c r="AF314" s="325"/>
      <c r="AG314" s="325"/>
      <c r="AH314" s="325"/>
      <c r="AI314" s="285"/>
      <c r="AJ314" s="361">
        <f t="shared" si="76"/>
        <v>0</v>
      </c>
      <c r="AK314" s="30" t="str">
        <f>CONCATENATE(IF(D315&gt;D314," * Retesting at L&amp;D For age "&amp;$D$20&amp;" "&amp;$D$21&amp;" is less than  than Retesting positive result at L&amp;D"&amp;CHAR(10),""),IF(E315&gt;E314," * Retesting at L&amp;D For age "&amp;$D$20&amp;" "&amp;$E$21&amp;" is less than  than Retesting positive result at L&amp;D"&amp;CHAR(10),""),IF(F315&gt;F314," * Retesting at L&amp;D For age "&amp;$F$20&amp;" "&amp;$F$21&amp;" is less than  than Retesting positive result at L&amp;D"&amp;CHAR(10),""),IF(G315&gt;G314," * Retesting at L&amp;D For age "&amp;$F$20&amp;" "&amp;$G$21&amp;" is less than  than Retesting positive result at L&amp;D"&amp;CHAR(10),""),IF(H315&gt;H314," * Retesting at L&amp;D For age "&amp;$H$20&amp;" "&amp;$H$21&amp;" is less than  than Retesting positive result at L&amp;D"&amp;CHAR(10),""),IF(I315&gt;I314," * Retesting at L&amp;D For age "&amp;$H$20&amp;" "&amp;$I$21&amp;" is less than  than Retesting positive result at L&amp;D"&amp;CHAR(10),""),IF(J315&gt;J314," * Retesting at L&amp;D For age "&amp;$J$20&amp;" "&amp;$J$21&amp;" is less than  than Retesting positive result at L&amp;D"&amp;CHAR(10),""),IF(K315&gt;K314," * Retesting at L&amp;D For age "&amp;$J$20&amp;" "&amp;$K$21&amp;" is less than  than Retesting positive result at L&amp;D"&amp;CHAR(10),""),IF(L315&gt;L314," * Retesting at L&amp;D For age "&amp;$L$20&amp;" "&amp;$L$21&amp;" is less than  than Retesting positive result at L&amp;D"&amp;CHAR(10),""),IF(M315&gt;M314," * Retesting at L&amp;D For age "&amp;$L$20&amp;" "&amp;$M$21&amp;" is less than  than Retesting positive result at L&amp;D"&amp;CHAR(10),""),IF(N315&gt;N314," * Retesting at L&amp;D For age "&amp;$N$20&amp;" "&amp;$N$21&amp;" is less than  than Retesting positive result at L&amp;D"&amp;CHAR(10),""),IF(O315&gt;O314," * Retesting at L&amp;D For age "&amp;$N$20&amp;" "&amp;$O$21&amp;" is less than  than Retesting positive result at L&amp;D"&amp;CHAR(10),""),IF(P315&gt;P314," * Retesting at L&amp;D For age "&amp;$P$20&amp;" "&amp;$P$21&amp;" is less than  than Retesting positive result at L&amp;D"&amp;CHAR(10),""),IF(Q315&gt;Q314," * Retesting at L&amp;D For age "&amp;$P$20&amp;" "&amp;$Q$21&amp;" is less than  than Retesting positive result at L&amp;D"&amp;CHAR(10),""),IF(R315&gt;R314," * Retesting at L&amp;D For age "&amp;$R$20&amp;" "&amp;$R$21&amp;" is less than  than Retesting positive result at L&amp;D"&amp;CHAR(10),""),IF(S315&gt;S314," * Retesting at L&amp;D For age "&amp;$R$20&amp;" "&amp;$S$21&amp;" is less than  than Retesting positive result at L&amp;D"&amp;CHAR(10),""),IF(T315&gt;T314," * Retesting at L&amp;D For age "&amp;$T$20&amp;" "&amp;$T$21&amp;" is less than  than Retesting positive result at L&amp;D"&amp;CHAR(10),""),IF(U315&gt;U314," * Retesting at L&amp;D For age "&amp;$T$20&amp;" "&amp;$U$21&amp;" is less than  than Retesting positive result at L&amp;D"&amp;CHAR(10),""),IF(V315&gt;V314," * Retesting at L&amp;D For age "&amp;$V$20&amp;" "&amp;$V$21&amp;" is less than  than Retesting positive result at L&amp;D"&amp;CHAR(10),""),IF(W315&gt;W314," * Retesting at L&amp;D For age "&amp;$V$20&amp;" "&amp;$W$21&amp;" is less than  than Retesting positive result at L&amp;D"&amp;CHAR(10),""),IF(X315&gt;X314," * Retesting at L&amp;D For age "&amp;$X$20&amp;" "&amp;$X$21&amp;" is less than  than Retesting positive result at L&amp;D"&amp;CHAR(10),""),IF(Y315&gt;Y314," * Retesting at L&amp;D For age "&amp;$X$20&amp;" "&amp;$Y$21&amp;" is less than  than Retesting positive result at L&amp;D"&amp;CHAR(10),""),IF(Z315&gt;Z314," * Retesting at L&amp;D For age "&amp;$Z$20&amp;" "&amp;$Z$21&amp;" is less than  than Retesting positive result at L&amp;D"&amp;CHAR(10),""),IF(AA315&gt;AA314," * Retesting at L&amp;D For age "&amp;$Z$20&amp;" "&amp;$AA$21&amp;" is less than  than Retesting positive result at L&amp;D"&amp;CHAR(10),""))</f>
        <v/>
      </c>
      <c r="AL314" s="1285"/>
      <c r="AM314" s="31"/>
      <c r="AN314" s="1282"/>
      <c r="AO314" s="13">
        <v>208</v>
      </c>
      <c r="AP314" s="74"/>
      <c r="AQ314" s="75"/>
    </row>
    <row r="315" spans="1:43" ht="27" thickBot="1" x14ac:dyDescent="0.45">
      <c r="A315" s="1189"/>
      <c r="B315" s="95" t="s">
        <v>635</v>
      </c>
      <c r="C315" s="527" t="s">
        <v>590</v>
      </c>
      <c r="D315" s="103"/>
      <c r="E315" s="102"/>
      <c r="F315" s="102"/>
      <c r="G315" s="102"/>
      <c r="H315" s="102"/>
      <c r="I315" s="102"/>
      <c r="J315" s="102"/>
      <c r="K315" s="97"/>
      <c r="L315" s="202"/>
      <c r="M315" s="97"/>
      <c r="N315" s="202"/>
      <c r="O315" s="97"/>
      <c r="P315" s="202"/>
      <c r="Q315" s="97"/>
      <c r="R315" s="202"/>
      <c r="S315" s="97"/>
      <c r="T315" s="202"/>
      <c r="U315" s="97"/>
      <c r="V315" s="202"/>
      <c r="W315" s="97"/>
      <c r="X315" s="202"/>
      <c r="Y315" s="97"/>
      <c r="Z315" s="202"/>
      <c r="AA315" s="296"/>
      <c r="AB315" s="354"/>
      <c r="AC315" s="325"/>
      <c r="AD315" s="325"/>
      <c r="AE315" s="325"/>
      <c r="AF315" s="325"/>
      <c r="AG315" s="325"/>
      <c r="AH315" s="325"/>
      <c r="AI315" s="285"/>
      <c r="AJ315" s="361">
        <f t="shared" si="76"/>
        <v>0</v>
      </c>
      <c r="AK315" s="116"/>
      <c r="AL315" s="1285"/>
      <c r="AM315" s="31"/>
      <c r="AN315" s="1282"/>
      <c r="AO315" s="13">
        <v>209</v>
      </c>
      <c r="AP315" s="74"/>
      <c r="AQ315" s="75"/>
    </row>
    <row r="316" spans="1:43" ht="26.25" x14ac:dyDescent="0.4">
      <c r="A316" s="1183" t="s">
        <v>449</v>
      </c>
      <c r="B316" s="91" t="s">
        <v>636</v>
      </c>
      <c r="C316" s="525" t="s">
        <v>247</v>
      </c>
      <c r="D316" s="98"/>
      <c r="E316" s="99"/>
      <c r="F316" s="99"/>
      <c r="G316" s="99"/>
      <c r="H316" s="99"/>
      <c r="I316" s="99"/>
      <c r="J316" s="99"/>
      <c r="K316" s="94"/>
      <c r="L316" s="99"/>
      <c r="M316" s="94"/>
      <c r="N316" s="99"/>
      <c r="O316" s="94"/>
      <c r="P316" s="99"/>
      <c r="Q316" s="94"/>
      <c r="R316" s="99"/>
      <c r="S316" s="94"/>
      <c r="T316" s="99"/>
      <c r="U316" s="94"/>
      <c r="V316" s="99"/>
      <c r="W316" s="94"/>
      <c r="X316" s="99"/>
      <c r="Y316" s="94"/>
      <c r="Z316" s="99"/>
      <c r="AA316" s="295"/>
      <c r="AB316" s="354"/>
      <c r="AC316" s="325"/>
      <c r="AD316" s="325"/>
      <c r="AE316" s="325"/>
      <c r="AF316" s="325"/>
      <c r="AG316" s="325"/>
      <c r="AH316" s="325"/>
      <c r="AI316" s="285"/>
      <c r="AJ316" s="363">
        <f t="shared" si="76"/>
        <v>0</v>
      </c>
      <c r="AK316" s="1202" t="str">
        <f>CONCATENATE(IF(D317&gt;D316," * Positive at PNC &lt;=6wks for Age "&amp;D20&amp;" "&amp;D21&amp;" is more than Initial test at PNC &lt;= 6wks"&amp;CHAR(10),""),IF(E317&gt;E316," * Positive at PNC &lt;=6wks for Age "&amp;D20&amp;" "&amp;E21&amp;" is more than Initial test at PNC &lt;= 6wks"&amp;CHAR(10),""),IF(F317&gt;F316," * Positive at PNC &lt;=6wks for Age "&amp;F20&amp;" "&amp;F21&amp;" is more than Initial test at PNC &lt;= 6wks"&amp;CHAR(10),""),IF(G317&gt;G316," * Positive at PNC &lt;=6wks for Age "&amp;F20&amp;" "&amp;G21&amp;" is more than Initial test at PNC &lt;= 6wks"&amp;CHAR(10),""),IF(H317&gt;H316," * Positive at PNC &lt;=6wks for Age "&amp;H20&amp;" "&amp;H21&amp;" is more than Initial test at PNC &lt;= 6wks"&amp;CHAR(10),""),IF(I317&gt;I316," * Positive at PNC &lt;=6wks for Age "&amp;H20&amp;" "&amp;I21&amp;" is more than Initial test at PNC &lt;= 6wks"&amp;CHAR(10),""),IF(J317&gt;J316," * Positive at PNC &lt;=6wks for Age "&amp;J20&amp;" "&amp;J21&amp;" is more than Initial test at PNC &lt;= 6wks"&amp;CHAR(10),""),IF(K317&gt;K316," * Positive at PNC &lt;=6wks for Age "&amp;J20&amp;" "&amp;K21&amp;" is more than Initial test at PNC &lt;= 6wks"&amp;CHAR(10),""),IF(L317&gt;L316," * Positive at PNC &lt;=6wks for Age "&amp;L20&amp;" "&amp;L21&amp;" is more than Initial test at PNC &lt;= 6wks"&amp;CHAR(10),""),IF(M317&gt;M316," * Positive at PNC &lt;=6wks for Age "&amp;L20&amp;" "&amp;M21&amp;" is more than Initial test at PNC &lt;= 6wks"&amp;CHAR(10),""),IF(N317&gt;N316," * Positive at PNC &lt;=6wks for Age "&amp;N20&amp;" "&amp;N21&amp;" is more than Initial test at PNC &lt;= 6wks"&amp;CHAR(10),""),IF(O317&gt;O316," * Positive at PNC &lt;=6wks for Age "&amp;N20&amp;" "&amp;O21&amp;" is more than Initial test at PNC &lt;= 6wks"&amp;CHAR(10),""),IF(P317&gt;P316," * Positive at PNC &lt;=6wks for Age "&amp;P20&amp;" "&amp;P21&amp;" is more than Initial test at PNC &lt;= 6wks"&amp;CHAR(10),""),IF(Q317&gt;Q316," * Positive at PNC &lt;=6wks for Age "&amp;P20&amp;" "&amp;Q21&amp;" is more than Initial test at PNC &lt;= 6wks"&amp;CHAR(10),""),IF(R317&gt;R316," * Positive at PNC &lt;=6wks for Age "&amp;R20&amp;" "&amp;R21&amp;" is more than Initial test at PNC &lt;= 6wks"&amp;CHAR(10),""),IF(S317&gt;S316," * Positive at PNC &lt;=6wks for Age "&amp;R20&amp;" "&amp;S21&amp;" is more than Initial test at PNC &lt;= 6wks"&amp;CHAR(10),""),IF(T317&gt;T316," * Positive at PNC &lt;=6wks for Age "&amp;T20&amp;" "&amp;T21&amp;" is more than Initial test at PNC &lt;= 6wks"&amp;CHAR(10),""),IF(U317&gt;U316," * Positive at PNC &lt;=6wks for Age "&amp;T20&amp;" "&amp;U21&amp;" is more than Initial test at PNC &lt;= 6wks"&amp;CHAR(10),""),IF(V317&gt;V316," * Positive at PNC &lt;=6wks for Age "&amp;V20&amp;" "&amp;V21&amp;" is more than Initial test at PNC &lt;= 6wks"&amp;CHAR(10),""),IF(W317&gt;W316," * Positive at PNC &lt;=6wks for Age "&amp;V20&amp;" "&amp;W21&amp;" is more than Initial test at PNC &lt;= 6wks"&amp;CHAR(10),""),IF(X317&gt;X316," * Positive at PNC &lt;=6wks for Age "&amp;X20&amp;" "&amp;X21&amp;" is more than Initial test at PNC &lt;= 6wks"&amp;CHAR(10),""),IF(Y317&gt;Y316," * Positive at PNC &lt;=6wks for Age "&amp;X20&amp;" "&amp;Y21&amp;" is more than Initial test at PNC &lt;= 6wks"&amp;CHAR(10),""),IF(Z317&gt;Z316," * Positive at PNC &lt;=6wks for Age "&amp;Z20&amp;" "&amp;Z21&amp;" is more than Initial test at PNC &lt;= 6wks"&amp;CHAR(10),""),IF(AA317&gt;AA316," * Positive at PNC &lt;=6wks for Age "&amp;Z20&amp;" "&amp;AA21&amp;" is more than Initial test at PNC &lt;= 6wks"&amp;CHAR(10),""))</f>
        <v/>
      </c>
      <c r="AL316" s="1285"/>
      <c r="AM316" s="31"/>
      <c r="AN316" s="1282"/>
      <c r="AO316" s="13">
        <v>210</v>
      </c>
      <c r="AP316" s="74"/>
      <c r="AQ316" s="75"/>
    </row>
    <row r="317" spans="1:43" ht="26.25" x14ac:dyDescent="0.4">
      <c r="A317" s="1184"/>
      <c r="B317" s="201" t="s">
        <v>637</v>
      </c>
      <c r="C317" s="526" t="s">
        <v>249</v>
      </c>
      <c r="D317" s="203"/>
      <c r="E317" s="204"/>
      <c r="F317" s="204"/>
      <c r="G317" s="204"/>
      <c r="H317" s="204"/>
      <c r="I317" s="204"/>
      <c r="J317" s="194"/>
      <c r="K317" s="193"/>
      <c r="L317" s="194"/>
      <c r="M317" s="193"/>
      <c r="N317" s="194"/>
      <c r="O317" s="193"/>
      <c r="P317" s="194"/>
      <c r="Q317" s="193"/>
      <c r="R317" s="194"/>
      <c r="S317" s="193"/>
      <c r="T317" s="194"/>
      <c r="U317" s="193"/>
      <c r="V317" s="194"/>
      <c r="W317" s="193"/>
      <c r="X317" s="194"/>
      <c r="Y317" s="193"/>
      <c r="Z317" s="194"/>
      <c r="AA317" s="323"/>
      <c r="AB317" s="354"/>
      <c r="AC317" s="325"/>
      <c r="AD317" s="325"/>
      <c r="AE317" s="325"/>
      <c r="AF317" s="325"/>
      <c r="AG317" s="325"/>
      <c r="AH317" s="325"/>
      <c r="AI317" s="285"/>
      <c r="AJ317" s="361">
        <f t="shared" si="76"/>
        <v>0</v>
      </c>
      <c r="AK317" s="1202"/>
      <c r="AL317" s="1285"/>
      <c r="AM317" s="31"/>
      <c r="AN317" s="1282"/>
      <c r="AO317" s="13">
        <v>211</v>
      </c>
      <c r="AP317" s="74"/>
      <c r="AQ317" s="75"/>
    </row>
    <row r="318" spans="1:43" s="61" customFormat="1" ht="26.25" x14ac:dyDescent="0.4">
      <c r="A318" s="1184"/>
      <c r="B318" s="76" t="s">
        <v>447</v>
      </c>
      <c r="C318" s="526" t="s">
        <v>450</v>
      </c>
      <c r="D318" s="77"/>
      <c r="E318" s="78"/>
      <c r="F318" s="78"/>
      <c r="G318" s="78"/>
      <c r="H318" s="78"/>
      <c r="I318" s="78"/>
      <c r="J318" s="78"/>
      <c r="K318" s="79"/>
      <c r="L318" s="78"/>
      <c r="M318" s="79"/>
      <c r="N318" s="78"/>
      <c r="O318" s="79"/>
      <c r="P318" s="78"/>
      <c r="Q318" s="79"/>
      <c r="R318" s="78"/>
      <c r="S318" s="79"/>
      <c r="T318" s="78"/>
      <c r="U318" s="79"/>
      <c r="V318" s="78"/>
      <c r="W318" s="79"/>
      <c r="X318" s="78"/>
      <c r="Y318" s="79"/>
      <c r="Z318" s="78"/>
      <c r="AA318" s="323"/>
      <c r="AB318" s="354"/>
      <c r="AC318" s="325"/>
      <c r="AD318" s="325"/>
      <c r="AE318" s="325"/>
      <c r="AF318" s="325"/>
      <c r="AG318" s="325"/>
      <c r="AH318" s="325"/>
      <c r="AI318" s="285"/>
      <c r="AJ318" s="361">
        <f t="shared" si="76"/>
        <v>0</v>
      </c>
      <c r="AK318" s="30" t="str">
        <f>CONCATENATE(IF(D319&gt;D318," * Retesting at PNC &lt; = 6 weeks For age "&amp;$D$20&amp;" "&amp;$D$21&amp;" is less than  than Retesting positive result at PNC &lt; = 6 weeks"&amp;CHAR(10),""),IF(E319&gt;E318," * Retesting at PNC &lt; = 6 weeks For age "&amp;$D$20&amp;" "&amp;$E$21&amp;" is less than  than Retesting positive result at PNC &lt; = 6 weeks"&amp;CHAR(10),""),IF(F319&gt;F318," * Retesting at PNC &lt; = 6 weeks For age "&amp;$F$20&amp;" "&amp;$F$21&amp;" is less than  than Retesting positive result at PNC &lt; = 6 weeks"&amp;CHAR(10),""),IF(G319&gt;G318," * Retesting at PNC &lt; = 6 weeks For age "&amp;$F$20&amp;" "&amp;$G$21&amp;" is less than  than Retesting positive result at PNC &lt; = 6 weeks"&amp;CHAR(10),""),IF(H319&gt;H318," * Retesting at PNC &lt; = 6 weeks For age "&amp;$H$20&amp;" "&amp;$H$21&amp;" is less than  than Retesting positive result at PNC &lt; = 6 weeks"&amp;CHAR(10),""),IF(I319&gt;I318," * Retesting at PNC &lt; = 6 weeks For age "&amp;$H$20&amp;" "&amp;$I$21&amp;" is less than  than Retesting positive result at PNC &lt; = 6 weeks"&amp;CHAR(10),""),IF(J319&gt;J318," * Retesting at PNC &lt; = 6 weeks For age "&amp;$J$20&amp;" "&amp;$J$21&amp;" is less than  than Retesting positive result at PNC &lt; = 6 weeks"&amp;CHAR(10),""),IF(K319&gt;K318," * Retesting at PNC &lt; = 6 weeks For age "&amp;$J$20&amp;" "&amp;$K$21&amp;" is less than  than Retesting positive result at PNC &lt; = 6 weeks"&amp;CHAR(10),""),IF(L319&gt;L318," * Retesting at PNC &lt; = 6 weeks For age "&amp;$L$20&amp;" "&amp;$L$21&amp;" is less than  than Retesting positive result at PNC &lt; = 6 weeks"&amp;CHAR(10),""),IF(M319&gt;M318," * Retesting at PNC &lt; = 6 weeks For age "&amp;$L$20&amp;" "&amp;$M$21&amp;" is less than  than Retesting positive result at PNC &lt; = 6 weeks"&amp;CHAR(10),""),IF(N319&gt;N318," * Retesting at PNC &lt; = 6 weeks For age "&amp;$N$20&amp;" "&amp;$N$21&amp;" is less than  than Retesting positive result at PNC &lt; = 6 weeks"&amp;CHAR(10),""),IF(O319&gt;O318," * Retesting at PNC &lt; = 6 weeks For age "&amp;$N$20&amp;" "&amp;$O$21&amp;" is less than  than Retesting positive result at PNC &lt; = 6 weeks"&amp;CHAR(10),""),IF(P319&gt;P318," * Retesting at PNC &lt; = 6 weeks For age "&amp;$P$20&amp;" "&amp;$P$21&amp;" is less than  than Retesting positive result at PNC &lt; = 6 weeks"&amp;CHAR(10),""),IF(Q319&gt;Q318," * Retesting at PNC &lt; = 6 weeks For age "&amp;$P$20&amp;" "&amp;$Q$21&amp;" is less than  than Retesting positive result at PNC &lt; = 6 weeks"&amp;CHAR(10),""),IF(R319&gt;R318," * Retesting at PNC &lt; = 6 weeks For age "&amp;$R$20&amp;" "&amp;$R$21&amp;" is less than  than Retesting positive result at PNC &lt; = 6 weeks"&amp;CHAR(10),""),IF(S319&gt;S318," * Retesting at PNC &lt; = 6 weeks For age "&amp;$R$20&amp;" "&amp;$S$21&amp;" is less than  than Retesting positive result at PNC &lt; = 6 weeks"&amp;CHAR(10),""),IF(T319&gt;T318," * Retesting at PNC &lt; = 6 weeks For age "&amp;$T$20&amp;" "&amp;$T$21&amp;" is less than  than Retesting positive result at PNC &lt; = 6 weeks"&amp;CHAR(10),""),IF(U319&gt;U318," * Retesting at PNC &lt; = 6 weeks For age "&amp;$T$20&amp;" "&amp;$U$21&amp;" is less than  than Retesting positive result at PNC &lt; = 6 weeks"&amp;CHAR(10),""),IF(V319&gt;V318," * Retesting at PNC &lt; = 6 weeks For age "&amp;$V$20&amp;" "&amp;$V$21&amp;" is less than  than Retesting positive result at PNC &lt; = 6 weeks"&amp;CHAR(10),""),IF(W319&gt;W318," * Retesting at PNC &lt; = 6 weeks For age "&amp;$V$20&amp;" "&amp;$W$21&amp;" is less than  than Retesting positive result at PNC &lt; = 6 weeks"&amp;CHAR(10),""),IF(X319&gt;X318," * Retesting at PNC &lt; = 6 weeks For age "&amp;$X$20&amp;" "&amp;$X$21&amp;" is less than  than Retesting positive result at PNC &lt; = 6 weeks"&amp;CHAR(10),""),IF(Y319&gt;Y318," * Retesting at PNC &lt; = 6 weeks For age "&amp;$X$20&amp;" "&amp;$Y$21&amp;" is less than  than Retesting positive result at PNC &lt; = 6 weeks"&amp;CHAR(10),""),IF(Z319&gt;Z318," * Retesting at PNC &lt; = 6 weeks For age "&amp;$Z$20&amp;" "&amp;$Z$21&amp;" is less than  than Retesting positive result at PNC &lt; = 6 weeks"&amp;CHAR(10),""),IF(AA319&gt;AA318," * Retesting at PNC &lt; = 6 weeks For age "&amp;$Z$20&amp;" "&amp;$AA$21&amp;" is less than  than Retesting positive result at PNC &lt; = 6 weeks"&amp;CHAR(10),""))</f>
        <v/>
      </c>
      <c r="AL318" s="1285"/>
      <c r="AM318" s="60"/>
      <c r="AN318" s="1282"/>
      <c r="AO318" s="13">
        <v>212</v>
      </c>
      <c r="AP318" s="80"/>
      <c r="AQ318" s="75"/>
    </row>
    <row r="319" spans="1:43" ht="27" thickBot="1" x14ac:dyDescent="0.45">
      <c r="A319" s="1184"/>
      <c r="B319" s="575" t="s">
        <v>448</v>
      </c>
      <c r="C319" s="552" t="s">
        <v>451</v>
      </c>
      <c r="D319" s="131"/>
      <c r="E319" s="120"/>
      <c r="F319" s="120"/>
      <c r="G319" s="120"/>
      <c r="H319" s="591"/>
      <c r="I319" s="591"/>
      <c r="J319" s="591"/>
      <c r="K319" s="579"/>
      <c r="L319" s="591"/>
      <c r="M319" s="579"/>
      <c r="N319" s="591"/>
      <c r="O319" s="579"/>
      <c r="P319" s="591"/>
      <c r="Q319" s="579"/>
      <c r="R319" s="591"/>
      <c r="S319" s="579"/>
      <c r="T319" s="591"/>
      <c r="U319" s="579"/>
      <c r="V319" s="591"/>
      <c r="W319" s="579"/>
      <c r="X319" s="591"/>
      <c r="Y319" s="579"/>
      <c r="Z319" s="591"/>
      <c r="AA319" s="305"/>
      <c r="AB319" s="354"/>
      <c r="AC319" s="325"/>
      <c r="AD319" s="325"/>
      <c r="AE319" s="325"/>
      <c r="AF319" s="325"/>
      <c r="AG319" s="325"/>
      <c r="AH319" s="325"/>
      <c r="AI319" s="285"/>
      <c r="AJ319" s="361">
        <f t="shared" si="76"/>
        <v>0</v>
      </c>
      <c r="AK319" s="116"/>
      <c r="AL319" s="1285"/>
      <c r="AM319" s="31"/>
      <c r="AN319" s="1282"/>
      <c r="AO319" s="13">
        <v>213</v>
      </c>
      <c r="AP319" s="74"/>
      <c r="AQ319" s="75"/>
    </row>
    <row r="320" spans="1:43" ht="26.25" x14ac:dyDescent="0.4">
      <c r="A320" s="1185"/>
      <c r="B320" s="1" t="s">
        <v>1241</v>
      </c>
      <c r="C320" s="551" t="s">
        <v>452</v>
      </c>
      <c r="D320" s="98"/>
      <c r="E320" s="99"/>
      <c r="F320" s="99"/>
      <c r="G320" s="99"/>
      <c r="H320" s="99"/>
      <c r="I320" s="99"/>
      <c r="J320" s="99"/>
      <c r="K320" s="94"/>
      <c r="L320" s="99"/>
      <c r="M320" s="94"/>
      <c r="N320" s="99"/>
      <c r="O320" s="94"/>
      <c r="P320" s="99"/>
      <c r="Q320" s="94"/>
      <c r="R320" s="99"/>
      <c r="S320" s="94"/>
      <c r="T320" s="99"/>
      <c r="U320" s="94"/>
      <c r="V320" s="99"/>
      <c r="W320" s="94"/>
      <c r="X320" s="99"/>
      <c r="Y320" s="94"/>
      <c r="Z320" s="99"/>
      <c r="AA320" s="342"/>
      <c r="AB320" s="354"/>
      <c r="AC320" s="325"/>
      <c r="AD320" s="325"/>
      <c r="AE320" s="325"/>
      <c r="AF320" s="325"/>
      <c r="AG320" s="325"/>
      <c r="AH320" s="325"/>
      <c r="AI320" s="285"/>
      <c r="AJ320" s="361">
        <f t="shared" si="76"/>
        <v>0</v>
      </c>
      <c r="AK320" s="30" t="str">
        <f>CONCATENATE(IF(D321&gt;D320," * Testing at PNC &gt; 6 weeks For age "&amp;$D$20&amp;" "&amp;$D$21&amp;" is less than Positive result at PNC &gt; 6 weeks"&amp;CHAR(10),""),IF(E321&gt;E320," * Testing at PNC &gt; 6 weeks For age "&amp;$D$20&amp;" "&amp;$E$21&amp;" is less than Positive result at PNC &gt; 6 weeks"&amp;CHAR(10),""),IF(F321&gt;F320," * Testing at PNC &gt; 6 weeks For age "&amp;$F$20&amp;" "&amp;$F$21&amp;" is less than Positive result at PNC &gt; 6 weeks"&amp;CHAR(10),""),IF(G321&gt;G320," * Testing at PNC &gt; 6 weeks For age "&amp;$F$20&amp;" "&amp;$G$21&amp;" is less than Positive result at PNC &gt; 6 weeks"&amp;CHAR(10),""),IF(H321&gt;H320," * Testing at PNC &gt; 6 weeks For age "&amp;$H$20&amp;" "&amp;$H$21&amp;" is less than Positive result at PNC &gt; 6 weeks"&amp;CHAR(10),""),IF(I321&gt;I320," * Testing at PNC &gt; 6 weeks For age "&amp;$H$20&amp;" "&amp;$I$21&amp;" is less than Positive result at PNC &gt; 6 weeks"&amp;CHAR(10),""),IF(J321&gt;J320," * Testing at PNC &gt; 6 weeks For age "&amp;$J$20&amp;" "&amp;$J$21&amp;" is less than Positive result at PNC &gt; 6 weeks"&amp;CHAR(10),""),IF(K321&gt;K320," * Testing at PNC &gt; 6 weeks For age "&amp;$J$20&amp;" "&amp;$K$21&amp;" is less than Positive result at PNC &gt; 6 weeks"&amp;CHAR(10),""),IF(L321&gt;L320," * Testing at PNC &gt; 6 weeks For age "&amp;$L$20&amp;" "&amp;$L$21&amp;" is less than Positive result at PNC &gt; 6 weeks"&amp;CHAR(10),""),IF(M321&gt;M320," * Testing at PNC &gt; 6 weeks For age "&amp;$L$20&amp;" "&amp;$M$21&amp;" is less than Positive result at PNC &gt; 6 weeks"&amp;CHAR(10),""),IF(N321&gt;N320," * Testing at PNC &gt; 6 weeks For age "&amp;$N$20&amp;" "&amp;$N$21&amp;" is less than Positive result at PNC &gt; 6 weeks"&amp;CHAR(10),""),IF(O321&gt;O320," * Testing at PNC &gt; 6 weeks For age "&amp;$N$20&amp;" "&amp;$O$21&amp;" is less than Positive result at PNC &gt; 6 weeks"&amp;CHAR(10),""),IF(P321&gt;P320," * Testing at PNC &gt; 6 weeks For age "&amp;$P$20&amp;" "&amp;$P$21&amp;" is less than Positive result at PNC &gt; 6 weeks"&amp;CHAR(10),""),IF(Q321&gt;Q320," * Testing at PNC &gt; 6 weeks For age "&amp;$P$20&amp;" "&amp;$Q$21&amp;" is less than Positive result at PNC &gt; 6 weeks"&amp;CHAR(10),""),IF(R321&gt;R320," * Testing at PNC &gt; 6 weeks For age "&amp;$R$20&amp;" "&amp;$R$21&amp;" is less than Positive result at PNC &gt; 6 weeks"&amp;CHAR(10),""),IF(S321&gt;S320," * Testing at PNC &gt; 6 weeks For age "&amp;$R$20&amp;" "&amp;$S$21&amp;" is less than Positive result at PNC &gt; 6 weeks"&amp;CHAR(10),""),IF(T321&gt;T320," * Testing at PNC &gt; 6 weeks For age "&amp;$T$20&amp;" "&amp;$T$21&amp;" is less than Positive result at PNC &gt; 6 weeks"&amp;CHAR(10),""),IF(U321&gt;U320," * Testing at PNC &gt; 6 weeks For age "&amp;$T$20&amp;" "&amp;$U$21&amp;" is less than Positive result at PNC &gt; 6 weeks"&amp;CHAR(10),""),IF(V321&gt;V320," * Testing at PNC &gt; 6 weeks For age "&amp;$V$20&amp;" "&amp;$V$21&amp;" is less than Positive result at PNC &gt; 6 weeks"&amp;CHAR(10),""),IF(W321&gt;W320," * Testing at PNC &gt; 6 weeks For age "&amp;$V$20&amp;" "&amp;$W$21&amp;" is less than Positive result at PNC &gt; 6 weeks"&amp;CHAR(10),""),IF(X321&gt;X320," * Testing at PNC &gt; 6 weeks For age "&amp;$X$20&amp;" "&amp;$X$21&amp;" is less than Positive result at PNC &gt; 6 weeks"&amp;CHAR(10),""),IF(Y321&gt;Y320," * Testing at PNC &gt; 6 weeks For age "&amp;$X$20&amp;" "&amp;$Y$21&amp;" is less than Positive result at PNC &gt; 6 weeks"&amp;CHAR(10),""),IF(Z321&gt;Z320," * Testing at PNC &gt; 6 weeks For age "&amp;$Z$20&amp;" "&amp;$Z$21&amp;" is less than Positive result at PNC &gt; 6 weeks"&amp;CHAR(10),""),IF(AA321&gt;AA320," * Testing at PNC &gt; 6 weeks For age "&amp;$Z$20&amp;" "&amp;$AA$21&amp;" is less than Positive result at PNC &gt; 6 weeks"&amp;CHAR(10),""))</f>
        <v/>
      </c>
      <c r="AL320" s="1285"/>
      <c r="AM320" s="31"/>
      <c r="AN320" s="1282"/>
      <c r="AO320" s="13">
        <v>214</v>
      </c>
      <c r="AP320" s="74"/>
      <c r="AQ320" s="75"/>
    </row>
    <row r="321" spans="1:43" ht="27" thickBot="1" x14ac:dyDescent="0.45">
      <c r="A321" s="1185"/>
      <c r="B321" s="593" t="s">
        <v>1132</v>
      </c>
      <c r="C321" s="554" t="s">
        <v>453</v>
      </c>
      <c r="D321" s="103"/>
      <c r="E321" s="102"/>
      <c r="F321" s="102"/>
      <c r="G321" s="102"/>
      <c r="H321" s="202"/>
      <c r="I321" s="202"/>
      <c r="J321" s="202"/>
      <c r="K321" s="97"/>
      <c r="L321" s="202"/>
      <c r="M321" s="97"/>
      <c r="N321" s="202"/>
      <c r="O321" s="97"/>
      <c r="P321" s="202"/>
      <c r="Q321" s="97"/>
      <c r="R321" s="202"/>
      <c r="S321" s="97"/>
      <c r="T321" s="202"/>
      <c r="U321" s="97"/>
      <c r="V321" s="202"/>
      <c r="W321" s="97"/>
      <c r="X321" s="202"/>
      <c r="Y321" s="97"/>
      <c r="Z321" s="202"/>
      <c r="AA321" s="592"/>
      <c r="AB321" s="740"/>
      <c r="AC321" s="365"/>
      <c r="AD321" s="365"/>
      <c r="AE321" s="365"/>
      <c r="AF321" s="365"/>
      <c r="AG321" s="365"/>
      <c r="AH321" s="365"/>
      <c r="AI321" s="366"/>
      <c r="AJ321" s="362">
        <f t="shared" si="76"/>
        <v>0</v>
      </c>
      <c r="AK321" s="116"/>
      <c r="AL321" s="1285"/>
      <c r="AM321" s="31"/>
      <c r="AN321" s="1282"/>
      <c r="AO321" s="13">
        <v>215</v>
      </c>
      <c r="AP321" s="74"/>
      <c r="AQ321" s="75"/>
    </row>
    <row r="322" spans="1:43" ht="26.25" x14ac:dyDescent="0.4">
      <c r="A322" s="1185"/>
      <c r="B322" s="273" t="s">
        <v>1133</v>
      </c>
      <c r="C322" s="526" t="s">
        <v>1135</v>
      </c>
      <c r="D322" s="77"/>
      <c r="E322" s="78"/>
      <c r="F322" s="78"/>
      <c r="G322" s="78"/>
      <c r="H322" s="78"/>
      <c r="I322" s="78"/>
      <c r="J322" s="78"/>
      <c r="K322" s="79"/>
      <c r="L322" s="78"/>
      <c r="M322" s="79"/>
      <c r="N322" s="78"/>
      <c r="O322" s="79"/>
      <c r="P322" s="78"/>
      <c r="Q322" s="79"/>
      <c r="R322" s="78"/>
      <c r="S322" s="79"/>
      <c r="T322" s="78"/>
      <c r="U322" s="79"/>
      <c r="V322" s="78"/>
      <c r="W322" s="79"/>
      <c r="X322" s="78"/>
      <c r="Y322" s="79"/>
      <c r="Z322" s="78"/>
      <c r="AA322" s="349"/>
      <c r="AB322" s="354"/>
      <c r="AC322" s="325"/>
      <c r="AD322" s="325"/>
      <c r="AE322" s="325"/>
      <c r="AF322" s="325"/>
      <c r="AG322" s="325"/>
      <c r="AH322" s="325"/>
      <c r="AI322" s="285"/>
      <c r="AJ322" s="361">
        <f>SUM(D322:AA322)</f>
        <v>0</v>
      </c>
      <c r="AK322" s="30" t="str">
        <f>CONCATENATE(IF(D323&gt;D322," * Testing at PNC &gt; 6 weeks For age "&amp;$D$20&amp;" "&amp;$D$21&amp;" is less than Positive result at PNC &gt; 6 weeks"&amp;CHAR(10),""),IF(E323&gt;E322," * Testing at PNC &gt; 6 weeks For age "&amp;$D$20&amp;" "&amp;$E$21&amp;" is less than Positive result at PNC &gt; 6 weeks"&amp;CHAR(10),""),IF(F323&gt;F322," * Testing at PNC &gt; 6 weeks For age "&amp;$F$20&amp;" "&amp;$F$21&amp;" is less than Positive result at PNC &gt; 6 weeks"&amp;CHAR(10),""),IF(G323&gt;G322," * Testing at PNC &gt; 6 weeks For age "&amp;$F$20&amp;" "&amp;$G$21&amp;" is less than Positive result at PNC &gt; 6 weeks"&amp;CHAR(10),""),IF(H323&gt;H322," * Testing at PNC &gt; 6 weeks For age "&amp;$H$20&amp;" "&amp;$H$21&amp;" is less than Positive result at PNC &gt; 6 weeks"&amp;CHAR(10),""),IF(I323&gt;I322," * Testing at PNC &gt; 6 weeks For age "&amp;$H$20&amp;" "&amp;$I$21&amp;" is less than Positive result at PNC &gt; 6 weeks"&amp;CHAR(10),""),IF(J323&gt;J322," * Testing at PNC &gt; 6 weeks For age "&amp;$J$20&amp;" "&amp;$J$21&amp;" is less than Positive result at PNC &gt; 6 weeks"&amp;CHAR(10),""),IF(K323&gt;K322," * Testing at PNC &gt; 6 weeks For age "&amp;$J$20&amp;" "&amp;$K$21&amp;" is less than Positive result at PNC &gt; 6 weeks"&amp;CHAR(10),""),IF(L323&gt;L322," * Testing at PNC &gt; 6 weeks For age "&amp;$L$20&amp;" "&amp;$L$21&amp;" is less than Positive result at PNC &gt; 6 weeks"&amp;CHAR(10),""),IF(M323&gt;M322," * Testing at PNC &gt; 6 weeks For age "&amp;$L$20&amp;" "&amp;$M$21&amp;" is less than Positive result at PNC &gt; 6 weeks"&amp;CHAR(10),""),IF(N323&gt;N322," * Testing at PNC &gt; 6 weeks For age "&amp;$N$20&amp;" "&amp;$N$21&amp;" is less than Positive result at PNC &gt; 6 weeks"&amp;CHAR(10),""),IF(O323&gt;O322," * Testing at PNC &gt; 6 weeks For age "&amp;$N$20&amp;" "&amp;$O$21&amp;" is less than Positive result at PNC &gt; 6 weeks"&amp;CHAR(10),""),IF(P323&gt;P322," * Testing at PNC &gt; 6 weeks For age "&amp;$P$20&amp;" "&amp;$P$21&amp;" is less than Positive result at PNC &gt; 6 weeks"&amp;CHAR(10),""),IF(Q323&gt;Q322," * Testing at PNC &gt; 6 weeks For age "&amp;$P$20&amp;" "&amp;$Q$21&amp;" is less than Positive result at PNC &gt; 6 weeks"&amp;CHAR(10),""),IF(R323&gt;R322," * Testing at PNC &gt; 6 weeks For age "&amp;$R$20&amp;" "&amp;$R$21&amp;" is less than Positive result at PNC &gt; 6 weeks"&amp;CHAR(10),""),IF(S323&gt;S322," * Testing at PNC &gt; 6 weeks For age "&amp;$R$20&amp;" "&amp;$S$21&amp;" is less than Positive result at PNC &gt; 6 weeks"&amp;CHAR(10),""),IF(T323&gt;T322," * Testing at PNC &gt; 6 weeks For age "&amp;$T$20&amp;" "&amp;$T$21&amp;" is less than Positive result at PNC &gt; 6 weeks"&amp;CHAR(10),""),IF(U323&gt;U322," * Testing at PNC &gt; 6 weeks For age "&amp;$T$20&amp;" "&amp;$U$21&amp;" is less than Positive result at PNC &gt; 6 weeks"&amp;CHAR(10),""),IF(V323&gt;V322," * Testing at PNC &gt; 6 weeks For age "&amp;$V$20&amp;" "&amp;$V$21&amp;" is less than Positive result at PNC &gt; 6 weeks"&amp;CHAR(10),""),IF(W323&gt;W322," * Testing at PNC &gt; 6 weeks For age "&amp;$V$20&amp;" "&amp;$W$21&amp;" is less than Positive result at PNC &gt; 6 weeks"&amp;CHAR(10),""),IF(X323&gt;X322," * Testing at PNC &gt; 6 weeks For age "&amp;$X$20&amp;" "&amp;$X$21&amp;" is less than Positive result at PNC &gt; 6 weeks"&amp;CHAR(10),""),IF(Y323&gt;Y322," * Testing at PNC &gt; 6 weeks For age "&amp;$X$20&amp;" "&amp;$Y$21&amp;" is less than Positive result at PNC &gt; 6 weeks"&amp;CHAR(10),""),IF(Z323&gt;Z322," * Testing at PNC &gt; 6 weeks For age "&amp;$Z$20&amp;" "&amp;$Z$21&amp;" is less than Positive result at PNC &gt; 6 weeks"&amp;CHAR(10),""),IF(AA323&gt;AA322," * Testing at PNC &gt; 6 weeks For age "&amp;$Z$20&amp;" "&amp;$AA$21&amp;" is less than Positive result at PNC &gt; 6 weeks"&amp;CHAR(10),""))</f>
        <v/>
      </c>
      <c r="AL322" s="1285"/>
      <c r="AM322" s="31"/>
      <c r="AN322" s="1282"/>
      <c r="AO322" s="13">
        <v>214</v>
      </c>
      <c r="AP322" s="74"/>
      <c r="AQ322" s="75"/>
    </row>
    <row r="323" spans="1:43" ht="27" thickBot="1" x14ac:dyDescent="0.45">
      <c r="A323" s="1186"/>
      <c r="B323" s="274" t="s">
        <v>1134</v>
      </c>
      <c r="C323" s="808" t="s">
        <v>1136</v>
      </c>
      <c r="D323" s="103"/>
      <c r="E323" s="102"/>
      <c r="F323" s="102"/>
      <c r="G323" s="102"/>
      <c r="H323" s="202"/>
      <c r="I323" s="202"/>
      <c r="J323" s="202"/>
      <c r="K323" s="97"/>
      <c r="L323" s="202"/>
      <c r="M323" s="97"/>
      <c r="N323" s="202"/>
      <c r="O323" s="97"/>
      <c r="P323" s="202"/>
      <c r="Q323" s="97"/>
      <c r="R323" s="202"/>
      <c r="S323" s="97"/>
      <c r="T323" s="202"/>
      <c r="U323" s="97"/>
      <c r="V323" s="202"/>
      <c r="W323" s="97"/>
      <c r="X323" s="202"/>
      <c r="Y323" s="97"/>
      <c r="Z323" s="202"/>
      <c r="AA323" s="592"/>
      <c r="AB323" s="740"/>
      <c r="AC323" s="365"/>
      <c r="AD323" s="365"/>
      <c r="AE323" s="365"/>
      <c r="AF323" s="365"/>
      <c r="AG323" s="365"/>
      <c r="AH323" s="365"/>
      <c r="AI323" s="366"/>
      <c r="AJ323" s="362">
        <f>SUM(D323:AA323)</f>
        <v>0</v>
      </c>
      <c r="AK323" s="550"/>
      <c r="AL323" s="1285"/>
      <c r="AM323" s="31"/>
      <c r="AN323" s="1282"/>
      <c r="AO323" s="13">
        <v>215</v>
      </c>
      <c r="AP323" s="74"/>
      <c r="AQ323" s="75"/>
    </row>
    <row r="324" spans="1:43" ht="26.25" x14ac:dyDescent="0.4">
      <c r="A324" s="1190" t="s">
        <v>101</v>
      </c>
      <c r="B324" s="1" t="s">
        <v>638</v>
      </c>
      <c r="C324" s="551" t="s">
        <v>250</v>
      </c>
      <c r="D324" s="98"/>
      <c r="E324" s="99"/>
      <c r="F324" s="99"/>
      <c r="G324" s="99"/>
      <c r="H324" s="99"/>
      <c r="I324" s="99"/>
      <c r="J324" s="94"/>
      <c r="K324" s="99"/>
      <c r="L324" s="94"/>
      <c r="M324" s="99"/>
      <c r="N324" s="94"/>
      <c r="O324" s="99"/>
      <c r="P324" s="94"/>
      <c r="Q324" s="99"/>
      <c r="R324" s="94"/>
      <c r="S324" s="99"/>
      <c r="T324" s="94"/>
      <c r="U324" s="99"/>
      <c r="V324" s="94"/>
      <c r="W324" s="99"/>
      <c r="X324" s="94"/>
      <c r="Y324" s="99"/>
      <c r="Z324" s="94"/>
      <c r="AA324" s="342"/>
      <c r="AB324" s="354"/>
      <c r="AC324" s="325"/>
      <c r="AD324" s="325"/>
      <c r="AE324" s="325"/>
      <c r="AF324" s="325"/>
      <c r="AG324" s="325"/>
      <c r="AH324" s="325"/>
      <c r="AI324" s="285"/>
      <c r="AJ324" s="363">
        <f t="shared" si="76"/>
        <v>0</v>
      </c>
      <c r="AK324" s="1202" t="str">
        <f>CONCATENATE(IF(D325&gt;D324," * Male Partners Tested Positive for Age "&amp;D20&amp;" "&amp;D21&amp;" is more than Male Partners Tested"&amp;CHAR(10),""),IF(E325&gt;E324," * Male Partners Tested Positive for Age "&amp;D20&amp;" "&amp;E21&amp;" is more than Male Partners Tested"&amp;CHAR(10),""),IF(F325&gt;F324," * Male Partners Tested Positive for Age "&amp;F20&amp;" "&amp;F21&amp;" is more than Male Partners Tested"&amp;CHAR(10),""),IF(G325&gt;G324," * Male Partners Tested Positive for Age "&amp;F20&amp;" "&amp;G21&amp;" is more than Male Partners Tested"&amp;CHAR(10),""),IF(H325&gt;H324," * Male Partners Tested Positive for Age "&amp;H20&amp;" "&amp;H21&amp;" is more than Male Partners Tested"&amp;CHAR(10),""),IF(I325&gt;I324," * Male Partners Tested Positive for Age "&amp;H20&amp;" "&amp;I21&amp;" is more than Male Partners Tested"&amp;CHAR(10),""),IF(J325&gt;J324," * Male Partners Tested Positive for Age "&amp;J20&amp;" "&amp;J21&amp;" is more than Male Partners Tested"&amp;CHAR(10),""),IF(K325&gt;K324," * Male Partners Tested Positive for Age "&amp;J20&amp;" "&amp;K21&amp;" is more than Male Partners Tested"&amp;CHAR(10),""),IF(L325&gt;L324," * Male Partners Tested Positive for Age "&amp;L20&amp;" "&amp;L21&amp;" is more than Male Partners Tested"&amp;CHAR(10),""),IF(M325&gt;M324," * Male Partners Tested Positive for Age "&amp;L20&amp;" "&amp;M21&amp;" is more than Male Partners Tested"&amp;CHAR(10),""),IF(N325&gt;N324," * Male Partners Tested Positive for Age "&amp;N20&amp;" "&amp;N21&amp;" is more than Male Partners Tested"&amp;CHAR(10),""),IF(O325&gt;O324," * Male Partners Tested Positive for Age "&amp;N20&amp;" "&amp;O21&amp;" is more than Male Partners Tested"&amp;CHAR(10),""),IF(P325&gt;P324," * Male Partners Tested Positive for Age "&amp;P20&amp;" "&amp;P21&amp;" is more than Male Partners Tested"&amp;CHAR(10),""),IF(Q325&gt;Q324," * Male Partners Tested Positive for Age "&amp;P20&amp;" "&amp;Q21&amp;" is more than Male Partners Tested"&amp;CHAR(10),""),IF(R325&gt;R324," * Male Partners Tested Positive for Age "&amp;R20&amp;" "&amp;R21&amp;" is more than Male Partners Tested"&amp;CHAR(10),""),IF(S325&gt;S324," * Male Partners Tested Positive for Age "&amp;R20&amp;" "&amp;S21&amp;" is more than Male Partners Tested"&amp;CHAR(10),""),IF(T325&gt;T324," * Male Partners Tested Positive for Age "&amp;T20&amp;" "&amp;T21&amp;" is more than Male Partners Tested"&amp;CHAR(10),""),IF(U325&gt;U324," * Male Partners Tested Positive for Age "&amp;T20&amp;" "&amp;U21&amp;" is more than Male Partners Tested"&amp;CHAR(10),""),IF(V325&gt;V324," * Male Partners Tested Positive for Age "&amp;V20&amp;" "&amp;V21&amp;" is more than Male Partners Tested"&amp;CHAR(10),""),IF(W325&gt;W324," * Male Partners Tested Positive for Age "&amp;V20&amp;" "&amp;W21&amp;" is more than Male Partners Tested"&amp;CHAR(10),""),IF(X325&gt;X324," * Male Partners Tested Positive for Age "&amp;X20&amp;" "&amp;X21&amp;" is more than Male Partners Tested"&amp;CHAR(10),""),IF(Y325&gt;Y324," * Male Partners Tested Positive for Age "&amp;X20&amp;" "&amp;Y21&amp;" is more than Male Partners Tested"&amp;CHAR(10),""),IF(Z325&gt;Z324," * Male Partners Tested Positive for Age "&amp;Z20&amp;" "&amp;Z21&amp;" is more than Male Partners Tested"&amp;CHAR(10),""),IF(AA325&gt;AA324," * Male Partners Tested Positive for Age "&amp;Z20&amp;" "&amp;AA21&amp;" is more than Male Partners Tested"&amp;CHAR(10),""))</f>
        <v/>
      </c>
      <c r="AL324" s="1285"/>
      <c r="AM324" s="31"/>
      <c r="AN324" s="1282"/>
      <c r="AO324" s="13">
        <v>216</v>
      </c>
      <c r="AP324" s="74"/>
      <c r="AQ324" s="75"/>
    </row>
    <row r="325" spans="1:43" ht="27" thickBot="1" x14ac:dyDescent="0.45">
      <c r="A325" s="1191"/>
      <c r="B325" s="3" t="s">
        <v>639</v>
      </c>
      <c r="C325" s="554" t="s">
        <v>251</v>
      </c>
      <c r="D325" s="103"/>
      <c r="E325" s="102"/>
      <c r="F325" s="102"/>
      <c r="G325" s="102"/>
      <c r="H325" s="102"/>
      <c r="I325" s="102"/>
      <c r="J325" s="150"/>
      <c r="K325" s="102"/>
      <c r="L325" s="150"/>
      <c r="M325" s="102"/>
      <c r="N325" s="150"/>
      <c r="O325" s="102"/>
      <c r="P325" s="150"/>
      <c r="Q325" s="102"/>
      <c r="R325" s="150"/>
      <c r="S325" s="102"/>
      <c r="T325" s="150"/>
      <c r="U325" s="102"/>
      <c r="V325" s="150"/>
      <c r="W325" s="102"/>
      <c r="X325" s="150"/>
      <c r="Y325" s="102"/>
      <c r="Z325" s="150"/>
      <c r="AA325" s="343"/>
      <c r="AB325" s="355"/>
      <c r="AC325" s="356"/>
      <c r="AD325" s="356"/>
      <c r="AE325" s="356"/>
      <c r="AF325" s="356"/>
      <c r="AG325" s="356"/>
      <c r="AH325" s="356"/>
      <c r="AI325" s="286"/>
      <c r="AJ325" s="362">
        <f t="shared" si="76"/>
        <v>0</v>
      </c>
      <c r="AK325" s="1202"/>
      <c r="AL325" s="1286"/>
      <c r="AM325" s="31"/>
      <c r="AN325" s="1283"/>
      <c r="AO325" s="13">
        <v>217</v>
      </c>
      <c r="AP325" s="74"/>
      <c r="AQ325" s="75"/>
    </row>
    <row r="326" spans="1:43" ht="26.25" hidden="1" x14ac:dyDescent="0.4">
      <c r="A326" s="1303" t="s">
        <v>468</v>
      </c>
      <c r="B326" s="69" t="s">
        <v>641</v>
      </c>
      <c r="C326" s="558" t="s">
        <v>483</v>
      </c>
      <c r="D326" s="152"/>
      <c r="E326" s="127"/>
      <c r="F326" s="71"/>
      <c r="G326" s="71"/>
      <c r="H326" s="71"/>
      <c r="I326" s="71"/>
      <c r="J326" s="71"/>
      <c r="K326" s="71"/>
      <c r="L326" s="71"/>
      <c r="M326" s="71"/>
      <c r="N326" s="71"/>
      <c r="O326" s="71"/>
      <c r="P326" s="71"/>
      <c r="Q326" s="71"/>
      <c r="R326" s="71"/>
      <c r="S326" s="71"/>
      <c r="T326" s="71"/>
      <c r="U326" s="71"/>
      <c r="V326" s="71"/>
      <c r="W326" s="71"/>
      <c r="X326" s="71"/>
      <c r="Y326" s="71"/>
      <c r="Z326" s="71"/>
      <c r="AA326" s="322"/>
      <c r="AB326" s="354"/>
      <c r="AC326" s="325"/>
      <c r="AD326" s="325"/>
      <c r="AE326" s="325"/>
      <c r="AF326" s="325"/>
      <c r="AG326" s="325"/>
      <c r="AH326" s="325"/>
      <c r="AI326" s="285"/>
      <c r="AJ326" s="363">
        <f t="shared" si="76"/>
        <v>0</v>
      </c>
      <c r="AK326" s="116" t="str">
        <f>CONCATENATE(IF(D329&gt;D326," * EID Tested Positive 0-2 Months for Age "&amp;$D$20&amp;" "&amp;$D$21&amp;" is more than EID Tested 0-2 Months"&amp;CHAR(10),""),IF(E329&gt;E326," * EID Tested Positive 0-2 Months for Age "&amp;$D$20&amp;" "&amp;$E$21&amp;" is more than EID Tested 0-2 Months"&amp;CHAR(10),""))</f>
        <v/>
      </c>
      <c r="AL326" s="1274" t="str">
        <f>CONCATENATE(AK328,AK329,AK330,AK331,AK332,AK333,AK334,AK310,AK326,AK327)</f>
        <v/>
      </c>
      <c r="AM326" s="31"/>
      <c r="AN326" s="1271" t="str">
        <f>CONCATENATE(AM326,AM327,AM328,AM329,AM330,AM331,AM332,AM333,AM334)</f>
        <v/>
      </c>
      <c r="AO326" s="13">
        <v>218</v>
      </c>
      <c r="AP326" s="74"/>
      <c r="AQ326" s="75"/>
    </row>
    <row r="327" spans="1:43" s="61" customFormat="1" ht="26.25" hidden="1" x14ac:dyDescent="0.4">
      <c r="A327" s="1304"/>
      <c r="B327" s="76" t="s">
        <v>640</v>
      </c>
      <c r="C327" s="526" t="s">
        <v>484</v>
      </c>
      <c r="D327" s="189"/>
      <c r="E327" s="129"/>
      <c r="F327" s="78"/>
      <c r="G327" s="78"/>
      <c r="H327" s="78"/>
      <c r="I327" s="78"/>
      <c r="J327" s="78"/>
      <c r="K327" s="78"/>
      <c r="L327" s="78"/>
      <c r="M327" s="78"/>
      <c r="N327" s="78"/>
      <c r="O327" s="78"/>
      <c r="P327" s="78"/>
      <c r="Q327" s="78"/>
      <c r="R327" s="78"/>
      <c r="S327" s="78"/>
      <c r="T327" s="78"/>
      <c r="U327" s="78"/>
      <c r="V327" s="78"/>
      <c r="W327" s="78"/>
      <c r="X327" s="78"/>
      <c r="Y327" s="78"/>
      <c r="Z327" s="78"/>
      <c r="AA327" s="323"/>
      <c r="AB327" s="354"/>
      <c r="AC327" s="325"/>
      <c r="AD327" s="325"/>
      <c r="AE327" s="325"/>
      <c r="AF327" s="325"/>
      <c r="AG327" s="325"/>
      <c r="AH327" s="325"/>
      <c r="AI327" s="285"/>
      <c r="AJ327" s="361">
        <f t="shared" si="76"/>
        <v>0</v>
      </c>
      <c r="AK327" s="116" t="str">
        <f>CONCATENATE(IF(D330&gt;D327," * EID Tested Positive 2-12 Months for Age "&amp;$D$20&amp;" "&amp;$D$21&amp;" is more than EID Tested 2-12 Months"&amp;CHAR(10),""),IF(E330&gt;E327," * EID Tested Positive 2-12 Months for Age "&amp;$D$20&amp;" "&amp;$E$21&amp;" is more than EID Tested 2-12 Months"&amp;CHAR(10),""))</f>
        <v/>
      </c>
      <c r="AL327" s="1285"/>
      <c r="AM327" s="60"/>
      <c r="AN327" s="1282"/>
      <c r="AO327" s="13">
        <v>219</v>
      </c>
      <c r="AP327" s="80"/>
      <c r="AQ327" s="75"/>
    </row>
    <row r="328" spans="1:43" ht="27" hidden="1" thickBot="1" x14ac:dyDescent="0.45">
      <c r="A328" s="1305"/>
      <c r="B328" s="205" t="s">
        <v>470</v>
      </c>
      <c r="C328" s="527" t="s">
        <v>485</v>
      </c>
      <c r="D328" s="206">
        <f>D326+D327</f>
        <v>0</v>
      </c>
      <c r="E328" s="199">
        <f>E326+E327</f>
        <v>0</v>
      </c>
      <c r="F328" s="102"/>
      <c r="G328" s="102"/>
      <c r="H328" s="102"/>
      <c r="I328" s="102"/>
      <c r="J328" s="102"/>
      <c r="K328" s="102"/>
      <c r="L328" s="102"/>
      <c r="M328" s="102"/>
      <c r="N328" s="102"/>
      <c r="O328" s="102"/>
      <c r="P328" s="102"/>
      <c r="Q328" s="102"/>
      <c r="R328" s="102"/>
      <c r="S328" s="102"/>
      <c r="T328" s="102"/>
      <c r="U328" s="102"/>
      <c r="V328" s="102"/>
      <c r="W328" s="102"/>
      <c r="X328" s="102"/>
      <c r="Y328" s="102"/>
      <c r="Z328" s="102"/>
      <c r="AA328" s="296"/>
      <c r="AB328" s="354"/>
      <c r="AC328" s="325"/>
      <c r="AD328" s="325"/>
      <c r="AE328" s="325"/>
      <c r="AF328" s="325"/>
      <c r="AG328" s="325"/>
      <c r="AH328" s="325"/>
      <c r="AI328" s="285"/>
      <c r="AJ328" s="362">
        <f t="shared" si="76"/>
        <v>0</v>
      </c>
      <c r="AK328" s="116"/>
      <c r="AL328" s="1285"/>
      <c r="AM328" s="31" t="str">
        <f>IF(AJ328&gt;SUM(AJ319,AJ317,AJ315,AJ313,AJ311,AJ309,AJ305,AJ303)," EID Testing cannot be more than PMTCT HIV Positive Mothers (ANC 1 Other ANC, L&amp;D and PNC","")</f>
        <v/>
      </c>
      <c r="AN328" s="1282"/>
      <c r="AO328" s="13">
        <v>220</v>
      </c>
      <c r="AP328" s="74"/>
      <c r="AQ328" s="75"/>
    </row>
    <row r="329" spans="1:43" ht="26.25" hidden="1" x14ac:dyDescent="0.4">
      <c r="A329" s="1303" t="s">
        <v>471</v>
      </c>
      <c r="B329" s="91" t="s">
        <v>474</v>
      </c>
      <c r="C329" s="525" t="s">
        <v>486</v>
      </c>
      <c r="D329" s="207"/>
      <c r="E329" s="208"/>
      <c r="F329" s="99"/>
      <c r="G329" s="99"/>
      <c r="H329" s="99"/>
      <c r="I329" s="99"/>
      <c r="J329" s="99"/>
      <c r="K329" s="99"/>
      <c r="L329" s="99"/>
      <c r="M329" s="99"/>
      <c r="N329" s="99"/>
      <c r="O329" s="99"/>
      <c r="P329" s="99"/>
      <c r="Q329" s="99"/>
      <c r="R329" s="99"/>
      <c r="S329" s="99"/>
      <c r="T329" s="99"/>
      <c r="U329" s="99"/>
      <c r="V329" s="99"/>
      <c r="W329" s="99"/>
      <c r="X329" s="99"/>
      <c r="Y329" s="99"/>
      <c r="Z329" s="99"/>
      <c r="AA329" s="295"/>
      <c r="AB329" s="354"/>
      <c r="AC329" s="325"/>
      <c r="AD329" s="325"/>
      <c r="AE329" s="325"/>
      <c r="AF329" s="325"/>
      <c r="AG329" s="325"/>
      <c r="AH329" s="325"/>
      <c r="AI329" s="285"/>
      <c r="AJ329" s="363">
        <f t="shared" si="76"/>
        <v>0</v>
      </c>
      <c r="AK329" s="116" t="str">
        <f>CONCATENATE(IF(D332&gt;D329," * EID initiated on ART 0-2 Months for Age "&amp;$D$20&amp;" "&amp;$D$21&amp;" is more than EID Positive 0-2 Months"&amp;CHAR(10),""),IF(E332&gt;E329," * EID initiated on ART 0-2 Months for Age "&amp;$D$20&amp;" "&amp;$E$21&amp;" is more than EID Positive 0-2 Months"&amp;CHAR(10),""))</f>
        <v/>
      </c>
      <c r="AL329" s="1285"/>
      <c r="AM329" s="116" t="str">
        <f>CONCATENATE(IF(D332&lt;D329," * EID initiated on ART 0-2 Months for Age "&amp;$D$20&amp;" "&amp;$D$21&amp;" is less than EID Positive 0-2 Months"&amp;CHAR(10),""),IF(E332&lt;E329," * EID initiated on ART 0-2 Months for Age "&amp;$D$20&amp;" "&amp;$E$21&amp;" is less than EID Positive 0-2 Months"&amp;CHAR(10),""))</f>
        <v/>
      </c>
      <c r="AN329" s="1282"/>
      <c r="AO329" s="13">
        <v>221</v>
      </c>
      <c r="AP329" s="74"/>
      <c r="AQ329" s="75"/>
    </row>
    <row r="330" spans="1:43" s="61" customFormat="1" ht="26.25" hidden="1" x14ac:dyDescent="0.4">
      <c r="A330" s="1304"/>
      <c r="B330" s="76" t="s">
        <v>472</v>
      </c>
      <c r="C330" s="526" t="s">
        <v>487</v>
      </c>
      <c r="D330" s="209"/>
      <c r="E330" s="210"/>
      <c r="F330" s="78"/>
      <c r="G330" s="78"/>
      <c r="H330" s="78"/>
      <c r="I330" s="78"/>
      <c r="J330" s="78"/>
      <c r="K330" s="78"/>
      <c r="L330" s="78"/>
      <c r="M330" s="78"/>
      <c r="N330" s="78"/>
      <c r="O330" s="78"/>
      <c r="P330" s="78"/>
      <c r="Q330" s="78"/>
      <c r="R330" s="78"/>
      <c r="S330" s="78"/>
      <c r="T330" s="78"/>
      <c r="U330" s="78"/>
      <c r="V330" s="78"/>
      <c r="W330" s="78"/>
      <c r="X330" s="78"/>
      <c r="Y330" s="78"/>
      <c r="Z330" s="78"/>
      <c r="AA330" s="323"/>
      <c r="AB330" s="354"/>
      <c r="AC330" s="325"/>
      <c r="AD330" s="325"/>
      <c r="AE330" s="325"/>
      <c r="AF330" s="325"/>
      <c r="AG330" s="325"/>
      <c r="AH330" s="325"/>
      <c r="AI330" s="285"/>
      <c r="AJ330" s="361">
        <f t="shared" si="76"/>
        <v>0</v>
      </c>
      <c r="AK330" s="116" t="str">
        <f>CONCATENATE(IF(D333&gt;D330," * EID initiated on ART 2-12 Months for Age "&amp;$D$20&amp;" "&amp;$D$21&amp;" is more than EID Positive 2-12 Months"&amp;CHAR(10),""),IF(E333&gt;E330," * EID initiated on ART 2-12 Months for Age "&amp;$D$20&amp;" "&amp;$E$21&amp;" is more than EID Positive 2-12 Months"&amp;CHAR(10),""))</f>
        <v/>
      </c>
      <c r="AL330" s="1285"/>
      <c r="AM330" s="116" t="str">
        <f>CONCATENATE(IF(D333&lt;D330," * EID initiated on ART 2-12 Months for Age "&amp;$D$20&amp;" "&amp;$D$21&amp;" is less than EID Positive 2-12 Months"&amp;CHAR(10),""),IF(E333&lt;E330," * EID initiated on ART 2-12 Months for Age "&amp;$D$20&amp;" "&amp;$E$21&amp;" is less than EID Positive 2-12 Months"&amp;CHAR(10),""))</f>
        <v/>
      </c>
      <c r="AN330" s="1282"/>
      <c r="AO330" s="13">
        <v>222</v>
      </c>
      <c r="AP330" s="80"/>
      <c r="AQ330" s="75"/>
    </row>
    <row r="331" spans="1:43" ht="27" hidden="1" thickBot="1" x14ac:dyDescent="0.45">
      <c r="A331" s="1305"/>
      <c r="B331" s="205" t="s">
        <v>473</v>
      </c>
      <c r="C331" s="527" t="s">
        <v>488</v>
      </c>
      <c r="D331" s="206">
        <f>D329+D330</f>
        <v>0</v>
      </c>
      <c r="E331" s="199">
        <f>E329+E330</f>
        <v>0</v>
      </c>
      <c r="F331" s="102"/>
      <c r="G331" s="102"/>
      <c r="H331" s="102"/>
      <c r="I331" s="102"/>
      <c r="J331" s="102"/>
      <c r="K331" s="102"/>
      <c r="L331" s="102"/>
      <c r="M331" s="102"/>
      <c r="N331" s="102"/>
      <c r="O331" s="102"/>
      <c r="P331" s="102"/>
      <c r="Q331" s="102"/>
      <c r="R331" s="102"/>
      <c r="S331" s="102"/>
      <c r="T331" s="102"/>
      <c r="U331" s="102"/>
      <c r="V331" s="102"/>
      <c r="W331" s="102"/>
      <c r="X331" s="102"/>
      <c r="Y331" s="102"/>
      <c r="Z331" s="102"/>
      <c r="AA331" s="296"/>
      <c r="AB331" s="354"/>
      <c r="AC331" s="325"/>
      <c r="AD331" s="325"/>
      <c r="AE331" s="325"/>
      <c r="AF331" s="325"/>
      <c r="AG331" s="325"/>
      <c r="AH331" s="325"/>
      <c r="AI331" s="285"/>
      <c r="AJ331" s="362">
        <f t="shared" si="76"/>
        <v>0</v>
      </c>
      <c r="AK331" s="116" t="str">
        <f>CONCATENATE(IF(D334&gt;D331," * EID initiated on ART 0-12 Months for Age "&amp;$D$20&amp;" "&amp;$D$21&amp;" is more than EID Positive 0-12 Months"&amp;CHAR(10),""),IF(E334&gt;E331," * EID initiated on ART 0-12 Months for Age "&amp;$D$20&amp;" "&amp;$E$21&amp;" is more than EID Positive 0-12 Months"&amp;CHAR(10),""))</f>
        <v/>
      </c>
      <c r="AL331" s="1285"/>
      <c r="AM331" s="116" t="str">
        <f>CONCATENATE(IF(D334&lt;D331," * EID initiated on ART 0-12 Months for Age "&amp;$D$20&amp;" "&amp;$D$21&amp;" is less than EID Positive 0-12 Months"&amp;CHAR(10),""),IF(E334&lt;E331," * EID initiated on ART 0-12 Months for Age "&amp;$D$20&amp;" "&amp;$E$21&amp;" is less than EID Positive 0-12 Months"&amp;CHAR(10),""))</f>
        <v/>
      </c>
      <c r="AN331" s="1282"/>
      <c r="AO331" s="13">
        <v>223</v>
      </c>
      <c r="AP331" s="74"/>
      <c r="AQ331" s="75"/>
    </row>
    <row r="332" spans="1:43" ht="26.25" hidden="1" x14ac:dyDescent="0.4">
      <c r="A332" s="1303" t="s">
        <v>469</v>
      </c>
      <c r="B332" s="91" t="s">
        <v>825</v>
      </c>
      <c r="C332" s="525" t="s">
        <v>489</v>
      </c>
      <c r="D332" s="145"/>
      <c r="E332" s="146"/>
      <c r="F332" s="99"/>
      <c r="G332" s="99"/>
      <c r="H332" s="99"/>
      <c r="I332" s="99"/>
      <c r="J332" s="99"/>
      <c r="K332" s="99"/>
      <c r="L332" s="99"/>
      <c r="M332" s="99"/>
      <c r="N332" s="99"/>
      <c r="O332" s="99"/>
      <c r="P332" s="99"/>
      <c r="Q332" s="99"/>
      <c r="R332" s="99"/>
      <c r="S332" s="99"/>
      <c r="T332" s="99"/>
      <c r="U332" s="99"/>
      <c r="V332" s="99"/>
      <c r="W332" s="99"/>
      <c r="X332" s="99"/>
      <c r="Y332" s="99"/>
      <c r="Z332" s="99"/>
      <c r="AA332" s="295"/>
      <c r="AB332" s="354"/>
      <c r="AC332" s="325"/>
      <c r="AD332" s="325"/>
      <c r="AE332" s="325"/>
      <c r="AF332" s="325"/>
      <c r="AG332" s="325"/>
      <c r="AH332" s="325"/>
      <c r="AI332" s="285"/>
      <c r="AJ332" s="363">
        <f t="shared" si="76"/>
        <v>0</v>
      </c>
      <c r="AK332" s="116"/>
      <c r="AL332" s="1285"/>
      <c r="AM332" s="31"/>
      <c r="AN332" s="1282"/>
      <c r="AO332" s="13">
        <v>224</v>
      </c>
      <c r="AP332" s="74"/>
      <c r="AQ332" s="75"/>
    </row>
    <row r="333" spans="1:43" ht="26.25" hidden="1" x14ac:dyDescent="0.4">
      <c r="A333" s="1304"/>
      <c r="B333" s="76" t="s">
        <v>826</v>
      </c>
      <c r="C333" s="526" t="s">
        <v>490</v>
      </c>
      <c r="D333" s="189"/>
      <c r="E333" s="129"/>
      <c r="F333" s="78"/>
      <c r="G333" s="78"/>
      <c r="H333" s="78"/>
      <c r="I333" s="78"/>
      <c r="J333" s="78"/>
      <c r="K333" s="78"/>
      <c r="L333" s="78"/>
      <c r="M333" s="78"/>
      <c r="N333" s="78"/>
      <c r="O333" s="78"/>
      <c r="P333" s="78"/>
      <c r="Q333" s="78"/>
      <c r="R333" s="78"/>
      <c r="S333" s="78"/>
      <c r="T333" s="78"/>
      <c r="U333" s="78"/>
      <c r="V333" s="78"/>
      <c r="W333" s="78"/>
      <c r="X333" s="78"/>
      <c r="Y333" s="78"/>
      <c r="Z333" s="78"/>
      <c r="AA333" s="323"/>
      <c r="AB333" s="354"/>
      <c r="AC333" s="325"/>
      <c r="AD333" s="325"/>
      <c r="AE333" s="325"/>
      <c r="AF333" s="325"/>
      <c r="AG333" s="325"/>
      <c r="AH333" s="325"/>
      <c r="AI333" s="285"/>
      <c r="AJ333" s="361">
        <f t="shared" si="76"/>
        <v>0</v>
      </c>
      <c r="AK333" s="116"/>
      <c r="AL333" s="1285"/>
      <c r="AM333" s="31"/>
      <c r="AN333" s="1282"/>
      <c r="AO333" s="13">
        <v>225</v>
      </c>
      <c r="AP333" s="74"/>
      <c r="AQ333" s="75"/>
    </row>
    <row r="334" spans="1:43" ht="27" hidden="1" thickBot="1" x14ac:dyDescent="0.45">
      <c r="A334" s="1306"/>
      <c r="B334" s="211" t="s">
        <v>846</v>
      </c>
      <c r="C334" s="527" t="s">
        <v>491</v>
      </c>
      <c r="D334" s="212">
        <f>D332+D333</f>
        <v>0</v>
      </c>
      <c r="E334" s="212">
        <f>E332+E333</f>
        <v>0</v>
      </c>
      <c r="F334" s="120"/>
      <c r="G334" s="120"/>
      <c r="H334" s="120"/>
      <c r="I334" s="120"/>
      <c r="J334" s="120"/>
      <c r="K334" s="120"/>
      <c r="L334" s="120"/>
      <c r="M334" s="120"/>
      <c r="N334" s="120"/>
      <c r="O334" s="120"/>
      <c r="P334" s="120"/>
      <c r="Q334" s="120"/>
      <c r="R334" s="120"/>
      <c r="S334" s="120"/>
      <c r="T334" s="120"/>
      <c r="U334" s="120"/>
      <c r="V334" s="120"/>
      <c r="W334" s="120"/>
      <c r="X334" s="120"/>
      <c r="Y334" s="120"/>
      <c r="Z334" s="120"/>
      <c r="AA334" s="305"/>
      <c r="AB334" s="355"/>
      <c r="AC334" s="356"/>
      <c r="AD334" s="356"/>
      <c r="AE334" s="356"/>
      <c r="AF334" s="356"/>
      <c r="AG334" s="356"/>
      <c r="AH334" s="356"/>
      <c r="AI334" s="286"/>
      <c r="AJ334" s="364">
        <f>SUM(D334:AA334)</f>
        <v>0</v>
      </c>
      <c r="AK334" s="122"/>
      <c r="AL334" s="1302"/>
      <c r="AM334" s="123"/>
      <c r="AN334" s="1299"/>
      <c r="AO334" s="13">
        <v>226</v>
      </c>
      <c r="AP334" s="74"/>
      <c r="AQ334" s="75"/>
    </row>
    <row r="335" spans="1:43" ht="27" thickBot="1" x14ac:dyDescent="0.45">
      <c r="A335" s="1249" t="s">
        <v>105</v>
      </c>
      <c r="B335" s="1250"/>
      <c r="C335" s="1250"/>
      <c r="D335" s="1250"/>
      <c r="E335" s="1250"/>
      <c r="F335" s="1250"/>
      <c r="G335" s="1250"/>
      <c r="H335" s="1250"/>
      <c r="I335" s="1250"/>
      <c r="J335" s="1250"/>
      <c r="K335" s="1250"/>
      <c r="L335" s="1250"/>
      <c r="M335" s="1250"/>
      <c r="N335" s="1250"/>
      <c r="O335" s="1250"/>
      <c r="P335" s="1250"/>
      <c r="Q335" s="1250"/>
      <c r="R335" s="1250"/>
      <c r="S335" s="1250"/>
      <c r="T335" s="1250"/>
      <c r="U335" s="1250"/>
      <c r="V335" s="1250"/>
      <c r="W335" s="1250"/>
      <c r="X335" s="1250"/>
      <c r="Y335" s="1250"/>
      <c r="Z335" s="1250"/>
      <c r="AA335" s="1250"/>
      <c r="AB335" s="1276"/>
      <c r="AC335" s="1276"/>
      <c r="AD335" s="1276"/>
      <c r="AE335" s="1276"/>
      <c r="AF335" s="1276"/>
      <c r="AG335" s="1276"/>
      <c r="AH335" s="1276"/>
      <c r="AI335" s="1276"/>
      <c r="AJ335" s="1250"/>
      <c r="AK335" s="1250"/>
      <c r="AL335" s="1250"/>
      <c r="AM335" s="1250"/>
      <c r="AN335" s="1252"/>
      <c r="AO335" s="13">
        <v>227</v>
      </c>
      <c r="AP335" s="74"/>
      <c r="AQ335" s="75"/>
    </row>
    <row r="336" spans="1:43" ht="26.25" x14ac:dyDescent="0.4">
      <c r="A336" s="1214" t="s">
        <v>35</v>
      </c>
      <c r="B336" s="1200" t="s">
        <v>307</v>
      </c>
      <c r="C336" s="1192" t="s">
        <v>291</v>
      </c>
      <c r="D336" s="1218" t="s">
        <v>0</v>
      </c>
      <c r="E336" s="1199"/>
      <c r="F336" s="1199" t="s">
        <v>1</v>
      </c>
      <c r="G336" s="1199"/>
      <c r="H336" s="1199" t="s">
        <v>2</v>
      </c>
      <c r="I336" s="1199"/>
      <c r="J336" s="1199" t="s">
        <v>3</v>
      </c>
      <c r="K336" s="1199"/>
      <c r="L336" s="1199" t="s">
        <v>4</v>
      </c>
      <c r="M336" s="1199"/>
      <c r="N336" s="1199" t="s">
        <v>5</v>
      </c>
      <c r="O336" s="1199"/>
      <c r="P336" s="1199" t="s">
        <v>6</v>
      </c>
      <c r="Q336" s="1199"/>
      <c r="R336" s="1199" t="s">
        <v>7</v>
      </c>
      <c r="S336" s="1199"/>
      <c r="T336" s="1199" t="s">
        <v>8</v>
      </c>
      <c r="U336" s="1199"/>
      <c r="V336" s="1199" t="s">
        <v>23</v>
      </c>
      <c r="W336" s="1199"/>
      <c r="X336" s="1199" t="s">
        <v>24</v>
      </c>
      <c r="Y336" s="1199"/>
      <c r="Z336" s="1199" t="s">
        <v>9</v>
      </c>
      <c r="AA336" s="1207"/>
      <c r="AB336" s="1207" t="s">
        <v>912</v>
      </c>
      <c r="AC336" s="1218"/>
      <c r="AD336" s="1207" t="s">
        <v>913</v>
      </c>
      <c r="AE336" s="1218"/>
      <c r="AF336" s="1207" t="s">
        <v>1074</v>
      </c>
      <c r="AG336" s="1218"/>
      <c r="AH336" s="1207" t="s">
        <v>1075</v>
      </c>
      <c r="AI336" s="1218"/>
      <c r="AJ336" s="1378" t="s">
        <v>19</v>
      </c>
      <c r="AK336" s="1309" t="s">
        <v>340</v>
      </c>
      <c r="AL336" s="1291" t="s">
        <v>346</v>
      </c>
      <c r="AM336" s="1237" t="s">
        <v>347</v>
      </c>
      <c r="AN336" s="1300" t="s">
        <v>347</v>
      </c>
      <c r="AO336" s="13">
        <v>228</v>
      </c>
      <c r="AP336" s="74"/>
      <c r="AQ336" s="75"/>
    </row>
    <row r="337" spans="1:43" ht="27" thickBot="1" x14ac:dyDescent="0.45">
      <c r="A337" s="1215"/>
      <c r="B337" s="1201"/>
      <c r="C337" s="1301"/>
      <c r="D337" s="610" t="s">
        <v>10</v>
      </c>
      <c r="E337" s="269" t="s">
        <v>11</v>
      </c>
      <c r="F337" s="269" t="s">
        <v>10</v>
      </c>
      <c r="G337" s="269" t="s">
        <v>11</v>
      </c>
      <c r="H337" s="269" t="s">
        <v>10</v>
      </c>
      <c r="I337" s="269" t="s">
        <v>11</v>
      </c>
      <c r="J337" s="269" t="s">
        <v>10</v>
      </c>
      <c r="K337" s="269" t="s">
        <v>11</v>
      </c>
      <c r="L337" s="269" t="s">
        <v>10</v>
      </c>
      <c r="M337" s="269" t="s">
        <v>11</v>
      </c>
      <c r="N337" s="269" t="s">
        <v>10</v>
      </c>
      <c r="O337" s="269" t="s">
        <v>11</v>
      </c>
      <c r="P337" s="269" t="s">
        <v>10</v>
      </c>
      <c r="Q337" s="269" t="s">
        <v>11</v>
      </c>
      <c r="R337" s="269" t="s">
        <v>10</v>
      </c>
      <c r="S337" s="269" t="s">
        <v>11</v>
      </c>
      <c r="T337" s="269" t="s">
        <v>10</v>
      </c>
      <c r="U337" s="269" t="s">
        <v>11</v>
      </c>
      <c r="V337" s="269" t="s">
        <v>10</v>
      </c>
      <c r="W337" s="269" t="s">
        <v>11</v>
      </c>
      <c r="X337" s="269" t="s">
        <v>10</v>
      </c>
      <c r="Y337" s="269" t="s">
        <v>11</v>
      </c>
      <c r="Z337" s="269" t="s">
        <v>10</v>
      </c>
      <c r="AA337" s="464" t="s">
        <v>11</v>
      </c>
      <c r="AB337" s="269" t="s">
        <v>10</v>
      </c>
      <c r="AC337" s="269" t="s">
        <v>11</v>
      </c>
      <c r="AD337" s="269" t="s">
        <v>10</v>
      </c>
      <c r="AE337" s="269" t="s">
        <v>11</v>
      </c>
      <c r="AF337" s="269" t="s">
        <v>10</v>
      </c>
      <c r="AG337" s="269" t="s">
        <v>11</v>
      </c>
      <c r="AH337" s="269" t="s">
        <v>10</v>
      </c>
      <c r="AI337" s="611" t="s">
        <v>11</v>
      </c>
      <c r="AJ337" s="1379"/>
      <c r="AK337" s="1310"/>
      <c r="AL337" s="1242"/>
      <c r="AM337" s="1237"/>
      <c r="AN337" s="1254"/>
      <c r="AO337" s="13">
        <v>229</v>
      </c>
      <c r="AP337" s="74"/>
      <c r="AQ337" s="75"/>
    </row>
    <row r="338" spans="1:43" ht="26.25" x14ac:dyDescent="0.4">
      <c r="A338" s="1196" t="s">
        <v>441</v>
      </c>
      <c r="B338" s="1" t="s">
        <v>455</v>
      </c>
      <c r="C338" s="556" t="s">
        <v>332</v>
      </c>
      <c r="D338" s="621"/>
      <c r="E338" s="621"/>
      <c r="F338" s="621"/>
      <c r="G338" s="621"/>
      <c r="H338" s="621"/>
      <c r="I338" s="621"/>
      <c r="J338" s="653"/>
      <c r="K338" s="642"/>
      <c r="L338" s="621"/>
      <c r="M338" s="580"/>
      <c r="N338" s="621"/>
      <c r="O338" s="580"/>
      <c r="P338" s="621"/>
      <c r="Q338" s="580"/>
      <c r="R338" s="621"/>
      <c r="S338" s="580"/>
      <c r="T338" s="621"/>
      <c r="U338" s="580"/>
      <c r="V338" s="621"/>
      <c r="W338" s="580"/>
      <c r="X338" s="621"/>
      <c r="Y338" s="580"/>
      <c r="Z338" s="621"/>
      <c r="AA338" s="640">
        <f>SUM(AC338,AE338,AG338,AI338)</f>
        <v>0</v>
      </c>
      <c r="AB338" s="582"/>
      <c r="AC338" s="622"/>
      <c r="AD338" s="580"/>
      <c r="AE338" s="622"/>
      <c r="AF338" s="580"/>
      <c r="AG338" s="622"/>
      <c r="AH338" s="581"/>
      <c r="AI338" s="618"/>
      <c r="AJ338" s="615">
        <f>SUM(D338:AA338)</f>
        <v>0</v>
      </c>
      <c r="AK338" s="137" t="str">
        <f>CONCATENATE(IF(D339&gt;SUM(D356)," * Start HAART at ANC 1 for Age "&amp;D20&amp;" "&amp;D21&amp;" is more than Starting ART"&amp;CHAR(10),""),IF(E339&gt;SUM(E356)," * Start HAART at ANC 1  for Age "&amp;D20&amp;" "&amp;E21&amp;" is more than Starting ART"&amp;CHAR(10),""),IF(F339&gt;SUM(F356)," * Start HAART at ANC 1  for Age "&amp;F20&amp;" "&amp;F21&amp;" is more than Starting ART"&amp;CHAR(10),""),IF(G339&gt;SUM(G356)," * Start HAART at ANC 1  for Age "&amp;F20&amp;" "&amp;G21&amp;" is more than Starting ART"&amp;CHAR(10),""),IF(H339&gt;SUM(H356)," * Start HAART at ANC 1  for Age "&amp;H20&amp;" "&amp;H21&amp;" is more than Starting ART"&amp;CHAR(10),""),IF(I339&gt;SUM(I356)," * Start HAART at ANC 1  for Age "&amp;H20&amp;" "&amp;I21&amp;" is more than Starting ART"&amp;CHAR(10),""),IF(J339&gt;SUM(J356)," * Start HAART at ANC 1  for Age "&amp;J20&amp;" "&amp;J21&amp;" is more than Starting ART"&amp;CHAR(10),""),IF(K339&gt;SUM(K356)," * Start HAART at ANC 1  for Age "&amp;J20&amp;" "&amp;K21&amp;" is more than Starting ART"&amp;CHAR(10),""),IF(L339&gt;SUM(L356)," * Start HAART at ANC 1  for Age "&amp;L20&amp;" "&amp;L21&amp;" is more than Starting ART"&amp;CHAR(10),""),IF(M339&gt;SUM(M356)," * Start HAART at ANC 1  for Age "&amp;L20&amp;" "&amp;M21&amp;" is more than Starting ART"&amp;CHAR(10),""),IF(N339&gt;SUM(N356)," * Start HAART at ANC 1  for Age "&amp;N20&amp;" "&amp;N21&amp;" is more than Starting ART"&amp;CHAR(10),""),IF(O339&gt;SUM(O356)," * Start HAART at ANC 1  for Age "&amp;N20&amp;" "&amp;O21&amp;" is more than Starting ART"&amp;CHAR(10),""),IF(P339&gt;SUM(P356)," * Start HAART at ANC 1  for Age "&amp;P20&amp;" "&amp;P21&amp;" is more than Starting ART"&amp;CHAR(10),""),IF(Q339&gt;SUM(Q356)," * Start HAART at ANC 1  for Age "&amp;P20&amp;" "&amp;Q21&amp;" is more than Starting ART"&amp;CHAR(10),""),IF(R339&gt;SUM(R356)," * Start HAART at ANC 1  for Age "&amp;R20&amp;" "&amp;R21&amp;" is more than Starting ART"&amp;CHAR(10),""),IF(S339&gt;SUM(S356)," * Start HAART at ANC 1  for Age "&amp;R20&amp;" "&amp;S21&amp;" is more than Starting ART"&amp;CHAR(10),""),IF(T339&gt;SUM(T356)," * Start HAART at ANC 1  for Age "&amp;T20&amp;" "&amp;T21&amp;" is more than Starting ART"&amp;CHAR(10),""),IF(U339&gt;SUM(U356)," * Start HAART at ANC 1  for Age "&amp;T20&amp;" "&amp;U21&amp;" is more than Starting ART"&amp;CHAR(10),""),IF(V339&gt;SUM(V356)," * Start HAART at ANC 1  for Age "&amp;V20&amp;" "&amp;V21&amp;" is more than Starting ART"&amp;CHAR(10),""),IF(W339&gt;SUM(W356)," * Start HAART at ANC 1  for Age "&amp;V20&amp;" "&amp;W21&amp;" is more than Starting ART"&amp;CHAR(10),""),IF(X339&gt;SUM(X356)," * Start HAART at ANC 1  for Age "&amp;X20&amp;" "&amp;X21&amp;" is more than Starting ART"&amp;CHAR(10),""),IF(Y339&gt;SUM(Y356)," * Start HAART at ANC 1  for Age "&amp;X20&amp;" "&amp;Y21&amp;" is more than Starting ART"&amp;CHAR(10),""),IF(Z339&gt;SUM(Z356)," * Start HAART at ANC 1  for Age "&amp;Z20&amp;" "&amp;Z21&amp;" is more than Starting ART"&amp;CHAR(10),""),IF(AA339&gt;SUM(AA356)," * Start HAART at ANC 1  for Age "&amp;Z20&amp;" "&amp;AA21&amp;" is more than Starting ART"&amp;CHAR(10),""))</f>
        <v/>
      </c>
      <c r="AL338" s="1296" t="str">
        <f>CONCATENATE(AK338,AK339,AK343,AK345,AK349,AK350,AK351,AK352,AK344,AK346,AK347,AK341,AK340,AK342,AK348)</f>
        <v/>
      </c>
      <c r="AM338" s="73" t="str">
        <f>CONCATENATE(IF(D338&lt;D303," * ON HAART at 1st ANC for Age "&amp;D20&amp;" "&amp;D21&amp;" is less than KP at 1st ANC "&amp;CHAR(10),""),IF(E338&lt;E303," * ON HAART at 1st ANC for Age "&amp;D20&amp;" "&amp;E21&amp;" is less than KP at 1st ANC "&amp;CHAR(10),""),IF(F338&lt;F303," * ON HAART at 1st ANC for Age "&amp;F20&amp;" "&amp;F21&amp;" is less than KP at 1st ANC "&amp;CHAR(10),""),IF(G338&lt;G303," * ON HAART at 1st ANC for Age "&amp;F20&amp;" "&amp;G21&amp;" is less than KP at 1st ANC "&amp;CHAR(10),""),IF(H338&lt;H303," * ON HAART at 1st ANC for Age "&amp;H20&amp;" "&amp;H21&amp;" is less than KP at 1st ANC "&amp;CHAR(10),""),IF(I338&lt;I303," * ON HAART at 1st ANC for Age "&amp;H20&amp;" "&amp;I21&amp;" is less than KP at 1st ANC "&amp;CHAR(10),""),IF(J338&lt;J303," * ON HAART at 1st ANC for Age "&amp;J20&amp;" "&amp;J21&amp;" is less than KP at 1st ANC "&amp;CHAR(10),""),IF(K338&lt;K303," * ON HAART at 1st ANC for Age "&amp;J20&amp;" "&amp;K21&amp;" is less than KP at 1st ANC "&amp;CHAR(10),""),IF(L338&lt;L303," * ON HAART at 1st ANC for Age "&amp;L20&amp;" "&amp;L21&amp;" is less than KP at 1st ANC "&amp;CHAR(10),""),IF(M338&lt;M303," * ON HAART at 1st ANC for Age "&amp;L20&amp;" "&amp;M21&amp;" is less than KP at 1st ANC "&amp;CHAR(10),""),IF(N338&lt;N303," * ON HAART at 1st ANC for Age "&amp;N20&amp;" "&amp;N21&amp;" is less than KP at 1st ANC "&amp;CHAR(10),""),IF(O338&lt;O303," * ON HAART at 1st ANC for Age "&amp;N20&amp;" "&amp;O21&amp;" is less than KP at 1st ANC "&amp;CHAR(10),""),IF(P338&lt;P303," * ON HAART at 1st ANC for Age "&amp;P20&amp;" "&amp;P21&amp;" is less than KP at 1st ANC "&amp;CHAR(10),""),IF(Q338&lt;Q303," * ON HAART at 1st ANC for Age "&amp;P20&amp;" "&amp;Q21&amp;" is less than KP at 1st ANC "&amp;CHAR(10),""),IF(R338&lt;R303," * ON HAART at 1st ANC for Age "&amp;R20&amp;" "&amp;R21&amp;" is less than KP at 1st ANC "&amp;CHAR(10),""),IF(S338&lt;S303," * ON HAART at 1st ANC for Age "&amp;R20&amp;" "&amp;S21&amp;" is less than KP at 1st ANC "&amp;CHAR(10),""),IF(T338&lt;T303," * ON HAART at 1st ANC for Age "&amp;T20&amp;" "&amp;T21&amp;" is less than KP at 1st ANC "&amp;CHAR(10),""),IF(U338&lt;U303," * ON HAART at 1st ANC for Age "&amp;T20&amp;" "&amp;U21&amp;" is less than KP at 1st ANC "&amp;CHAR(10),""),IF(V338&lt;V303," * ON HAART at 1st ANC for Age "&amp;V20&amp;" "&amp;V21&amp;" is less than KP at 1st ANC "&amp;CHAR(10),""),IF(W338&lt;W303," * ON HAART at 1st ANC for Age "&amp;V20&amp;" "&amp;W21&amp;" is less than KP at 1st ANC "&amp;CHAR(10),""),IF(X338&lt;X303," * ON HAART at 1st ANC for Age "&amp;X20&amp;" "&amp;X21&amp;" is less than KP at 1st ANC "&amp;CHAR(10),""),IF(Y338&lt;Y303," * ON HAART at 1st ANC for Age "&amp;X20&amp;" "&amp;Y21&amp;" is less than KP at 1st ANC "&amp;CHAR(10),""),IF(Z338&lt;Z303," * ON HAART at 1st ANC for Age "&amp;Z20&amp;" "&amp;Z21&amp;" is less than KP at 1st ANC "&amp;CHAR(10),""),IF(AA338&lt;AA303," * ON HAART at 1st ANC for Age "&amp;Z20&amp;" "&amp;AA21&amp;" is less than KP at 1st ANC "&amp;CHAR(10),""))</f>
        <v/>
      </c>
      <c r="AN338" s="1226" t="str">
        <f>CONCATENATE(AM338,AM339,AM343,AM345,AM349,AM350,AM351,AM352,AM340,AM341,AM342,AM346,AM347)</f>
        <v/>
      </c>
      <c r="AO338" s="13">
        <v>230</v>
      </c>
      <c r="AP338" s="74"/>
      <c r="AQ338" s="75"/>
    </row>
    <row r="339" spans="1:43" ht="26.25" x14ac:dyDescent="0.4">
      <c r="A339" s="1197"/>
      <c r="B339" s="2" t="s">
        <v>456</v>
      </c>
      <c r="C339" s="537" t="s">
        <v>333</v>
      </c>
      <c r="D339" s="612"/>
      <c r="E339" s="612"/>
      <c r="F339" s="612"/>
      <c r="G339" s="612"/>
      <c r="H339" s="612"/>
      <c r="I339" s="612"/>
      <c r="J339" s="654"/>
      <c r="K339" s="652"/>
      <c r="L339" s="612"/>
      <c r="M339" s="613"/>
      <c r="N339" s="612"/>
      <c r="O339" s="613"/>
      <c r="P339" s="612"/>
      <c r="Q339" s="613"/>
      <c r="R339" s="612"/>
      <c r="S339" s="613"/>
      <c r="T339" s="612"/>
      <c r="U339" s="613"/>
      <c r="V339" s="612"/>
      <c r="W339" s="613"/>
      <c r="X339" s="612"/>
      <c r="Y339" s="613"/>
      <c r="Z339" s="612"/>
      <c r="AA339" s="662">
        <f t="shared" ref="AA339:AA348" si="77">SUM(AC339,AE339,AG339,AI339)</f>
        <v>0</v>
      </c>
      <c r="AB339" s="583"/>
      <c r="AC339" s="614"/>
      <c r="AD339" s="613"/>
      <c r="AE339" s="614"/>
      <c r="AF339" s="613"/>
      <c r="AG339" s="614"/>
      <c r="AH339" s="623"/>
      <c r="AI339" s="619"/>
      <c r="AJ339" s="615">
        <f t="shared" ref="AJ339:AJ352" si="78">SUM(D339:AA339)</f>
        <v>0</v>
      </c>
      <c r="AK339" s="116" t="str">
        <f>CONCATENATE(IF(D339&gt;SUM(D305)," * Start HAART at ANC 1 for Age "&amp;D20&amp;" "&amp;D21&amp;" is more than Positive Test at ANC 1"&amp;CHAR(10),""),IF(E339&gt;SUM(E305)," * Start HAART at ANC 1  for Age "&amp;D20&amp;" "&amp;E21&amp;" is more than Positive Test at ANC 1"&amp;CHAR(10),""),IF(F339&gt;SUM(F305)," * Start HAART at ANC 1  for Age "&amp;F20&amp;" "&amp;F21&amp;" is more than Positive Test at ANC 1"&amp;CHAR(10),""),IF(G339&gt;SUM(G305)," * Start HAART at ANC 1  for Age "&amp;F20&amp;" "&amp;G21&amp;" is more than Positive Test at ANC 1"&amp;CHAR(10),""),IF(H339&gt;SUM(H305)," * Start HAART at ANC 1  for Age "&amp;H20&amp;" "&amp;H21&amp;" is more than Positive Test at ANC 1"&amp;CHAR(10),""),IF(I339&gt;SUM(I305)," * Start HAART at ANC 1  for Age "&amp;H20&amp;" "&amp;I21&amp;" is more than Positive Test at ANC 1"&amp;CHAR(10),""),IF(J339&gt;SUM(J305)," * Start HAART at ANC 1  for Age "&amp;J20&amp;" "&amp;J21&amp;" is more than Positive Test at ANC 1"&amp;CHAR(10),""),IF(K339&gt;SUM(K305)," * Start HAART at ANC 1  for Age "&amp;J20&amp;" "&amp;K21&amp;" is more than Positive Test at ANC 1"&amp;CHAR(10),""),IF(L339&gt;SUM(L305)," * Start HAART at ANC 1  for Age "&amp;L20&amp;" "&amp;L21&amp;" is more than Positive Test at ANC 1"&amp;CHAR(10),""),IF(M339&gt;SUM(M305)," * Start HAART at ANC 1  for Age "&amp;L20&amp;" "&amp;M21&amp;" is more than Positive Test at ANC 1"&amp;CHAR(10),""),IF(N339&gt;SUM(N305)," * Start HAART at ANC 1  for Age "&amp;N20&amp;" "&amp;N21&amp;" is more than Positive Test at ANC 1"&amp;CHAR(10),""),IF(O339&gt;SUM(O305)," * Start HAART at ANC 1  for Age "&amp;N20&amp;" "&amp;O21&amp;" is more than Positive Test at ANC 1"&amp;CHAR(10),""),IF(P339&gt;SUM(P305)," * Start HAART at ANC 1  for Age "&amp;P20&amp;" "&amp;P21&amp;" is more than Positive Test at ANC 1"&amp;CHAR(10),""),IF(Q339&gt;SUM(Q305)," * Start HAART at ANC 1  for Age "&amp;P20&amp;" "&amp;Q21&amp;" is more than Positive Test at ANC 1"&amp;CHAR(10),""),IF(R339&gt;SUM(R305)," * Start HAART at ANC 1  for Age "&amp;R20&amp;" "&amp;R21&amp;" is more than Positive Test at ANC 1"&amp;CHAR(10),""),IF(S339&gt;SUM(S305)," * Start HAART at ANC 1  for Age "&amp;R20&amp;" "&amp;S21&amp;" is more than Positive Test at ANC 1"&amp;CHAR(10),""),IF(T339&gt;SUM(T305)," * Start HAART at ANC 1  for Age "&amp;T20&amp;" "&amp;T21&amp;" is more than Positive Test at ANC 1"&amp;CHAR(10),""),IF(U339&gt;SUM(U305)," * Start HAART at ANC 1  for Age "&amp;T20&amp;" "&amp;U21&amp;" is more than Positive Test at ANC 1"&amp;CHAR(10),""),IF(V339&gt;SUM(V305)," * Start HAART at ANC 1  for Age "&amp;V20&amp;" "&amp;V21&amp;" is more than Positive Test at ANC 1"&amp;CHAR(10),""),IF(W339&gt;SUM(W305)," * Start HAART at ANC 1  for Age "&amp;V20&amp;" "&amp;W21&amp;" is more than Positive Test at ANC 1"&amp;CHAR(10),""),IF(X339&gt;SUM(X305)," * Start HAART at ANC 1  for Age "&amp;X20&amp;" "&amp;X21&amp;" is more than Positive Test at ANC 1"&amp;CHAR(10),""),IF(Y339&gt;SUM(Y305)," * Start HAART at ANC 1  for Age "&amp;X20&amp;" "&amp;Y21&amp;" is more than Positive Test at ANC 1"&amp;CHAR(10),""),IF(Z339&gt;SUM(Z305)," * Start HAART at ANC 1  for Age "&amp;Z20&amp;" "&amp;Z21&amp;" is more than Positive Test at ANC 1"&amp;CHAR(10),""),IF(AA339&gt;SUM(AA305)," * Start HAART at ANC 1  for Age "&amp;Z20&amp;" "&amp;AA21&amp;" is more than Positive Test at ANC 1"&amp;CHAR(10),""),IF(AJ339&gt;SUM(AJ305)," * Total Start HAART at ANC 1  is more than Positive Test at ANC 1"&amp;CHAR(10),""))</f>
        <v/>
      </c>
      <c r="AL339" s="1297"/>
      <c r="AM339" s="31" t="str">
        <f>CONCATENATE(IF(D339&lt;SUM(D305)," * New positive at ANC1 for Age "&amp;D20&amp;" "&amp;D21&amp;" is greater than Start HAART ANC1"&amp;CHAR(10),""),IF(E339&lt;SUM(E305)," * New positive at ANC1 for Age "&amp;D20&amp;" "&amp;E21&amp;" is greater than Start HAART ANC1"&amp;CHAR(10),""),IF(F339&lt;SUM(F305)," * New positive at ANC1 for Age "&amp;F20&amp;" "&amp;F21&amp;" is greater than Start HAART ANC1"&amp;CHAR(10),""),IF(G339&lt;SUM(G305)," * New positive at ANC1 for Age "&amp;F20&amp;" "&amp;G21&amp;" is greater than Start HAART ANC1"&amp;CHAR(10),""),IF(H339&lt;SUM(H305)," * New positive at ANC1 for Age "&amp;H20&amp;" "&amp;H21&amp;" is greater than Start HAART ANC1"&amp;CHAR(10),""),IF(I339&lt;SUM(I305)," * New positive at ANC1 for Age "&amp;H20&amp;" "&amp;I21&amp;" is greater than Start HAART ANC1"&amp;CHAR(10),""),IF(J339&lt;SUM(J305)," * New positive at ANC1 for Age "&amp;J20&amp;" "&amp;J21&amp;" is greater than Start HAART ANC1"&amp;CHAR(10),""),IF(K339&lt;SUM(K305)," * New positive at ANC1 for Age "&amp;J20&amp;" "&amp;K21&amp;" is greater than Start HAART ANC1"&amp;CHAR(10),""),IF(L339&lt;SUM(L305)," * New positive at ANC1 for Age "&amp;L20&amp;" "&amp;L21&amp;" is greater than Start HAART ANC1"&amp;CHAR(10),""),IF(M339&lt;SUM(M305)," * New positive at ANC1 for Age "&amp;L20&amp;" "&amp;M21&amp;" is greater than Start HAART ANC1"&amp;CHAR(10),""),IF(N339&lt;SUM(N305)," * New positive at ANC1 for Age "&amp;N20&amp;" "&amp;N21&amp;" is greater than Start HAART ANC1"&amp;CHAR(10),""),IF(O339&lt;SUM(O305)," * New positive at ANC1 for Age "&amp;N20&amp;" "&amp;O21&amp;" is greater than Start HAART ANC1"&amp;CHAR(10),""),IF(P339&lt;SUM(P305)," * New positive at ANC1 for Age "&amp;P20&amp;" "&amp;P21&amp;" is greater than Start HAART ANC1"&amp;CHAR(10),""),IF(Q339&lt;SUM(Q305)," * New positive at ANC1 for Age "&amp;P20&amp;" "&amp;Q21&amp;" is greater than Start HAART ANC1"&amp;CHAR(10),""),IF(R339&lt;SUM(R305)," * New positive at ANC1 for Age "&amp;R20&amp;" "&amp;R21&amp;" is greater than Start HAART ANC1"&amp;CHAR(10),""),IF(S339&lt;SUM(S305)," * New positive at ANC1 for Age "&amp;R20&amp;" "&amp;S21&amp;" is greater than Start HAART ANC1"&amp;CHAR(10),""),IF(T339&lt;SUM(T305)," * New positive at ANC1 for Age "&amp;T20&amp;" "&amp;T21&amp;" is greater than Start HAART ANC1"&amp;CHAR(10),""),IF(U339&lt;SUM(U305)," * New positive at ANC1 for Age "&amp;T20&amp;" "&amp;U21&amp;" is greater than Start HAART ANC1"&amp;CHAR(10),""),IF(V339&lt;SUM(V305)," * New positive at ANC1 for Age "&amp;V20&amp;" "&amp;V21&amp;" is greater than Start HAART ANC1"&amp;CHAR(10),""),IF(W339&lt;SUM(W305)," * New positive at ANC1 for Age "&amp;V20&amp;" "&amp;W21&amp;" is greater than Start HAART ANC1"&amp;CHAR(10),""),IF(X339&lt;SUM(X305)," * New positive at ANC1 for Age "&amp;X20&amp;" "&amp;X21&amp;" is greater than Start HAART ANC1"&amp;CHAR(10),""),IF(Y339&lt;SUM(Y305)," * New positive at ANC1 for Age "&amp;X20&amp;" "&amp;Y21&amp;" is greater than Start HAART ANC1"&amp;CHAR(10),""),IF(Z339&lt;SUM(Z305)," * New positive at ANC1 for Age "&amp;Z20&amp;" "&amp;Z21&amp;" is greater than Start HAART ANC1"&amp;CHAR(10),""),IF(AA339&lt;SUM(AA305)," * New positive at ANC1 for Age "&amp;Z20&amp;" "&amp;AA21&amp;" is greater than Start HAART ANC1"&amp;CHAR(10),""))</f>
        <v/>
      </c>
      <c r="AN339" s="1227"/>
      <c r="AO339" s="13">
        <v>231</v>
      </c>
      <c r="AP339" s="74"/>
      <c r="AQ339" s="75"/>
    </row>
    <row r="340" spans="1:43" ht="27" thickBot="1" x14ac:dyDescent="0.45">
      <c r="A340" s="1198"/>
      <c r="B340" s="250" t="s">
        <v>457</v>
      </c>
      <c r="C340" s="557" t="s">
        <v>463</v>
      </c>
      <c r="D340" s="624"/>
      <c r="E340" s="624"/>
      <c r="F340" s="624"/>
      <c r="G340" s="624"/>
      <c r="H340" s="624"/>
      <c r="I340" s="624"/>
      <c r="J340" s="655"/>
      <c r="K340" s="663">
        <f>SUM(K338:K339)</f>
        <v>0</v>
      </c>
      <c r="L340" s="624"/>
      <c r="M340" s="625">
        <f>SUM(M338:M339)</f>
        <v>0</v>
      </c>
      <c r="N340" s="624"/>
      <c r="O340" s="625">
        <f>SUM(O338:O339)</f>
        <v>0</v>
      </c>
      <c r="P340" s="624"/>
      <c r="Q340" s="625">
        <f>SUM(Q338:Q339)</f>
        <v>0</v>
      </c>
      <c r="R340" s="624"/>
      <c r="S340" s="625">
        <f>SUM(S338:S339)</f>
        <v>0</v>
      </c>
      <c r="T340" s="624"/>
      <c r="U340" s="625">
        <f>SUM(U338:U339)</f>
        <v>0</v>
      </c>
      <c r="V340" s="624"/>
      <c r="W340" s="625">
        <f>SUM(W338:W339)</f>
        <v>0</v>
      </c>
      <c r="X340" s="624"/>
      <c r="Y340" s="625">
        <f>SUM(Y338:Y339)</f>
        <v>0</v>
      </c>
      <c r="Z340" s="624"/>
      <c r="AA340" s="641">
        <f t="shared" si="77"/>
        <v>0</v>
      </c>
      <c r="AB340" s="659">
        <f>SUM(AB338:AB339)</f>
        <v>0</v>
      </c>
      <c r="AC340" s="624"/>
      <c r="AD340" s="625">
        <f>SUM(AD338:AD339)</f>
        <v>0</v>
      </c>
      <c r="AE340" s="624"/>
      <c r="AF340" s="625">
        <f>SUM(AF338:AF339)</f>
        <v>0</v>
      </c>
      <c r="AG340" s="624"/>
      <c r="AH340" s="626">
        <f>SUM(AH338:AH339)</f>
        <v>0</v>
      </c>
      <c r="AI340" s="620"/>
      <c r="AJ340" s="615">
        <f t="shared" si="78"/>
        <v>0</v>
      </c>
      <c r="AK340" s="116"/>
      <c r="AL340" s="1297"/>
      <c r="AM340" s="31"/>
      <c r="AN340" s="1227"/>
      <c r="AO340" s="13">
        <v>232</v>
      </c>
      <c r="AP340" s="74"/>
      <c r="AQ340" s="75"/>
    </row>
    <row r="341" spans="1:43" ht="26.25" x14ac:dyDescent="0.4">
      <c r="A341" s="1244" t="s">
        <v>904</v>
      </c>
      <c r="B341" s="1" t="s">
        <v>642</v>
      </c>
      <c r="C341" s="556" t="s">
        <v>464</v>
      </c>
      <c r="D341" s="621"/>
      <c r="E341" s="621"/>
      <c r="F341" s="621"/>
      <c r="G341" s="621"/>
      <c r="H341" s="621"/>
      <c r="I341" s="621"/>
      <c r="J341" s="653"/>
      <c r="K341" s="642"/>
      <c r="L341" s="621"/>
      <c r="M341" s="580"/>
      <c r="N341" s="621"/>
      <c r="O341" s="580"/>
      <c r="P341" s="621"/>
      <c r="Q341" s="580"/>
      <c r="R341" s="621"/>
      <c r="S341" s="580"/>
      <c r="T341" s="621"/>
      <c r="U341" s="580"/>
      <c r="V341" s="621"/>
      <c r="W341" s="580"/>
      <c r="X341" s="621"/>
      <c r="Y341" s="580"/>
      <c r="Z341" s="621"/>
      <c r="AA341" s="640">
        <f t="shared" si="77"/>
        <v>0</v>
      </c>
      <c r="AB341" s="582"/>
      <c r="AC341" s="622"/>
      <c r="AD341" s="580"/>
      <c r="AE341" s="622"/>
      <c r="AF341" s="580"/>
      <c r="AG341" s="622"/>
      <c r="AH341" s="581"/>
      <c r="AI341" s="627"/>
      <c r="AJ341" s="571">
        <f t="shared" si="78"/>
        <v>0</v>
      </c>
      <c r="AK341" s="116"/>
      <c r="AL341" s="1297"/>
      <c r="AM341" s="60" t="str">
        <f>CONCATENATE(IF(D342&lt;&gt;SUM(D311)," * Retest Positive Result at ANC 2 and above for Age "&amp;D20&amp;" "&amp;D21&amp;" is not equal to Initial start HAART at ANC2 and above"&amp;CHAR(10),""),IF(E342&lt;&gt;SUM(E311)," * Retest Positive Result at ANC 2 and above for Age "&amp;D20&amp;" "&amp;E21&amp;" is not equal to Initial start HAART at ANC2 and above"&amp;CHAR(10),""),IF(F342&lt;&gt;SUM(F311)," * Retest Positive Result at ANC 2 and above for Age "&amp;F20&amp;" "&amp;F21&amp;" is not equal to Initial start HAART at ANC2 and above"&amp;CHAR(10),""),IF(G342&lt;&gt;SUM(G311)," * Retest Positive Result at ANC 2 and above for Age "&amp;F20&amp;" "&amp;G21&amp;" is not equal to Initial start HAART at ANC2 and above"&amp;CHAR(10),""),IF(H342&lt;&gt;SUM(H311)," * Retest Positive Result at ANC 2 and above for Age "&amp;H20&amp;" "&amp;H21&amp;" is not equal to Initial start HAART at ANC2 and above"&amp;CHAR(10),""),IF(I342&lt;&gt;SUM(I311)," * Retest Positive Result at ANC 2 and above for Age "&amp;H20&amp;" "&amp;I21&amp;" is not equal to Initial start HAART at ANC2 and above"&amp;CHAR(10),""),IF(J342&lt;&gt;SUM(J311)," * Retest Positive Result at ANC 2 and above for Age "&amp;J20&amp;" "&amp;J21&amp;" is not equal to Initial start HAART at ANC2 and above"&amp;CHAR(10),""),IF(K342&lt;&gt;K311," * Retest Positive Result at ANC 2 and above for Age "&amp;J20&amp;" "&amp;K21&amp;" is not equal to Initial start HAART at ANC2 and above"&amp;CHAR(10),""),IF(L342&lt;&gt;SUM(L311)," * Retest Positive Result at ANC 2 and above for Age "&amp;L20&amp;" "&amp;L21&amp;" is not equal to Initial start HAART at ANC2 and above"&amp;CHAR(10),""),IF(M342&lt;&gt;SUM(M311)," * Retest Positive Result at ANC 2 and above for Age "&amp;L20&amp;" "&amp;M21&amp;" is not equal to Initial start HAART at ANC2 and above"&amp;CHAR(10),""),IF(N342&lt;&gt;SUM(N311)," * Retest Positive Result at ANC 2 and above for Age "&amp;N20&amp;" "&amp;N21&amp;" is not equal to Initial start HAART at ANC2 and above"&amp;CHAR(10),""),IF(O342&lt;&gt;SUM(O311)," * Retest Positive Result at ANC 2 and above for Age "&amp;N20&amp;" "&amp;O21&amp;" is not equal to Initial start HAART at ANC2 and above"&amp;CHAR(10),""),IF(P342&lt;&gt;SUM(P311)," * Retest Positive Result at ANC 2 and above for Age "&amp;P20&amp;" "&amp;P21&amp;" is not equal to Initial start HAART at ANC2 and above"&amp;CHAR(10),""),IF(Q342&lt;&gt;SUM(Q311)," * Retest Positive Result at ANC 2 and above for Age "&amp;P20&amp;" "&amp;Q21&amp;" is not equal to Initial start HAART at ANC2 and above"&amp;CHAR(10),""),IF(R342&lt;&gt;SUM(R311)," * Retest Positive Result at ANC 2 and above for Age "&amp;R20&amp;" "&amp;R21&amp;" is not equal to Initial start HAART at ANC2 and above"&amp;CHAR(10),""),IF(S342&lt;&gt;SUM(S311)," * Retest Positive Result at ANC 2 and above for Age "&amp;R20&amp;" "&amp;S21&amp;" is not equal to Initial start HAART at ANC2 and above"&amp;CHAR(10),""),IF(T342&lt;&gt;SUM(T311)," * Retest Positive Result at ANC 2 and above for Age "&amp;T20&amp;" "&amp;T21&amp;" is not equal to Initial start HAART at ANC2 and above"&amp;CHAR(10),""),IF(U342&lt;&gt;SUM(U311)," * Retest Positive Result at ANC 2 and above for Age "&amp;T20&amp;" "&amp;U21&amp;" is not equal to Initial start HAART at ANC2 and above"&amp;CHAR(10),""),IF(V342&lt;&gt;SUM(V311)," * Retest Positive Result at ANC 2 and above for Age "&amp;V20&amp;" "&amp;V21&amp;" is not equal to Initial start HAART at ANC2 and above"&amp;CHAR(10),""),IF(W342&lt;&gt;SUM(W311)," * Retest Positive Result at ANC 2 and above for Age "&amp;V20&amp;" "&amp;W21&amp;" is not equal to Initial start HAART at ANC2 and above"&amp;CHAR(10),""),IF(X342&lt;&gt;SUM(X311)," * Retest Positive Result at ANC 2 and above for Age "&amp;X20&amp;" "&amp;X21&amp;" is not equal to Initial start HAART at ANC2 and above"&amp;CHAR(10),""),IF(Y342&lt;&gt;SUM(Y311)," * Retest Positive Result at ANC 2 and above for Age "&amp;X20&amp;" "&amp;Y21&amp;" is not equal to Initial start HAART at ANC2 and above"&amp;CHAR(10),""),IF(Z342&lt;&gt;SUM(Z311)," * Retest Positive Result at ANC 2 and above for Age "&amp;Z20&amp;" "&amp;Z21&amp;" is not equal to Initial start HAART at ANC2 and above"&amp;CHAR(10),""),IF(AA342&lt;&gt;SUM(AA311)," * Retest Positive Result at ANC 2 and above for Age "&amp;Z20&amp;" "&amp;AA21&amp;" is not equal to Initial start HAART at ANC2 and above"&amp;CHAR(10),""))</f>
        <v/>
      </c>
      <c r="AN341" s="1227"/>
      <c r="AO341" s="13">
        <v>233</v>
      </c>
      <c r="AP341" s="74"/>
      <c r="AQ341" s="75"/>
    </row>
    <row r="342" spans="1:43" ht="27" thickBot="1" x14ac:dyDescent="0.45">
      <c r="A342" s="1245"/>
      <c r="B342" s="3" t="s">
        <v>459</v>
      </c>
      <c r="C342" s="557" t="s">
        <v>465</v>
      </c>
      <c r="D342" s="624"/>
      <c r="E342" s="624"/>
      <c r="F342" s="624"/>
      <c r="G342" s="624"/>
      <c r="H342" s="624"/>
      <c r="I342" s="624"/>
      <c r="J342" s="655"/>
      <c r="K342" s="643"/>
      <c r="L342" s="624"/>
      <c r="M342" s="629"/>
      <c r="N342" s="624"/>
      <c r="O342" s="629"/>
      <c r="P342" s="624"/>
      <c r="Q342" s="629"/>
      <c r="R342" s="624"/>
      <c r="S342" s="629"/>
      <c r="T342" s="624"/>
      <c r="U342" s="629"/>
      <c r="V342" s="624"/>
      <c r="W342" s="629"/>
      <c r="X342" s="624"/>
      <c r="Y342" s="629"/>
      <c r="Z342" s="624"/>
      <c r="AA342" s="641">
        <f t="shared" si="77"/>
        <v>0</v>
      </c>
      <c r="AB342" s="660"/>
      <c r="AC342" s="630"/>
      <c r="AD342" s="629"/>
      <c r="AE342" s="630"/>
      <c r="AF342" s="629"/>
      <c r="AG342" s="630"/>
      <c r="AH342" s="631"/>
      <c r="AI342" s="628"/>
      <c r="AJ342" s="571">
        <f t="shared" si="78"/>
        <v>0</v>
      </c>
      <c r="AK342" s="116"/>
      <c r="AL342" s="1297"/>
      <c r="AM342" s="60" t="str">
        <f>CONCATENATE(IF(D342&lt;&gt;SUM(D311)," * Retest Positive Result at ANC 2 and above for Age "&amp;D20&amp;" "&amp;D21&amp;" is not equal to Retest start HAART at ANC2 and above"&amp;CHAR(10),""),IF(E342&lt;&gt;SUM(E311)," * Retest Positive Result at ANC 2 and above for Age "&amp;D20&amp;" "&amp;E21&amp;" is not equal to Retest start HAART at ANC2 and above"&amp;CHAR(10),""),IF(F342&lt;&gt;SUM(F311)," * Retest Positive Result at ANC 2 and above for Age "&amp;F20&amp;" "&amp;F21&amp;" is not equal to Retest start HAART at ANC2 and above"&amp;CHAR(10),""),IF(G342&lt;&gt;SUM(G311)," * Retest Positive Result at ANC 2 and above for Age "&amp;F20&amp;" "&amp;G21&amp;" is not equal to Retest start HAART at ANC2 and above"&amp;CHAR(10),""),IF(H342&lt;&gt;SUM(H311)," * Retest Positive Result at ANC 2 and above for Age "&amp;H20&amp;" "&amp;H21&amp;" is not equal to Retest start HAART at ANC2 and above"&amp;CHAR(10),""),IF(I342&lt;&gt;SUM(I311)," * Retest Positive Result at ANC 2 and above for Age "&amp;H20&amp;" "&amp;I21&amp;" is not equal to Retest start HAART at ANC2 and above"&amp;CHAR(10),""),IF(J342&lt;&gt;SUM(J311)," * Retest Positive Result at ANC 2 and above for Age "&amp;J20&amp;" "&amp;J21&amp;" is not equal to Retest start HAART at ANC2 and above"&amp;CHAR(10),""),IF(K342&lt;&gt;K311," * Retest Positive Result at ANC 2 and above for Age "&amp;J20&amp;" "&amp;K21&amp;" is not equal to Retest start HAART at ANC2 and above"&amp;CHAR(10),""),IF(L342&lt;&gt;SUM(L311)," * Retest Positive Result at ANC 2 and above for Age "&amp;L20&amp;" "&amp;L21&amp;" is not equal to Retest start HAART at ANC2 and above"&amp;CHAR(10),""),IF(M342&lt;&gt;SUM(M311)," * Retest Positive Result at ANC 2 and above for Age "&amp;L20&amp;" "&amp;M21&amp;" is not equal to Retest start HAART at ANC2 and above"&amp;CHAR(10),""),IF(N342&lt;&gt;SUM(N311)," * Retest Positive Result at ANC 2 and above for Age "&amp;N20&amp;" "&amp;N21&amp;" is not equal to Retest start HAART at ANC2 and above"&amp;CHAR(10),""),IF(O342&lt;&gt;SUM(O311)," * Retest Positive Result at ANC 2 and above for Age "&amp;N20&amp;" "&amp;O21&amp;" is not equal to Retest start HAART at ANC2 and above"&amp;CHAR(10),""),IF(P342&lt;&gt;SUM(P311)," * Retest Positive Result at ANC 2 and above for Age "&amp;P20&amp;" "&amp;P21&amp;" is not equal to Retest start HAART at ANC2 and above"&amp;CHAR(10),""),IF(Q342&lt;&gt;SUM(Q311)," * Retest Positive Result at ANC 2 and above for Age "&amp;P20&amp;" "&amp;Q21&amp;" is not equal to Retest start HAART at ANC2 and above"&amp;CHAR(10),""),IF(R342&lt;&gt;SUM(R311)," * Retest Positive Result at ANC 2 and above for Age "&amp;R20&amp;" "&amp;R21&amp;" is not equal to Retest start HAART at ANC2 and above"&amp;CHAR(10),""),IF(S342&lt;&gt;SUM(S311)," * Retest Positive Result at ANC 2 and above for Age "&amp;R20&amp;" "&amp;S21&amp;" is not equal to Retest start HAART at ANC2 and above"&amp;CHAR(10),""),IF(T342&lt;&gt;SUM(T311)," * Retest Positive Result at ANC 2 and above for Age "&amp;T20&amp;" "&amp;T21&amp;" is not equal to Retest start HAART at ANC2 and above"&amp;CHAR(10),""),IF(U342&lt;&gt;SUM(U311)," * Retest Positive Result at ANC 2 and above for Age "&amp;T20&amp;" "&amp;U21&amp;" is not equal to Retest start HAART at ANC2 and above"&amp;CHAR(10),""),IF(V342&lt;&gt;SUM(V311)," * Retest Positive Result at ANC 2 and above for Age "&amp;V20&amp;" "&amp;V21&amp;" is not equal to Retest start HAART at ANC2 and above"&amp;CHAR(10),""),IF(W342&lt;&gt;SUM(W311)," * Retest Positive Result at ANC 2 and above for Age "&amp;V20&amp;" "&amp;W21&amp;" is not equal to Retest start HAART at ANC2 and above"&amp;CHAR(10),""),IF(X342&lt;&gt;SUM(X311)," * Retest Positive Result at ANC 2 and above for Age "&amp;X20&amp;" "&amp;X21&amp;" is not equal to Retest start HAART at ANC2 and above"&amp;CHAR(10),""),IF(Y342&lt;&gt;SUM(Y311)," * Retest Positive Result at ANC 2 and above for Age "&amp;X20&amp;" "&amp;Y21&amp;" is not equal to Retest start HAART at ANC2 and above"&amp;CHAR(10),""),IF(Z342&lt;&gt;SUM(Z311)," * Retest Positive Result at ANC 2 and above for Age "&amp;Z20&amp;" "&amp;Z21&amp;" is not equal to Retest start HAART at ANC2 and above"&amp;CHAR(10),""),IF(AA342&lt;&gt;SUM(AA311)," * Retest Positive Result at ANC 2 and above for Age "&amp;Z20&amp;" "&amp;AA21&amp;" is not equal to Retest start HAART at ANC2 and above"&amp;CHAR(10),""))</f>
        <v/>
      </c>
      <c r="AN342" s="1227"/>
      <c r="AO342" s="13">
        <v>234</v>
      </c>
      <c r="AP342" s="74"/>
      <c r="AQ342" s="75"/>
    </row>
    <row r="343" spans="1:43" s="61" customFormat="1" ht="26.25" x14ac:dyDescent="0.4">
      <c r="A343" s="1364" t="s">
        <v>446</v>
      </c>
      <c r="B343" s="1" t="s">
        <v>1239</v>
      </c>
      <c r="C343" s="556" t="s">
        <v>334</v>
      </c>
      <c r="D343" s="621"/>
      <c r="E343" s="621"/>
      <c r="F343" s="621"/>
      <c r="G343" s="621"/>
      <c r="H343" s="621"/>
      <c r="I343" s="621"/>
      <c r="J343" s="653"/>
      <c r="K343" s="642"/>
      <c r="L343" s="621"/>
      <c r="M343" s="580"/>
      <c r="N343" s="621"/>
      <c r="O343" s="580"/>
      <c r="P343" s="621"/>
      <c r="Q343" s="580"/>
      <c r="R343" s="621"/>
      <c r="S343" s="580"/>
      <c r="T343" s="621"/>
      <c r="U343" s="580"/>
      <c r="V343" s="621"/>
      <c r="W343" s="580"/>
      <c r="X343" s="621"/>
      <c r="Y343" s="580"/>
      <c r="Z343" s="621"/>
      <c r="AA343" s="640">
        <f t="shared" si="77"/>
        <v>0</v>
      </c>
      <c r="AB343" s="582"/>
      <c r="AC343" s="622"/>
      <c r="AD343" s="580"/>
      <c r="AE343" s="622"/>
      <c r="AF343" s="580"/>
      <c r="AG343" s="622"/>
      <c r="AH343" s="581"/>
      <c r="AI343" s="628"/>
      <c r="AJ343" s="571">
        <f t="shared" si="78"/>
        <v>0</v>
      </c>
      <c r="AK343" s="213" t="str">
        <f>CONCATENATE(IF(D343&gt;D313," * start HAART L&amp;D  for Age "&amp;D20&amp;" "&amp;D21&amp;" is more than Positive Result L&amp;D "&amp;CHAR(10),""),IF(E343&gt;E313," * start HAART L&amp;D  for Age "&amp;D20&amp;" "&amp;E21&amp;" is more than Positive Result L&amp;D "&amp;CHAR(10),""),IF(F343&gt;F313," * start HAART L&amp;D  for Age "&amp;F20&amp;" "&amp;F21&amp;" is more than Positive Result L&amp;D "&amp;CHAR(10),""),IF(G343&gt;G313," * start HAART L&amp;D  for Age "&amp;F20&amp;" "&amp;G21&amp;" is more than Positive Result L&amp;D "&amp;CHAR(10),""),IF(H343&gt;H313," * start HAART L&amp;D  for Age "&amp;H20&amp;" "&amp;H21&amp;" is more than Positive Result L&amp;D "&amp;CHAR(10),""),IF(I343&gt;I313," * start HAART L&amp;D  for Age "&amp;H20&amp;" "&amp;I21&amp;" is more than Positive Result L&amp;D "&amp;CHAR(10),""),IF(J343&gt;J313," * start HAART L&amp;D  for Age "&amp;J20&amp;" "&amp;J21&amp;" is more than Positive Result L&amp;D "&amp;CHAR(10),""),IF(K343&gt;K313," * start HAART L&amp;D  for Age "&amp;J20&amp;" "&amp;K21&amp;" is more than Positive Result L&amp;D "&amp;CHAR(10),""),IF(L343&gt;L313," * start HAART L&amp;D  for Age "&amp;L20&amp;" "&amp;L21&amp;" is more than Positive Result L&amp;D "&amp;CHAR(10),""),IF(M343&gt;M313," * start HAART L&amp;D  for Age "&amp;L20&amp;" "&amp;M21&amp;" is more than Positive Result L&amp;D "&amp;CHAR(10),""),IF(N343&gt;N313," * start HAART L&amp;D  for Age "&amp;N20&amp;" "&amp;N21&amp;" is more than Positive Result L&amp;D "&amp;CHAR(10),""),IF(O343&gt;O313," * start HAART L&amp;D  for Age "&amp;N20&amp;" "&amp;O21&amp;" is more than Positive Result L&amp;D "&amp;CHAR(10),""),IF(P343&gt;P313," * start HAART L&amp;D  for Age "&amp;P20&amp;" "&amp;P21&amp;" is more than Positive Result L&amp;D "&amp;CHAR(10),""),IF(Q343&gt;Q313," * start HAART L&amp;D  for Age "&amp;P20&amp;" "&amp;Q21&amp;" is more than Positive Result L&amp;D "&amp;CHAR(10),""),IF(R343&gt;R313," * start HAART L&amp;D  for Age "&amp;R20&amp;" "&amp;R21&amp;" is more than Positive Result L&amp;D "&amp;CHAR(10),""),IF(S343&gt;S313," * start HAART L&amp;D  for Age "&amp;R20&amp;" "&amp;S21&amp;" is more than Positive Result L&amp;D "&amp;CHAR(10),""),IF(T343&gt;T313," * start HAART L&amp;D  for Age "&amp;T20&amp;" "&amp;T21&amp;" is more than Positive Result L&amp;D "&amp;CHAR(10),""),IF(U343&gt;U313," * start HAART L&amp;D  for Age "&amp;T20&amp;" "&amp;U21&amp;" is more than Positive Result L&amp;D "&amp;CHAR(10),""),IF(V343&gt;V313," * start HAART L&amp;D  for Age "&amp;V20&amp;" "&amp;V21&amp;" is more than Positive Result L&amp;D "&amp;CHAR(10),""),IF(W343&gt;W313," * start HAART L&amp;D  for Age "&amp;V20&amp;" "&amp;W21&amp;" is more than Positive Result L&amp;D "&amp;CHAR(10),""),IF(X343&gt;X313," * start HAART L&amp;D  for Age "&amp;X20&amp;" "&amp;X21&amp;" is more than Positive Result L&amp;D "&amp;CHAR(10),""),IF(Y343&gt;Y313," * start HAART L&amp;D  for Age "&amp;X20&amp;" "&amp;Y21&amp;" is more than Positive Result L&amp;D "&amp;CHAR(10),""),IF(Z343&gt;Z313," * start HAART L&amp;D  for Age "&amp;Z20&amp;" "&amp;Z21&amp;" is more than Positive Result L&amp;D "&amp;CHAR(10),""),IF(AA343&gt;AA313," * start HAART L&amp;D  for Age "&amp;Z20&amp;" "&amp;AA21&amp;" is more than Positive Result L&amp;D "&amp;CHAR(10),"")
)</f>
        <v/>
      </c>
      <c r="AL343" s="1297"/>
      <c r="AM343" s="60" t="str">
        <f>CONCATENATE(IF(D343&lt;D313," * start HAART L&amp;D  for Age "&amp;D20&amp;" "&amp;D21&amp;" is less than Positive Result L&amp;D "&amp;CHAR(10),""),IF(E343&lt;E313," * start HAART L&amp;D  for Age "&amp;D20&amp;" "&amp;E21&amp;" is less than Positive Result L&amp;D "&amp;CHAR(10),""),IF(F343&lt;F313," * start HAART L&amp;D  for Age "&amp;F20&amp;" "&amp;F21&amp;" is less than Positive Result L&amp;D "&amp;CHAR(10),""),IF(G343&lt;G313," * start HAART L&amp;D  for Age "&amp;F20&amp;" "&amp;G21&amp;" is less than Positive Result L&amp;D "&amp;CHAR(10),""),IF(H343&lt;H313," * start HAART L&amp;D  for Age "&amp;H20&amp;" "&amp;H21&amp;" is less than Positive Result L&amp;D "&amp;CHAR(10),""),IF(I343&lt;I313," * start HAART L&amp;D  for Age "&amp;H20&amp;" "&amp;I21&amp;" is less than Positive Result L&amp;D "&amp;CHAR(10),""),IF(J343&lt;J313," * start HAART L&amp;D  for Age "&amp;J20&amp;" "&amp;J21&amp;" is less than Positive Result L&amp;D "&amp;CHAR(10),""),IF(K343&lt;K313," * start HAART L&amp;D  for Age "&amp;J20&amp;" "&amp;K21&amp;" is less than Positive Result L&amp;D "&amp;CHAR(10),""),IF(L343&lt;L313," * start HAART L&amp;D  for Age "&amp;L20&amp;" "&amp;L21&amp;" is less than Positive Result L&amp;D "&amp;CHAR(10),""),IF(M343&lt;M313," * start HAART L&amp;D  for Age "&amp;L20&amp;" "&amp;M21&amp;" is less than Positive Result L&amp;D "&amp;CHAR(10),""),IF(N343&lt;N313," * start HAART L&amp;D  for Age "&amp;N20&amp;" "&amp;N21&amp;" is less than Positive Result L&amp;D "&amp;CHAR(10),""),IF(O343&lt;O313," * start HAART L&amp;D  for Age "&amp;N20&amp;" "&amp;O21&amp;" is less than Positive Result L&amp;D "&amp;CHAR(10),""),IF(P343&lt;P313," * start HAART L&amp;D  for Age "&amp;P20&amp;" "&amp;P21&amp;" is less than Positive Result L&amp;D "&amp;CHAR(10),""),IF(Q343&lt;Q313," * start HAART L&amp;D  for Age "&amp;P20&amp;" "&amp;Q21&amp;" is less than Positive Result L&amp;D "&amp;CHAR(10),""),IF(R343&lt;R313," * start HAART L&amp;D  for Age "&amp;R20&amp;" "&amp;R21&amp;" is less than Positive Result L&amp;D "&amp;CHAR(10),""),IF(S343&lt;S313," * start HAART L&amp;D  for Age "&amp;R20&amp;" "&amp;S21&amp;" is less than Positive Result L&amp;D "&amp;CHAR(10),""),IF(T343&lt;T313," * start HAART L&amp;D  for Age "&amp;T20&amp;" "&amp;T21&amp;" is less than Positive Result L&amp;D "&amp;CHAR(10),""),IF(U343&lt;U313," * start HAART L&amp;D  for Age "&amp;T20&amp;" "&amp;U21&amp;" is less than Positive Result L&amp;D "&amp;CHAR(10),""),IF(V343&lt;V313," * start HAART L&amp;D  for Age "&amp;V20&amp;" "&amp;V21&amp;" is less than Positive Result L&amp;D "&amp;CHAR(10),""),IF(W343&lt;W313," * start HAART L&amp;D  for Age "&amp;V20&amp;" "&amp;W21&amp;" is less than Positive Result L&amp;D "&amp;CHAR(10),""),IF(X343&lt;X313," * start HAART L&amp;D  for Age "&amp;X20&amp;" "&amp;X21&amp;" is less than Positive Result L&amp;D "&amp;CHAR(10),""),IF(Y343&lt;Y313," * start HAART L&amp;D  for Age "&amp;X20&amp;" "&amp;Y21&amp;" is less than Positive Result L&amp;D "&amp;CHAR(10),""),IF(Z343&lt;Z313," * start HAART L&amp;D  for Age "&amp;Z20&amp;" "&amp;Z21&amp;" is less than Positive Result L&amp;D "&amp;CHAR(10),""),IF(AA343&lt;AA313," * start HAART L&amp;D  for Age "&amp;Z20&amp;" "&amp;AA21&amp;" is less than Positive Result L&amp;D "&amp;CHAR(10),""))</f>
        <v/>
      </c>
      <c r="AN343" s="1227"/>
      <c r="AO343" s="13">
        <v>235</v>
      </c>
      <c r="AP343" s="80"/>
      <c r="AQ343" s="75"/>
    </row>
    <row r="344" spans="1:43" s="61" customFormat="1" ht="27" thickBot="1" x14ac:dyDescent="0.45">
      <c r="A344" s="1365"/>
      <c r="B344" s="3" t="s">
        <v>586</v>
      </c>
      <c r="C344" s="557" t="s">
        <v>587</v>
      </c>
      <c r="D344" s="624"/>
      <c r="E344" s="624"/>
      <c r="F344" s="624"/>
      <c r="G344" s="624"/>
      <c r="H344" s="624"/>
      <c r="I344" s="624"/>
      <c r="J344" s="655"/>
      <c r="K344" s="643"/>
      <c r="L344" s="624"/>
      <c r="M344" s="629"/>
      <c r="N344" s="624"/>
      <c r="O344" s="629"/>
      <c r="P344" s="624"/>
      <c r="Q344" s="629"/>
      <c r="R344" s="624"/>
      <c r="S344" s="629"/>
      <c r="T344" s="624"/>
      <c r="U344" s="629"/>
      <c r="V344" s="624"/>
      <c r="W344" s="629"/>
      <c r="X344" s="624"/>
      <c r="Y344" s="629"/>
      <c r="Z344" s="624"/>
      <c r="AA344" s="641">
        <f t="shared" si="77"/>
        <v>0</v>
      </c>
      <c r="AB344" s="660"/>
      <c r="AC344" s="630"/>
      <c r="AD344" s="629"/>
      <c r="AE344" s="630"/>
      <c r="AF344" s="629"/>
      <c r="AG344" s="630"/>
      <c r="AH344" s="631"/>
      <c r="AI344" s="628"/>
      <c r="AJ344" s="571">
        <f t="shared" si="78"/>
        <v>0</v>
      </c>
      <c r="AK344" s="213" t="str">
        <f>CONCATENATE(IF(D344&gt;D315," * Retested start HAART L&amp;D  for Age "&amp;D20&amp;" "&amp;D21&amp;" is more than Retested Positive Result L&amp;D "&amp;CHAR(10),""),IF(E344&gt;E315," * Retested start HAART L&amp;D  for Age "&amp;D20&amp;" "&amp;E21&amp;" is more than Retested Positive Result L&amp;D "&amp;CHAR(10),""),IF(F344&gt;F315," * Retested start HAART L&amp;D  for Age "&amp;F20&amp;" "&amp;F21&amp;" is more than Retested Positive Result L&amp;D "&amp;CHAR(10),""),IF(G344&gt;G315," * Retested start HAART L&amp;D  for Age "&amp;F20&amp;" "&amp;G21&amp;" is more than Retested Positive Result L&amp;D "&amp;CHAR(10),""),IF(H344&gt;H315," * Retested start HAART L&amp;D  for Age "&amp;H20&amp;" "&amp;H21&amp;" is more than Retested Positive Result L&amp;D "&amp;CHAR(10),""),IF(I344&gt;I315," * Retested start HAART L&amp;D  for Age "&amp;H20&amp;" "&amp;I21&amp;" is more than Retested Positive Result L&amp;D "&amp;CHAR(10),""),IF(J344&gt;J315," * Retested start HAART L&amp;D  for Age "&amp;J20&amp;" "&amp;J21&amp;" is more than Retested Positive Result L&amp;D "&amp;CHAR(10),""),IF(K344&gt;K315," * Retested start HAART L&amp;D  for Age "&amp;J20&amp;" "&amp;K21&amp;" is more than Retested Positive Result L&amp;D "&amp;CHAR(10),""),IF(L344&gt;L315," * Retested start HAART L&amp;D  for Age "&amp;L20&amp;" "&amp;L21&amp;" is more than Retested Positive Result L&amp;D "&amp;CHAR(10),""),IF(M344&gt;M315," * Retested start HAART L&amp;D  for Age "&amp;L20&amp;" "&amp;M21&amp;" is more than Retested Positive Result L&amp;D "&amp;CHAR(10),""),IF(N344&gt;N315," * Retested start HAART L&amp;D  for Age "&amp;N20&amp;" "&amp;N21&amp;" is more than Retested Positive Result L&amp;D "&amp;CHAR(10),""),IF(O344&gt;O315," * Retested start HAART L&amp;D  for Age "&amp;N20&amp;" "&amp;O21&amp;" is more than Retested Positive Result L&amp;D "&amp;CHAR(10),""),IF(P344&gt;P315," * Retested start HAART L&amp;D  for Age "&amp;P20&amp;" "&amp;P21&amp;" is more than Retested Positive Result L&amp;D "&amp;CHAR(10),""),IF(Q344&gt;Q315," * Retested start HAART L&amp;D  for Age "&amp;P20&amp;" "&amp;Q21&amp;" is more than Retested Positive Result L&amp;D "&amp;CHAR(10),""),IF(R344&gt;R315," * Retested start HAART L&amp;D  for Age "&amp;R20&amp;" "&amp;R21&amp;" is more than Retested Positive Result L&amp;D "&amp;CHAR(10),""),IF(S344&gt;S315," * Retested start HAART L&amp;D  for Age "&amp;R20&amp;" "&amp;S21&amp;" is more than Retested Positive Result L&amp;D "&amp;CHAR(10),""),IF(T344&gt;T315," * Retested start HAART L&amp;D  for Age "&amp;T20&amp;" "&amp;T21&amp;" is more than Retested Positive Result L&amp;D "&amp;CHAR(10),""),IF(U344&gt;U315," * Retested start HAART L&amp;D  for Age "&amp;T20&amp;" "&amp;U21&amp;" is more than Retested Positive Result L&amp;D "&amp;CHAR(10),""),IF(V344&gt;V315," * Retested start HAART L&amp;D  for Age "&amp;V20&amp;" "&amp;V21&amp;" is more than Retested Positive Result L&amp;D "&amp;CHAR(10),""),IF(W344&gt;W315," * Retested start HAART L&amp;D  for Age "&amp;V20&amp;" "&amp;W21&amp;" is more than Retested Positive Result L&amp;D "&amp;CHAR(10),""),IF(X344&gt;X315," * Retested start HAART L&amp;D  for Age "&amp;X20&amp;" "&amp;X21&amp;" is more than Retested Positive Result L&amp;D "&amp;CHAR(10),""),IF(Y344&gt;Y315," * Retested start HAART L&amp;D  for Age "&amp;X20&amp;" "&amp;Y21&amp;" is more than Retested Positive Result L&amp;D "&amp;CHAR(10),""),IF(Z344&gt;Z315," * Retested start HAART L&amp;D  for Age "&amp;Z20&amp;" "&amp;Z21&amp;" is more than Retested Positive Result L&amp;D "&amp;CHAR(10),""),IF(AA344&gt;AA315," * Retested start HAART L&amp;D  for Age "&amp;Z20&amp;" "&amp;AA21&amp;" is more than Retested Positive Result L&amp;D "&amp;CHAR(10),"")
)</f>
        <v/>
      </c>
      <c r="AL344" s="1297"/>
      <c r="AM344" s="60"/>
      <c r="AN344" s="1227"/>
      <c r="AO344" s="13">
        <v>236</v>
      </c>
      <c r="AP344" s="80"/>
      <c r="AQ344" s="75"/>
    </row>
    <row r="345" spans="1:43" ht="26.25" x14ac:dyDescent="0.4">
      <c r="A345" s="1183" t="s">
        <v>449</v>
      </c>
      <c r="B345" s="1" t="s">
        <v>461</v>
      </c>
      <c r="C345" s="556" t="s">
        <v>335</v>
      </c>
      <c r="D345" s="621"/>
      <c r="E345" s="621"/>
      <c r="F345" s="621"/>
      <c r="G345" s="621"/>
      <c r="H345" s="621"/>
      <c r="I345" s="621"/>
      <c r="J345" s="653"/>
      <c r="K345" s="642"/>
      <c r="L345" s="621"/>
      <c r="M345" s="580"/>
      <c r="N345" s="621"/>
      <c r="O345" s="580"/>
      <c r="P345" s="621"/>
      <c r="Q345" s="580"/>
      <c r="R345" s="621"/>
      <c r="S345" s="580"/>
      <c r="T345" s="621"/>
      <c r="U345" s="580"/>
      <c r="V345" s="621"/>
      <c r="W345" s="580"/>
      <c r="X345" s="621"/>
      <c r="Y345" s="580"/>
      <c r="Z345" s="621"/>
      <c r="AA345" s="640">
        <f t="shared" si="77"/>
        <v>0</v>
      </c>
      <c r="AB345" s="582"/>
      <c r="AC345" s="622"/>
      <c r="AD345" s="580"/>
      <c r="AE345" s="622"/>
      <c r="AF345" s="580"/>
      <c r="AG345" s="622"/>
      <c r="AH345" s="581"/>
      <c r="AI345" s="628"/>
      <c r="AJ345" s="571">
        <f t="shared" si="78"/>
        <v>0</v>
      </c>
      <c r="AK345" s="116" t="str">
        <f>CONCATENATE(IF(D345&gt;D317," * F06-16 for Age "&amp;D20&amp;" "&amp;D21&amp;" is more than F06-10"&amp;CHAR(10),""),IF(E345&gt;E317," * F06-16 for Age "&amp;D20&amp;" "&amp;E21&amp;" is more than F06-10"&amp;CHAR(10),""),IF(F345&gt;F317," * F06-16 for Age "&amp;F20&amp;" "&amp;F21&amp;" is more than F06-10"&amp;CHAR(10),""),IF(G345&gt;G317," * F06-16 for Age "&amp;F20&amp;" "&amp;G21&amp;" is more than F06-10"&amp;CHAR(10),""),IF(H345&gt;H317," * F06-16 for Age "&amp;H20&amp;" "&amp;H21&amp;" is more than F06-10"&amp;CHAR(10),""),IF(I345&gt;I317," * F06-16 for Age "&amp;H20&amp;" "&amp;I21&amp;" is more than F06-10"&amp;CHAR(10),""),IF(J345&gt;J317," * F06-16 for Age "&amp;J20&amp;" "&amp;J21&amp;" is more than F06-10"&amp;CHAR(10),""),IF(K345&gt;K317," * F06-16 for Age "&amp;J20&amp;" "&amp;K21&amp;" is more than F06-10"&amp;CHAR(10),""),IF(L345&gt;L317," * F06-16 for Age "&amp;L20&amp;" "&amp;L21&amp;" is more than F06-10"&amp;CHAR(10),""),IF(M345&gt;M317," * F06-16 for Age "&amp;L20&amp;" "&amp;M21&amp;" is more than F06-10"&amp;CHAR(10),""),IF(N345&gt;N317," * F06-16 for Age "&amp;N20&amp;" "&amp;N21&amp;" is more than F06-10"&amp;CHAR(10),""),IF(O345&gt;O317," * F06-16 for Age "&amp;N20&amp;" "&amp;O21&amp;" is more than F06-10"&amp;CHAR(10),""),IF(P345&gt;P317," * F06-16 for Age "&amp;P20&amp;" "&amp;P21&amp;" is more than F06-10"&amp;CHAR(10),""),IF(Q345&gt;Q317," * F06-16 for Age "&amp;P20&amp;" "&amp;Q21&amp;" is more than F06-10"&amp;CHAR(10),""),IF(R345&gt;R317," * F06-16 for Age "&amp;R20&amp;" "&amp;R21&amp;" is more than F06-10"&amp;CHAR(10),""),IF(S345&gt;S317," * F06-16 for Age "&amp;R20&amp;" "&amp;S21&amp;" is more than F06-10"&amp;CHAR(10),""),IF(T345&gt;T317," * F06-16 for Age "&amp;T20&amp;" "&amp;T21&amp;" is more than F06-10"&amp;CHAR(10),""),IF(U345&gt;U317," * F06-16 for Age "&amp;T20&amp;" "&amp;U21&amp;" is more than F06-10"&amp;CHAR(10),""),IF(V345&gt;V317," * F06-16 for Age "&amp;V20&amp;" "&amp;V21&amp;" is more than F06-10"&amp;CHAR(10),""),IF(W345&gt;W317," * F06-16 for Age "&amp;V20&amp;" "&amp;W21&amp;" is more than F06-10"&amp;CHAR(10),""),IF(X345&gt;X317," * F06-16 for Age "&amp;X20&amp;" "&amp;X21&amp;" is more than F06-10"&amp;CHAR(10),""),IF(Y345&gt;Y317," * F06-16 for Age "&amp;X20&amp;" "&amp;Y21&amp;" is more than F06-10"&amp;CHAR(10),""),IF(Z345&gt;Z317," * F06-16 for Age "&amp;Z20&amp;" "&amp;Z21&amp;" is more than F06-10"&amp;CHAR(10),""),IF(AA345&gt;AA317," * F06-16 for Age "&amp;Z20&amp;" "&amp;AA21&amp;" is more than F06-10"&amp;CHAR(10),""),IF(AJ345&gt;AJ317," * Total F06-16 is more than Total F06-10"&amp;CHAR(10),""))</f>
        <v/>
      </c>
      <c r="AL345" s="1297"/>
      <c r="AM345" s="31" t="str">
        <f>CONCATENATE(IF(D345&lt;D317," * F06-16 for Age "&amp;D20&amp;" "&amp;D21&amp;" is less than F06-10"&amp;CHAR(10),""),IF(E345&lt;E317," * F06-16 for Age "&amp;D20&amp;" "&amp;E21&amp;" is less than F06-10"&amp;CHAR(10),""),IF(F345&lt;F317," * F06-16 for Age "&amp;F20&amp;" "&amp;F21&amp;" is less than F06-10"&amp;CHAR(10),""),IF(G345&lt;G317," * F06-16 for Age "&amp;F20&amp;" "&amp;G21&amp;" is less than F06-10"&amp;CHAR(10),""),IF(H345&lt;H317," * F06-16 for Age "&amp;H20&amp;" "&amp;H21&amp;" is less than F06-10"&amp;CHAR(10),""),IF(I345&lt;I317," * F06-16 for Age "&amp;H20&amp;" "&amp;I21&amp;" is less than F06-10"&amp;CHAR(10),""),IF(J345&lt;J317," * F06-16 for Age "&amp;J20&amp;" "&amp;J21&amp;" is less than F06-10"&amp;CHAR(10),""),IF(K345&lt;K317," * F06-16 for Age "&amp;J20&amp;" "&amp;K21&amp;" is less than F06-10"&amp;CHAR(10),""),IF(L345&lt;L317," * F06-16 for Age "&amp;L20&amp;" "&amp;L21&amp;" is less than F06-10"&amp;CHAR(10),""),IF(M345&lt;M317," * F06-16 for Age "&amp;L20&amp;" "&amp;M21&amp;" is less than F06-10"&amp;CHAR(10),""),IF(N345&lt;N317," * F06-16 for Age "&amp;N20&amp;" "&amp;N21&amp;" is less than F06-10"&amp;CHAR(10),""),IF(O345&lt;O317," * F06-16 for Age "&amp;N20&amp;" "&amp;O21&amp;" is less than F06-10"&amp;CHAR(10),""),IF(P345&lt;P317," * F06-16 for Age "&amp;P20&amp;" "&amp;P21&amp;" is less than F06-10"&amp;CHAR(10),""),IF(Q345&lt;Q317," * F06-16 for Age "&amp;P20&amp;" "&amp;Q21&amp;" is less than F06-10"&amp;CHAR(10),""),IF(R345&lt;R317," * F06-16 for Age "&amp;R20&amp;" "&amp;R21&amp;" is less than F06-10"&amp;CHAR(10),""),IF(S345&lt;S317," * F06-16 for Age "&amp;R20&amp;" "&amp;S21&amp;" is less than F06-10"&amp;CHAR(10),""),IF(T345&lt;T317," * F06-16 for Age "&amp;T20&amp;" "&amp;T21&amp;" is less than F06-10"&amp;CHAR(10),""),IF(U345&lt;U317," * F06-16 for Age "&amp;T20&amp;" "&amp;U21&amp;" is less than F06-10"&amp;CHAR(10),""),IF(V345&lt;V317," * F06-16 for Age "&amp;V20&amp;" "&amp;V21&amp;" is less than F06-10"&amp;CHAR(10),""),IF(W345&lt;W317," * F06-16 for Age "&amp;V20&amp;" "&amp;W21&amp;" is less than F06-10"&amp;CHAR(10),""),IF(X345&lt;X317," * F06-16 for Age "&amp;X20&amp;" "&amp;X21&amp;" is less than F06-10"&amp;CHAR(10),""),IF(Y345&lt;Y317," * F06-16 for Age "&amp;X20&amp;" "&amp;Y21&amp;" is less than F06-10"&amp;CHAR(10),""),IF(Z345&lt;Z317," * F06-16 for Age "&amp;Z20&amp;" "&amp;Z21&amp;" is less than F06-10"&amp;CHAR(10),""),IF(AA345&lt;AA317," * F06-16 for Age "&amp;Z20&amp;" "&amp;AA21&amp;" is less than F06-10"&amp;CHAR(10),""),IF(AJ345&lt;AJ317," * Total F06-16 is less than Total F06-10"&amp;CHAR(10),""))</f>
        <v/>
      </c>
      <c r="AN345" s="1227"/>
      <c r="AO345" s="13">
        <v>237</v>
      </c>
      <c r="AP345" s="74"/>
      <c r="AQ345" s="75"/>
    </row>
    <row r="346" spans="1:43" ht="27" thickBot="1" x14ac:dyDescent="0.45">
      <c r="A346" s="1184"/>
      <c r="B346" s="3" t="s">
        <v>462</v>
      </c>
      <c r="C346" s="557" t="s">
        <v>466</v>
      </c>
      <c r="D346" s="624"/>
      <c r="E346" s="624"/>
      <c r="F346" s="624"/>
      <c r="G346" s="624"/>
      <c r="H346" s="624"/>
      <c r="I346" s="624"/>
      <c r="J346" s="655"/>
      <c r="K346" s="643"/>
      <c r="L346" s="624"/>
      <c r="M346" s="629"/>
      <c r="N346" s="624"/>
      <c r="O346" s="629"/>
      <c r="P346" s="624"/>
      <c r="Q346" s="629"/>
      <c r="R346" s="624"/>
      <c r="S346" s="629"/>
      <c r="T346" s="624"/>
      <c r="U346" s="629"/>
      <c r="V346" s="624"/>
      <c r="W346" s="629"/>
      <c r="X346" s="624"/>
      <c r="Y346" s="629"/>
      <c r="Z346" s="624"/>
      <c r="AA346" s="641">
        <f t="shared" si="77"/>
        <v>0</v>
      </c>
      <c r="AB346" s="660"/>
      <c r="AC346" s="630"/>
      <c r="AD346" s="629"/>
      <c r="AE346" s="630"/>
      <c r="AF346" s="629"/>
      <c r="AG346" s="630"/>
      <c r="AH346" s="631"/>
      <c r="AI346" s="628"/>
      <c r="AJ346" s="571">
        <f t="shared" si="78"/>
        <v>0</v>
      </c>
      <c r="AK346" s="116" t="str">
        <f>CONCATENATE(IF(D346&gt;D319," * Retest Start HAART at PNC &lt; = 6 weeks for Age "&amp;D20&amp;" "&amp;D21&amp;" is more than Retesting positive result at PNC &lt; = 6 weeks"&amp;CHAR(10),""),IF(E346&gt;E319," * Retest Start HAART at PNC &lt; = 6 weeks for Age "&amp;D20&amp;" "&amp;E21&amp;" is more than Retesting positive result at PNC &lt; = 6 weeks"&amp;CHAR(10),""),IF(F346&gt;F319," * Retest Start HAART at PNC &lt; = 6 weeks for Age "&amp;F20&amp;" "&amp;F21&amp;" is more than Retesting positive result at PNC &lt; = 6 weeks"&amp;CHAR(10),""),IF(G346&gt;G319," * Retest Start HAART at PNC &lt; = 6 weeks for Age "&amp;F20&amp;" "&amp;G21&amp;" is more than Retesting positive result at PNC &lt; = 6 weeks"&amp;CHAR(10),""),IF(H346&gt;H319," * Retest Start HAART at PNC &lt; = 6 weeks for Age "&amp;H20&amp;" "&amp;H21&amp;" is more than Retesting positive result at PNC &lt; = 6 weeks"&amp;CHAR(10),""),IF(I346&gt;I319," * Retest Start HAART at PNC &lt; = 6 weeks for Age "&amp;H20&amp;" "&amp;I21&amp;" is more than Retesting positive result at PNC &lt; = 6 weeks"&amp;CHAR(10),""),IF(J346&gt;J319," * Retest Start HAART at PNC &lt; = 6 weeks for Age "&amp;J20&amp;" "&amp;J21&amp;" is more than Retesting positive result at PNC &lt; = 6 weeks"&amp;CHAR(10),""),IF(K346&gt;K319," * Retest Start HAART at PNC &lt; = 6 weeks for Age "&amp;J20&amp;" "&amp;K21&amp;" is more than Retesting positive result at PNC &lt; = 6 weeks"&amp;CHAR(10),""),IF(L346&gt;L319," * Retest Start HAART at PNC &lt; = 6 weeks for Age "&amp;L20&amp;" "&amp;L21&amp;" is more than Retesting positive result at PNC &lt; = 6 weeks"&amp;CHAR(10),""),IF(M346&gt;M319," * Retest Start HAART at PNC &lt; = 6 weeks for Age "&amp;L20&amp;" "&amp;M21&amp;" is more than Retesting positive result at PNC &lt; = 6 weeks"&amp;CHAR(10),""),IF(N346&gt;N319," * Retest Start HAART at PNC &lt; = 6 weeks for Age "&amp;N20&amp;" "&amp;N21&amp;" is more than Retesting positive result at PNC &lt; = 6 weeks"&amp;CHAR(10),""),IF(O346&gt;O319," * Retest Start HAART at PNC &lt; = 6 weeks for Age "&amp;N20&amp;" "&amp;O21&amp;" is more than Retesting positive result at PNC &lt; = 6 weeks"&amp;CHAR(10),""),IF(P346&gt;P319," * Retest Start HAART at PNC &lt; = 6 weeks for Age "&amp;P20&amp;" "&amp;P21&amp;" is more than Retesting positive result at PNC &lt; = 6 weeks"&amp;CHAR(10),""),IF(Q346&gt;Q319," * Retest Start HAART at PNC &lt; = 6 weeks for Age "&amp;P20&amp;" "&amp;Q21&amp;" is more than Retesting positive result at PNC &lt; = 6 weeks"&amp;CHAR(10),""),IF(R346&gt;R319," * Retest Start HAART at PNC &lt; = 6 weeks for Age "&amp;R20&amp;" "&amp;R21&amp;" is more than Retesting positive result at PNC &lt; = 6 weeks"&amp;CHAR(10),""),IF(S346&gt;S319," * Retest Start HAART at PNC &lt; = 6 weeks for Age "&amp;R20&amp;" "&amp;S21&amp;" is more than Retesting positive result at PNC &lt; = 6 weeks"&amp;CHAR(10),""),IF(T346&gt;T319," * Retest Start HAART at PNC &lt; = 6 weeks for Age "&amp;T20&amp;" "&amp;T21&amp;" is more than Retesting positive result at PNC &lt; = 6 weeks"&amp;CHAR(10),""),IF(U346&gt;U319," * Retest Start HAART at PNC &lt; = 6 weeks for Age "&amp;T20&amp;" "&amp;U21&amp;" is more than Retesting positive result at PNC &lt; = 6 weeks"&amp;CHAR(10),""),IF(V346&gt;V319," * Retest Start HAART at PNC &lt; = 6 weeks for Age "&amp;V20&amp;" "&amp;V21&amp;" is more than Retesting positive result at PNC &lt; = 6 weeks"&amp;CHAR(10),""),IF(W346&gt;W319," * Retest Start HAART at PNC &lt; = 6 weeks for Age "&amp;V20&amp;" "&amp;W21&amp;" is more than Retesting positive result at PNC &lt; = 6 weeks"&amp;CHAR(10),""),IF(X346&gt;X319," * Retest Start HAART at PNC &lt; = 6 weeks for Age "&amp;X20&amp;" "&amp;X21&amp;" is more than Retesting positive result at PNC &lt; = 6 weeks"&amp;CHAR(10),""),IF(Y346&gt;Y319," * Retest Start HAART at PNC &lt; = 6 weeks for Age "&amp;X20&amp;" "&amp;Y21&amp;" is more than Retesting positive result at PNC &lt; = 6 weeks"&amp;CHAR(10),""),IF(Z346&gt;Z319," * Retest Start HAART at PNC &lt; = 6 weeks for Age "&amp;Z20&amp;" "&amp;Z21&amp;" is more than Retesting positive result at PNC &lt; = 6 weeks"&amp;CHAR(10),""),IF(AA346&gt;AA319," * Retest Start HAART at PNC &lt; = 6 weeks for Age "&amp;Z20&amp;" "&amp;AA21&amp;" is more than Retesting positive result at PNC &lt; = 6 weeks"&amp;CHAR(10),""))</f>
        <v/>
      </c>
      <c r="AL346" s="1297"/>
      <c r="AM346" s="31"/>
      <c r="AN346" s="1227"/>
      <c r="AO346" s="13">
        <v>238</v>
      </c>
      <c r="AP346" s="74"/>
      <c r="AQ346" s="75"/>
    </row>
    <row r="347" spans="1:43" s="61" customFormat="1" ht="26.25" x14ac:dyDescent="0.4">
      <c r="A347" s="1184"/>
      <c r="B347" s="876" t="s">
        <v>1240</v>
      </c>
      <c r="C347" s="556" t="s">
        <v>467</v>
      </c>
      <c r="D347" s="616"/>
      <c r="E347" s="616"/>
      <c r="F347" s="616"/>
      <c r="G347" s="616"/>
      <c r="H347" s="616"/>
      <c r="I347" s="616"/>
      <c r="J347" s="656"/>
      <c r="K347" s="664"/>
      <c r="L347" s="616"/>
      <c r="M347" s="617"/>
      <c r="N347" s="616"/>
      <c r="O347" s="617"/>
      <c r="P347" s="616"/>
      <c r="Q347" s="617"/>
      <c r="R347" s="616"/>
      <c r="S347" s="617"/>
      <c r="T347" s="616"/>
      <c r="U347" s="617"/>
      <c r="V347" s="616"/>
      <c r="W347" s="617"/>
      <c r="X347" s="616"/>
      <c r="Y347" s="617"/>
      <c r="Z347" s="616"/>
      <c r="AA347" s="665">
        <f t="shared" si="77"/>
        <v>0</v>
      </c>
      <c r="AB347" s="582"/>
      <c r="AC347" s="622"/>
      <c r="AD347" s="580"/>
      <c r="AE347" s="622"/>
      <c r="AF347" s="580"/>
      <c r="AG347" s="622"/>
      <c r="AH347" s="581"/>
      <c r="AI347" s="628"/>
      <c r="AJ347" s="571">
        <f t="shared" si="78"/>
        <v>0</v>
      </c>
      <c r="AK347" s="116" t="str">
        <f>CONCATENATE(IF(D347&gt;D321," * Initial Start HAART at PNC  &gt; 6 weeks for Age "&amp;D20&amp;" "&amp;D21&amp;" is more than Initial Tested Positive  at PNC  &gt; 6 weeks"&amp;CHAR(10),""),IF(E347&gt;E321," * Initial Start HAART at PNC  &gt; 6 weeks for Age "&amp;D20&amp;" "&amp;E21&amp;" is more than Initial Tested Positive  at PNC  &gt; 6 weeks"&amp;CHAR(10),""),IF(F347&gt;F321," * Initial Start HAART at PNC  &gt; 6 weeks for Age "&amp;F20&amp;" "&amp;F21&amp;" is more than Initial Tested Positive  at PNC  &gt; 6 weeks"&amp;CHAR(10),""),IF(G347&gt;G321," * Initial Start HAART at PNC  &gt; 6 weeks for Age "&amp;F20&amp;" "&amp;G21&amp;" is more than Initial Tested Positive  at PNC  &gt; 6 weeks"&amp;CHAR(10),""),IF(H347&gt;H321," * Initial Start HAART at PNC  &gt; 6 weeks for Age "&amp;H20&amp;" "&amp;H21&amp;" is more than Initial Tested Positive  at PNC  &gt; 6 weeks"&amp;CHAR(10),""),IF(I347&gt;I321," * Initial Start HAART at PNC  &gt; 6 weeks for Age "&amp;H20&amp;" "&amp;I21&amp;" is more than Initial Tested Positive  at PNC  &gt; 6 weeks"&amp;CHAR(10),""),IF(J347&gt;J321," * Initial Start HAART at PNC  &gt; 6 weeks for Age "&amp;J20&amp;" "&amp;J21&amp;" is more than Initial Tested Positive  at PNC  &gt; 6 weeks"&amp;CHAR(10),""),IF(K347&gt;K321," * Initial Start HAART at PNC  &gt; 6 weeks for Age "&amp;J20&amp;" "&amp;K21&amp;" is more than Initial Tested Positive  at PNC  &gt; 6 weeks"&amp;CHAR(10),""),IF(L347&gt;L321," * Initial Start HAART at PNC  &gt; 6 weeks for Age "&amp;L20&amp;" "&amp;L21&amp;" is more than Initial Tested Positive  at PNC  &gt; 6 weeks"&amp;CHAR(10),""),IF(M347&gt;M321," * Initial Start HAART at PNC  &gt; 6 weeks for Age "&amp;L20&amp;" "&amp;M21&amp;" is more than Initial Tested Positive  at PNC  &gt; 6 weeks"&amp;CHAR(10),""),IF(N347&gt;N321," * Initial Start HAART at PNC  &gt; 6 weeks for Age "&amp;N20&amp;" "&amp;N21&amp;" is more than Initial Tested Positive  at PNC  &gt; 6 weeks"&amp;CHAR(10),""),IF(O347&gt;O321," * Initial Start HAART at PNC  &gt; 6 weeks for Age "&amp;N20&amp;" "&amp;O21&amp;" is more than Initial Tested Positive  at PNC  &gt; 6 weeks"&amp;CHAR(10),""),IF(P347&gt;P321," * Initial Start HAART at PNC  &gt; 6 weeks for Age "&amp;P20&amp;" "&amp;P21&amp;" is more than Initial Tested Positive  at PNC  &gt; 6 weeks"&amp;CHAR(10),""),IF(Q347&gt;Q321," * Initial Start HAART at PNC  &gt; 6 weeks for Age "&amp;P20&amp;" "&amp;Q21&amp;" is more than Initial Tested Positive  at PNC  &gt; 6 weeks"&amp;CHAR(10),""),IF(R347&gt;R321," * Initial Start HAART at PNC  &gt; 6 weeks for Age "&amp;R20&amp;" "&amp;R21&amp;" is more than Initial Tested Positive  at PNC  &gt; 6 weeks"&amp;CHAR(10),""),IF(S347&gt;S321," * Initial Start HAART at PNC  &gt; 6 weeks for Age "&amp;R20&amp;" "&amp;S21&amp;" is more than Initial Tested Positive  at PNC  &gt; 6 weeks"&amp;CHAR(10),""),IF(T347&gt;T321," * Initial Start HAART at PNC  &gt; 6 weeks for Age "&amp;T20&amp;" "&amp;T21&amp;" is more than Initial Tested Positive  at PNC  &gt; 6 weeks"&amp;CHAR(10),""),IF(U347&gt;U321," * Initial Start HAART at PNC  &gt; 6 weeks for Age "&amp;T20&amp;" "&amp;U21&amp;" is more than Initial Tested Positive  at PNC  &gt; 6 weeks"&amp;CHAR(10),""),IF(V347&gt;V321," * Initial Start HAART at PNC  &gt; 6 weeks for Age "&amp;V20&amp;" "&amp;V21&amp;" is more than Initial Tested Positive  at PNC  &gt; 6 weeks"&amp;CHAR(10),""),IF(W347&gt;W321," * Initial Start HAART at PNC  &gt; 6 weeks for Age "&amp;V20&amp;" "&amp;W21&amp;" is more than Initial Tested Positive  at PNC  &gt; 6 weeks"&amp;CHAR(10),""),IF(X347&gt;X321," * Initial Start HAART at PNC  &gt; 6 weeks for Age "&amp;X20&amp;" "&amp;X21&amp;" is more than Initial Tested Positive  at PNC  &gt; 6 weeks"&amp;CHAR(10),""),IF(Y347&gt;Y321," * Initial Start HAART at PNC  &gt; 6 weeks for Age "&amp;X20&amp;" "&amp;Y21&amp;" is more than Initial Tested Positive  at PNC  &gt; 6 weeks"&amp;CHAR(10),""),IF(Z347&gt;Z321," * Initial Start HAART at PNC  &gt; 6 weeks for Age "&amp;Z20&amp;" "&amp;Z21&amp;" is more than Initial Tested Positive  at PNC  &gt; 6 weeks"&amp;CHAR(10),""),IF(AA347&gt;AA321," * Initial Start HAART at PNC  &gt; 6 weeks for Age "&amp;Z20&amp;" "&amp;AA21&amp;" is more than Initial Tested Positive  at PNC  &gt; 6 weeks"&amp;CHAR(10),""))</f>
        <v/>
      </c>
      <c r="AL347" s="1297"/>
      <c r="AM347" s="60"/>
      <c r="AN347" s="1227"/>
      <c r="AO347" s="13">
        <v>239</v>
      </c>
      <c r="AP347" s="80"/>
      <c r="AQ347" s="75"/>
    </row>
    <row r="348" spans="1:43" s="61" customFormat="1" ht="27" thickBot="1" x14ac:dyDescent="0.45">
      <c r="A348" s="1243"/>
      <c r="B348" s="3" t="s">
        <v>1152</v>
      </c>
      <c r="C348" s="1003" t="s">
        <v>1151</v>
      </c>
      <c r="D348" s="634"/>
      <c r="E348" s="634"/>
      <c r="F348" s="634"/>
      <c r="G348" s="634"/>
      <c r="H348" s="634"/>
      <c r="I348" s="634"/>
      <c r="J348" s="657"/>
      <c r="K348" s="666"/>
      <c r="L348" s="634"/>
      <c r="M348" s="635"/>
      <c r="N348" s="634"/>
      <c r="O348" s="635"/>
      <c r="P348" s="634"/>
      <c r="Q348" s="635"/>
      <c r="R348" s="634"/>
      <c r="S348" s="635"/>
      <c r="T348" s="634"/>
      <c r="U348" s="635"/>
      <c r="V348" s="634"/>
      <c r="W348" s="635"/>
      <c r="X348" s="634"/>
      <c r="Y348" s="635"/>
      <c r="Z348" s="634"/>
      <c r="AA348" s="667">
        <f t="shared" si="77"/>
        <v>0</v>
      </c>
      <c r="AB348" s="660"/>
      <c r="AC348" s="630"/>
      <c r="AD348" s="629"/>
      <c r="AE348" s="630"/>
      <c r="AF348" s="629"/>
      <c r="AG348" s="630"/>
      <c r="AH348" s="631"/>
      <c r="AI348" s="628"/>
      <c r="AJ348" s="571">
        <f>SUM(D348:AA348)</f>
        <v>0</v>
      </c>
      <c r="AK348" s="555" t="str">
        <f>CONCATENATE(IF(D348&gt;D323," * Retest Start HAART at PNC &gt; 6 weeks to 6 months for Age "&amp;D21&amp;" "&amp;D22&amp;" is more than  Retesting positive result at PNC &gt; 6 weeks to 6 months"&amp;CHAR(10),""),IF(E348&gt;E323," * Retest Start HAART at PNC &gt; 6 weeks to 6 months for Age "&amp;D21&amp;" "&amp;E22&amp;" is more than  Retesting positive result at PNC &gt; 6 weeks to 6 months"&amp;CHAR(10),""),IF(F348&gt;F323," * Retest Start HAART at PNC &gt; 6 weeks to 6 months for Age "&amp;F21&amp;" "&amp;F22&amp;" is more than  Retesting positive result at PNC &gt; 6 weeks to 6 months"&amp;CHAR(10),""),IF(G348&gt;G323," * Retest Start HAART at PNC &gt; 6 weeks to 6 months for Age "&amp;F21&amp;" "&amp;G22&amp;" is more than  Retesting positive result at PNC &gt; 6 weeks to 6 months"&amp;CHAR(10),""),IF(H348&gt;H323," * Retest Start HAART at PNC &gt; 6 weeks to 6 months for Age "&amp;H21&amp;" "&amp;H22&amp;" is more than  Retesting positive result at PNC &gt; 6 weeks to 6 months"&amp;CHAR(10),""),IF(I348&gt;I323," * Retest Start HAART at PNC &gt; 6 weeks to 6 months for Age "&amp;H21&amp;" "&amp;I22&amp;" is more than  Retesting positive result at PNC &gt; 6 weeks to 6 months"&amp;CHAR(10),""),IF(J348&gt;J323," * Retest Start HAART at PNC &gt; 6 weeks to 6 months for Age "&amp;J21&amp;" "&amp;J22&amp;" is more than  Retesting positive result at PNC &gt; 6 weeks to 6 months"&amp;CHAR(10),""),IF(K348&gt;K323," * Retest Start HAART at PNC &gt; 6 weeks to 6 months for Age "&amp;J21&amp;" "&amp;K22&amp;" is more than  Retesting positive result at PNC &gt; 6 weeks to 6 months"&amp;CHAR(10),""),IF(L348&gt;L323," * Retest Start HAART at PNC &gt; 6 weeks to 6 months for Age "&amp;L21&amp;" "&amp;L22&amp;" is more than  Retesting positive result at PNC &gt; 6 weeks to 6 months"&amp;CHAR(10),""),IF(M348&gt;M323," * Retest Start HAART at PNC &gt; 6 weeks to 6 months for Age "&amp;L21&amp;" "&amp;M22&amp;" is more than  Retesting positive result at PNC &gt; 6 weeks to 6 months"&amp;CHAR(10),""),IF(N348&gt;N323," * Retest Start HAART at PNC &gt; 6 weeks to 6 months for Age "&amp;N21&amp;" "&amp;N22&amp;" is more than  Retesting positive result at PNC &gt; 6 weeks to 6 months"&amp;CHAR(10),""),IF(O348&gt;O323," * Retest Start HAART at PNC &gt; 6 weeks to 6 months for Age "&amp;N21&amp;" "&amp;O22&amp;" is more than  Retesting positive result at PNC &gt; 6 weeks to 6 months"&amp;CHAR(10),""),IF(P348&gt;P323," * Retest Start HAART at PNC &gt; 6 weeks to 6 months for Age "&amp;P21&amp;" "&amp;P22&amp;" is more than  Retesting positive result at PNC &gt; 6 weeks to 6 months"&amp;CHAR(10),""),IF(Q348&gt;Q323," * Retest Start HAART at PNC &gt; 6 weeks to 6 months for Age "&amp;P21&amp;" "&amp;Q22&amp;" is more than  Retesting positive result at PNC &gt; 6 weeks to 6 months"&amp;CHAR(10),""),IF(R348&gt;R323," * Retest Start HAART at PNC &gt; 6 weeks to 6 months for Age "&amp;R21&amp;" "&amp;R22&amp;" is more than  Retesting positive result at PNC &gt; 6 weeks to 6 months"&amp;CHAR(10),""),IF(S348&gt;S323," * Retest Start HAART at PNC &gt; 6 weeks to 6 months for Age "&amp;R21&amp;" "&amp;S22&amp;" is more than  Retesting positive result at PNC &gt; 6 weeks to 6 months"&amp;CHAR(10),""),IF(T348&gt;T323," * Retest Start HAART at PNC &gt; 6 weeks to 6 months for Age "&amp;T21&amp;" "&amp;T22&amp;" is more than  Retesting positive result at PNC &gt; 6 weeks to 6 months"&amp;CHAR(10),""),IF(U348&gt;U323," * Retest Start HAART at PNC &gt; 6 weeks to 6 months for Age "&amp;T21&amp;" "&amp;U22&amp;" is more than  Retesting positive result at PNC &gt; 6 weeks to 6 months"&amp;CHAR(10),""),IF(V348&gt;V323," * Retest Start HAART at PNC &gt; 6 weeks to 6 months for Age "&amp;V21&amp;" "&amp;V22&amp;" is more than  Retesting positive result at PNC &gt; 6 weeks to 6 months"&amp;CHAR(10),""),IF(W348&gt;W323," * Retest Start HAART at PNC &gt; 6 weeks to 6 months for Age "&amp;V21&amp;" "&amp;W22&amp;" is more than  Retesting positive result at PNC &gt; 6 weeks to 6 months"&amp;CHAR(10),""),IF(X348&gt;X323," * Retest Start HAART at PNC &gt; 6 weeks to 6 months for Age "&amp;X21&amp;" "&amp;X22&amp;" is more than  Retesting positive result at PNC &gt; 6 weeks to 6 months"&amp;CHAR(10),""),IF(Y348&gt;Y323," * Retest Start HAART at PNC &gt; 6 weeks to 6 months for Age "&amp;X21&amp;" "&amp;Y22&amp;" is more than  Retesting positive result at PNC &gt; 6 weeks to 6 months"&amp;CHAR(10),""),IF(Z348&gt;Z323," * Retest Start HAART at PNC &gt; 6 weeks to 6 months for Age "&amp;Z21&amp;" "&amp;Z22&amp;" is more than  Retesting positive result at PNC &gt; 6 weeks to 6 months"&amp;CHAR(10),""),IF(AA348&gt;AA323," * Retest Start HAART at PNC &gt; 6 weeks to 6 months for Age "&amp;Z21&amp;" "&amp;AA22&amp;" is more than  Retesting positive result at PNC &gt; 6 weeks to 6 months"&amp;CHAR(10),""))</f>
        <v/>
      </c>
      <c r="AL348" s="1297"/>
      <c r="AM348" s="60"/>
      <c r="AN348" s="1227"/>
      <c r="AO348" s="13">
        <v>239</v>
      </c>
      <c r="AP348" s="80"/>
      <c r="AQ348" s="75"/>
    </row>
    <row r="349" spans="1:43" ht="27" thickBot="1" x14ac:dyDescent="0.45">
      <c r="A349" s="866" t="s">
        <v>253</v>
      </c>
      <c r="B349" s="594" t="s">
        <v>253</v>
      </c>
      <c r="C349" s="609" t="s">
        <v>336</v>
      </c>
      <c r="D349" s="636"/>
      <c r="E349" s="637"/>
      <c r="F349" s="637"/>
      <c r="G349" s="637"/>
      <c r="H349" s="637"/>
      <c r="I349" s="637"/>
      <c r="J349" s="658"/>
      <c r="K349" s="668"/>
      <c r="L349" s="637"/>
      <c r="M349" s="638"/>
      <c r="N349" s="637"/>
      <c r="O349" s="638"/>
      <c r="P349" s="637"/>
      <c r="Q349" s="638"/>
      <c r="R349" s="637"/>
      <c r="S349" s="638"/>
      <c r="T349" s="637"/>
      <c r="U349" s="638"/>
      <c r="V349" s="637"/>
      <c r="W349" s="638"/>
      <c r="X349" s="637"/>
      <c r="Y349" s="638"/>
      <c r="Z349" s="637"/>
      <c r="AA349" s="639"/>
      <c r="AB349" s="644"/>
      <c r="AC349" s="645"/>
      <c r="AD349" s="645"/>
      <c r="AE349" s="645"/>
      <c r="AF349" s="645"/>
      <c r="AG349" s="645"/>
      <c r="AH349" s="646"/>
      <c r="AI349" s="628"/>
      <c r="AJ349" s="571">
        <f t="shared" si="78"/>
        <v>0</v>
      </c>
      <c r="AK349" s="116"/>
      <c r="AL349" s="1297"/>
      <c r="AM349" s="31"/>
      <c r="AN349" s="1227"/>
      <c r="AO349" s="13">
        <v>240</v>
      </c>
      <c r="AP349" s="74"/>
      <c r="AQ349" s="75"/>
    </row>
    <row r="350" spans="1:43" s="61" customFormat="1" ht="26.25" x14ac:dyDescent="0.4">
      <c r="A350" s="1187" t="s">
        <v>905</v>
      </c>
      <c r="B350" s="69" t="s">
        <v>643</v>
      </c>
      <c r="C350" s="608" t="s">
        <v>337</v>
      </c>
      <c r="D350" s="647"/>
      <c r="E350" s="621"/>
      <c r="F350" s="621"/>
      <c r="G350" s="621"/>
      <c r="H350" s="621"/>
      <c r="I350" s="621"/>
      <c r="J350" s="653"/>
      <c r="K350" s="642"/>
      <c r="L350" s="621"/>
      <c r="M350" s="580"/>
      <c r="N350" s="621"/>
      <c r="O350" s="580"/>
      <c r="P350" s="621"/>
      <c r="Q350" s="580"/>
      <c r="R350" s="621"/>
      <c r="S350" s="580"/>
      <c r="T350" s="621"/>
      <c r="U350" s="580"/>
      <c r="V350" s="621"/>
      <c r="W350" s="580"/>
      <c r="X350" s="621"/>
      <c r="Y350" s="580"/>
      <c r="Z350" s="621"/>
      <c r="AA350" s="648"/>
      <c r="AB350" s="661"/>
      <c r="AC350" s="621"/>
      <c r="AD350" s="621"/>
      <c r="AE350" s="621"/>
      <c r="AF350" s="621"/>
      <c r="AG350" s="621"/>
      <c r="AH350" s="648"/>
      <c r="AI350" s="628"/>
      <c r="AJ350" s="571">
        <f t="shared" si="78"/>
        <v>0</v>
      </c>
      <c r="AK350" s="116" t="str">
        <f>CONCATENATE(IF(D350&gt;SUM(D305,D309,D303,D311)," * Infant Prophylaxis ANC for Age "&amp;D20&amp;" "&amp;D21&amp;" is more than Positive at ANC (F06-02+F06-04+F06-06+F06-062)"&amp;CHAR(10),""),IF(E350&gt;SUM(E305,E309,E303,E311)," * Infant Prophylaxis ANC  for Age "&amp;D20&amp;" "&amp;E21&amp;" is more than Positive at ANC (F06-02+F06-04+F06-06+F06-062)"&amp;CHAR(10),""),IF(F350&gt;SUM(F305,F309,F303,F311)," * Infant Prophylaxis ANC  for Age "&amp;F20&amp;" "&amp;F21&amp;" is more than Positive at ANC (F06-02+F06-04+F06-06+F06-062)"&amp;CHAR(10),""),IF(G350&gt;SUM(G305,G309,G303,F311)," * Infant Prophylaxis ANC  for Age "&amp;F20&amp;" "&amp;G21&amp;" is more than Positive at ANC (F06-02+F06-04+F06-06+F06-062)"&amp;CHAR(10),""),IF(H350&gt;SUM(H305,H309,H303)," * Infant Prophylaxis ANC  for Age "&amp;H20&amp;" "&amp;H21&amp;" is more than Positive at ANC (F06-02+F06-04+F06-06+F06-062)"&amp;CHAR(10),""),IF(I350&gt;SUM(I305,I309,I303)," * Infant Prophylaxis ANC  for Age "&amp;H20&amp;" "&amp;I21&amp;" is more than Positive at ANC (F06-02+F06-04+F06-06+F06-062)"&amp;CHAR(10),""),IF(J350&gt;SUM(J305,J309,J303)," * Infant Prophylaxis ANC  for Age "&amp;J20&amp;" "&amp;J21&amp;" is more than Positive at ANC (F06-02+F06-04+F06-06+F06-062)"&amp;CHAR(10),""),IF(K350&gt;SUM(K305,K309,K303,K311)," * Infant Prophylaxis ANC  for Age "&amp;J20&amp;" "&amp;K21&amp;" is more than Positive at ANC (F06-02+F06-04+F06-06+F06-062)"&amp;CHAR(10),""),IF(L350&gt;SUM(L305,L309,L303,L311)," * Infant Prophylaxis ANC  for Age "&amp;L20&amp;" "&amp;L21&amp;" is more than Positive at ANC (F06-02+F06-04+F06-06+F06-062)"&amp;CHAR(10),""),IF(M350&gt;SUM(M305,M309,M303,M311)," * Infant Prophylaxis ANC  for Age "&amp;L20&amp;" "&amp;M21&amp;" is more than Positive at ANC (F06-02+F06-04+F06-06+F06-062)"&amp;CHAR(10),""),IF(N350&gt;SUM(N305,N309,N303,N311)," * Infant Prophylaxis ANC  for Age "&amp;N20&amp;" "&amp;N21&amp;" is more than Positive at ANC (F06-02+F06-04+F06-06+F06-062)"&amp;CHAR(10),""),IF(O350&gt;SUM(O305,O309,O303,O311)," * Infant Prophylaxis ANC  for Age "&amp;N20&amp;" "&amp;O21&amp;" is more than Positive at ANC (F06-02+F06-04+F06-06+F06-062)"&amp;CHAR(10),""),IF(P350&gt;SUM(P305,P309,P303,P311)," * Infant Prophylaxis ANC  for Age "&amp;P20&amp;" "&amp;P21&amp;" is more than Positive at ANC (F06-02+F06-04+F06-06+F06-062)"&amp;CHAR(10),""),IF(Q350&gt;SUM(Q305,Q309,Q303,Q311)," * Infant Prophylaxis ANC  for Age "&amp;P20&amp;" "&amp;Q21&amp;" is more than Positive at ANC (F06-02+F06-04+F06-06+F06-062)"&amp;CHAR(10),""),IF(R350&gt;SUM(R305,R309,R303,R311)," * Infant Prophylaxis ANC  for Age "&amp;R20&amp;" "&amp;R21&amp;" is more than Positive at ANC (F06-02+F06-04+F06-06+F06-062)"&amp;CHAR(10),""),IF(S350&gt;SUM(S305,S309,S303,S311)," * Infant Prophylaxis ANC  for Age "&amp;R20&amp;" "&amp;S21&amp;" is more than Positive at ANC (F06-02+F06-04+F06-06+F06-062)"&amp;CHAR(10),""),IF(T350&gt;SUM(T305,T309,T303,T311)," * Infant Prophylaxis ANC  for Age "&amp;T20&amp;" "&amp;T21&amp;" is more than Positive at ANC (F06-02+F06-04+F06-06+F06-062)"&amp;CHAR(10),""),IF(U350&gt;SUM(U305,U309,U303,U311)," * Infant Prophylaxis ANC  for Age "&amp;T20&amp;" "&amp;U21&amp;" is more than Positive at ANC (F06-02+F06-04+F06-06+F06-062)"&amp;CHAR(10),""),IF(V350&gt;SUM(V305,V309,V303,V311)," * Infant Prophylaxis ANC  for Age "&amp;V20&amp;" "&amp;V21&amp;" is more than Positive at ANC (F06-02+F06-04+F06-06+F06-062)"&amp;CHAR(10),""),IF(W350&gt;SUM(W305,W309,W303,W311)," * Infant Prophylaxis ANC  for Age "&amp;V20&amp;" "&amp;W21&amp;" is more than Positive at ANC (F06-02+F06-04+F06-06+F06-062)"&amp;CHAR(10),""),IF(X350&gt;SUM(X305,X309,X303,X311)," * Infant Prophylaxis ANC  for Age "&amp;X20&amp;" "&amp;X21&amp;" is more than Positive at ANC (F06-02+F06-04+F06-06+F06-062)"&amp;CHAR(10),""),IF(Y350&gt;SUM(Y305,Y309,Y303,Y311)," * Infant Prophylaxis ANC  for Age "&amp;X20&amp;" "&amp;Y21&amp;" is more than Positive at ANC (F06-02+F06-04+F06-06+F06-062)"&amp;CHAR(10),""),IF(Z350&gt;SUM(Z305,Z309,Z303,Z311)," * Infant Prophylaxis ANC  for Age "&amp;Z20&amp;" "&amp;Z21&amp;" is more than Positive at ANC (F06-02+F06-04+F06-06+F06-062)"&amp;CHAR(10),""),IF(AA350&gt;SUM(AA305,AA309,AA303,AA311)," * Infant Prophylaxis ANC  for Age "&amp;Z20&amp;" "&amp;AA21&amp;" is more than Positive at ANC (F06-02+F06-04+F06-06+F06-062)"&amp;CHAR(10),""))</f>
        <v/>
      </c>
      <c r="AL350" s="1297"/>
      <c r="AM350" s="60" t="str">
        <f>CONCATENATE(IF(D350&lt;SUM(D305,D303,D309,D311)," * Sum of (KP at 1st ANC +New positive at ANC1 + New positive at ANC2 or More+Retesting positive Result at ANC2 or More) for Age "&amp;D20&amp;" "&amp;D21&amp;" is greater than Infant Prophylaxis ANC"&amp;CHAR(10),""),IF(E350&lt;SUM(E305,E303,E309,E311)," * Sum of (KP at 1st ANC +New positive at ANC1 + New positive at ANC2 or More+Retesting positive Result at ANC2 or More) for Age "&amp;D20&amp;" "&amp;E21&amp;" is greater than Infant Prophylaxis ANC"&amp;CHAR(10),""),IF(F350&lt;SUM(F305,F303,F309,F311)," * Sum of (KP at 1st ANC +New positive at ANC1 + New positive at ANC2 or More+Retesting positive Result at ANC2 or More) for Age "&amp;F20&amp;" "&amp;F21&amp;" is greater than Infant Prophylaxis ANC"&amp;CHAR(10),""),IF(G350&lt;SUM(G305,G303,G309,G311)," * Sum of (KP at 1st ANC +New positive at ANC1 + New positive at ANC2 or More+Retesting positive Result at ANC2 or More) for Age "&amp;F20&amp;" "&amp;G21&amp;" is greater than Infant Prophylaxis ANC"&amp;CHAR(10),""),IF(H350&lt;SUM(H305,H303,H309,H311)," * Sum of (KP at 1st ANC +New positive at ANC1 + New positive at ANC2 or More+Retesting positive Result at ANC2 or More) for Age "&amp;H20&amp;" "&amp;H21&amp;" is greater than Infant Prophylaxis ANC"&amp;CHAR(10),""),IF(I350&lt;SUM(I305,I303,I309,I311)," * Sum of (KP at 1st ANC +New positive at ANC1 + New positive at ANC2 or More+Retesting positive Result at ANC2 or More) for Age "&amp;H20&amp;" "&amp;I21&amp;" is greater than Infant Prophylaxis ANC"&amp;CHAR(10),""),IF(J350&lt;SUM(J305,J303,J309,J311)," * Sum of (KP at 1st ANC +New positive at ANC1 + New positive at ANC2 or More+Retesting positive Result at ANC2 or More) for Age "&amp;J20&amp;" "&amp;J21&amp;" is greater than Infant Prophylaxis ANC"&amp;CHAR(10),""),IF(K350&lt;SUM(K305,K303,K309,K311)," * Sum of (KP at 1st ANC +New positive at ANC1 + New positive at ANC2 or More+Retesting positive Result at ANC2 or More) for Age "&amp;J20&amp;" "&amp;K21&amp;" is greater than Infant Prophylaxis ANC"&amp;CHAR(10),""),IF(L350&lt;SUM(L305,L303,L309,L311)," * Sum of (KP at 1st ANC +New positive at ANC1 + New positive at ANC2 or More+Retesting positive Result at ANC2 or More) for Age "&amp;L20&amp;" "&amp;L21&amp;" is greater than Infant Prophylaxis ANC"&amp;CHAR(10),""),IF(M350&lt;SUM(M305,M303,M309,M311)," * Sum of (KP at 1st ANC +New positive at ANC1 + New positive at ANC2 or More+Retesting positive Result at ANC2 or More) for Age "&amp;L20&amp;" "&amp;M21&amp;" is greater than Infant Prophylaxis ANC"&amp;CHAR(10),""),IF(N350&lt;SUM(N305,N303,N309,N311)," * Sum of (KP at 1st ANC +New positive at ANC1 + New positive at ANC2 or More+Retesting positive Result at ANC2 or More) for Age "&amp;N20&amp;" "&amp;N21&amp;" is greater than Infant Prophylaxis ANC"&amp;CHAR(10),""),IF(O350&lt;SUM(O305,O303,O309,O311)," * Sum of (KP at 1st ANC +New positive at ANC1 + New positive at ANC2 or More+Retesting positive Result at ANC2 or More) for Age "&amp;N20&amp;" "&amp;O21&amp;" is greater than Infant Prophylaxis ANC"&amp;CHAR(10),""),IF(P350&lt;SUM(P305,P303,P309,P311)," * Sum of (KP at 1st ANC +New positive at ANC1 + New positive at ANC2 or More+Retesting positive Result at ANC2 or More) for Age "&amp;P20&amp;" "&amp;P21&amp;" is greater than Infant Prophylaxis ANC"&amp;CHAR(10),""),IF(Q350&lt;SUM(Q305,Q303,Q309,Q311)," * Sum of (KP at 1st ANC +New positive at ANC1 + New positive at ANC2 or More+Retesting positive Result at ANC2 or More) for Age "&amp;P20&amp;" "&amp;Q21&amp;" is greater than Infant Prophylaxis ANC"&amp;CHAR(10),""),IF(R350&lt;SUM(R305,R303,R309,R311)," * Sum of (KP at 1st ANC +New positive at ANC1 + New positive at ANC2 or More+Retesting positive Result at ANC2 or More) for Age "&amp;R20&amp;" "&amp;R21&amp;" is greater than Infant Prophylaxis ANC"&amp;CHAR(10),""),IF(S350&lt;SUM(S305,S303,S309,S311)," * Sum of (KP at 1st ANC +New positive at ANC1 + New positive at ANC2 or More+Retesting positive Result at ANC2 or More) for Age "&amp;R20&amp;" "&amp;S21&amp;" is greater than Infant Prophylaxis ANC"&amp;CHAR(10),""),IF(T350&lt;SUM(T305,T303,T309&lt;T311)," * Sum of (KP at 1st ANC +New positive at ANC1 + New positive at ANC2 or More+Retesting positive Result at ANC2 or More) for Age "&amp;T20&amp;" "&amp;T21&amp;" is greater than Infant Prophylaxis ANC"&amp;CHAR(10),""),IF(U350&lt;SUM(U305,U303,U309,U311)," * Sum of (KP at 1st ANC +New positive at ANC1 + New positive at ANC2 or More+Retesting positive Result at ANC2 or More) for Age "&amp;T20&amp;" "&amp;U21&amp;" is greater than Infant Prophylaxis ANC"&amp;CHAR(10),""),IF(V350&lt;SUM(V305,V303,V309,V311)," * Sum of (KP at 1st ANC +New positive at ANC1 + New positive at ANC2 or More+Retesting positive Result at ANC2 or More) for Age "&amp;V20&amp;" "&amp;V21&amp;" is greater than Infant Prophylaxis ANC"&amp;CHAR(10),""),IF(W350&lt;SUM(W305,W303,W309,W311)," * Sum of (KP at 1st ANC +New positive at ANC1 + New positive at ANC2 or More+Retesting positive Result at ANC2 or More) for Age "&amp;V20&amp;" "&amp;W21&amp;" is greater than Infant Prophylaxis ANC"&amp;CHAR(10),""),IF(X350&lt;SUM(X305,X303,X309,X311)," * Sum of (KP at 1st ANC +New positive at ANC1 + New positive at ANC2 or More+Retesting positive Result at ANC2 or More) for Age "&amp;X20&amp;" "&amp;X21&amp;" is greater than Infant Prophylaxis ANC"&amp;CHAR(10),""),IF(Y350&lt;SUM(Y305,Y303,Y309,Y311)," * Sum of (KP at 1st ANC +New positive at ANC1 + New positive at ANC2 or More+Retesting positive Result at ANC2 or More) for Age "&amp;X20&amp;" "&amp;Y21&amp;" is greater than Infant Prophylaxis ANC"&amp;CHAR(10),""),IF(Z350&lt;SUM(Z305,Z303,Z309,Z311)," * Sum of (KP at 1st ANC +New positive at ANC1 + New positive at ANC2 or More+Retesting positive Result at ANC2 or More) for Age "&amp;Z20&amp;" "&amp;Z21&amp;" is greater than Infant Prophylaxis ANC"&amp;CHAR(10),""),IF(AA350&lt;SUM(AA305,AA303,AA309,AA311)," * Sum of (KP at 1st ANC +New positive at ANC1 + New positive at ANC2 or More+Retesting positive Result at ANC2 or More) for Age "&amp;Z20&amp;" "&amp;AA21&amp;" is greater than Infant Prophylaxis ANC"&amp;CHAR(10),""))</f>
        <v/>
      </c>
      <c r="AN350" s="1227"/>
      <c r="AO350" s="13">
        <v>241</v>
      </c>
      <c r="AP350" s="80"/>
      <c r="AQ350" s="75"/>
    </row>
    <row r="351" spans="1:43" ht="26.25" x14ac:dyDescent="0.4">
      <c r="A351" s="1188"/>
      <c r="B351" s="76" t="s">
        <v>644</v>
      </c>
      <c r="C351" s="537" t="s">
        <v>338</v>
      </c>
      <c r="D351" s="649"/>
      <c r="E351" s="612"/>
      <c r="F351" s="612"/>
      <c r="G351" s="612"/>
      <c r="H351" s="612"/>
      <c r="I351" s="612"/>
      <c r="J351" s="654"/>
      <c r="K351" s="652"/>
      <c r="L351" s="612"/>
      <c r="M351" s="613"/>
      <c r="N351" s="612"/>
      <c r="O351" s="613"/>
      <c r="P351" s="612"/>
      <c r="Q351" s="613"/>
      <c r="R351" s="612"/>
      <c r="S351" s="613"/>
      <c r="T351" s="612"/>
      <c r="U351" s="613"/>
      <c r="V351" s="612"/>
      <c r="W351" s="613"/>
      <c r="X351" s="612"/>
      <c r="Y351" s="613"/>
      <c r="Z351" s="612"/>
      <c r="AA351" s="650"/>
      <c r="AB351" s="628"/>
      <c r="AC351" s="612"/>
      <c r="AD351" s="612"/>
      <c r="AE351" s="612"/>
      <c r="AF351" s="612"/>
      <c r="AG351" s="612"/>
      <c r="AH351" s="650"/>
      <c r="AI351" s="628"/>
      <c r="AJ351" s="571">
        <f t="shared" si="78"/>
        <v>0</v>
      </c>
      <c r="AK351" s="116" t="str">
        <f>CONCATENATE(IF(D351&gt;(D313+D315)," * Infant Prophylaxis LD for Age "&amp;D20&amp;" "&amp;D21&amp;" is more than Initial LD Positive + Retest LD positive"&amp;CHAR(10),""),IF(E351&gt;(E313+E315)," * Infant Prophylaxis LD for Age "&amp;D20&amp;" "&amp;E21&amp;" is more than Initial LD Positive + Retest LD positive"&amp;CHAR(10),""),IF(F351&gt;(F313+F315)," * Infant Prophylaxis LD for Age "&amp;F20&amp;" "&amp;F21&amp;" is more than Initial LD Positive + Retest LD positive"&amp;CHAR(10),""),IF(G351&gt;(G313+G315)," * Infant Prophylaxis LD for Age "&amp;F20&amp;" "&amp;G21&amp;" is more than Initial LD Positive + Retest LD positive"&amp;CHAR(10),""),IF(H351&gt;(H313+H315)," * Infant Prophylaxis LD for Age "&amp;H20&amp;" "&amp;H21&amp;" is more than Initial LD Positive + Retest LD positive"&amp;CHAR(10),""),IF(I351&gt;(I313+I315)," * Infant Prophylaxis LD for Age "&amp;H20&amp;" "&amp;I21&amp;" is more than Initial LD Positive + Retest LD positive"&amp;CHAR(10),""),IF(J351&gt;(J313+J315)," * Infant Prophylaxis LD for Age "&amp;J20&amp;" "&amp;J21&amp;" is more than Initial LD Positive + Retest LD positive"&amp;CHAR(10),""),IF(K351&gt;(K313+K315)," * Infant Prophylaxis LD for Age "&amp;J20&amp;" "&amp;K21&amp;" is more than Initial LD Positive + Retest LD positive"&amp;CHAR(10),""),IF(L351&gt;(L313+L315)," * Infant Prophylaxis LD for Age "&amp;L20&amp;" "&amp;L21&amp;" is more than Initial LD Positive + Retest LD positive"&amp;CHAR(10),""),IF(M351&gt;(M313+M315)," * Infant Prophylaxis LD for Age "&amp;L20&amp;" "&amp;M21&amp;" is more than Initial LD Positive + Retest LD positive"&amp;CHAR(10),""),IF(N351&gt;(N313+N315)," * Infant Prophylaxis LD for Age "&amp;N20&amp;" "&amp;N21&amp;" is more than Initial LD Positive + Retest LD positive"&amp;CHAR(10),""),IF(O351&gt;(O313+O315)," * Infant Prophylaxis LD for Age "&amp;N20&amp;" "&amp;O21&amp;" is more than Initial LD Positive + Retest LD positive"&amp;CHAR(10),""),IF(P351&gt;(P313+P315)," * Infant Prophylaxis LD for Age "&amp;P20&amp;" "&amp;P21&amp;" is more than Initial LD Positive + Retest LD positive"&amp;CHAR(10),""),IF(Q351&gt;(Q313+Q315)," * Infant Prophylaxis LD for Age "&amp;P20&amp;" "&amp;Q21&amp;" is more than Initial LD Positive + Retest LD positive"&amp;CHAR(10),""),IF(R351&gt;(R313+R315)," * Infant Prophylaxis LD for Age "&amp;R20&amp;" "&amp;R21&amp;" is more than Initial LD Positive + Retest LD positive"&amp;CHAR(10),""),IF(S351&gt;(S313+S315)," * Infant Prophylaxis LD for Age "&amp;R20&amp;" "&amp;S21&amp;" is more than Initial LD Positive + Retest LD positive"&amp;CHAR(10),""),IF(T351&gt;(T313+T315)," * Infant Prophylaxis LD for Age "&amp;T20&amp;" "&amp;T21&amp;" is more than Initial LD Positive + Retest LD positive"&amp;CHAR(10),""),IF(U351&gt;(U313+U315)," * Infant Prophylaxis LD for Age "&amp;T20&amp;" "&amp;U21&amp;" is more than Initial LD Positive + Retest LD positive"&amp;CHAR(10),""),IF(V351&gt;(V313+V315)," * Infant Prophylaxis LD for Age "&amp;V20&amp;" "&amp;V21&amp;" is more than Initial LD Positive + Retest LD positive"&amp;CHAR(10),""),IF(W351&gt;(W313+W315)," * Infant Prophylaxis LD for Age "&amp;V20&amp;" "&amp;W21&amp;" is more than Initial LD Positive + Retest LD positive"&amp;CHAR(10),""),IF(X351&gt;X313," * Infant Prophylaxis LD for Age "&amp;X20&amp;" "&amp;X21&amp;" is more than Initial LD Positive + Retest LD positive"&amp;CHAR(10),""),IF(Y351&gt;(Y313+Y315)," * Infant Prophylaxis LD for Age "&amp;X20&amp;" "&amp;Y21&amp;" is more than Initial LD Positive + Retest LD positive"&amp;CHAR(10),""),IF(Z351&gt;(Z313+Z315)," * Infant Prophylaxis LD for Age "&amp;Z20&amp;" "&amp;Z21&amp;" is more than Initial LD Positive + Retest LD positive"&amp;CHAR(10),""),IF(AA351&gt;(AA313+AA315)," * Infant Prophylaxis LD for Age "&amp;Z20&amp;" "&amp;AA21&amp;" is more than Initial LD Positive + Retest LD positive"&amp;CHAR(10),""),IF(AJ351&gt;(AJ313+AJ315)," * Total Infant Prophylaxis LD is more than Total Initial LD Positive + Retest LD positive"&amp;CHAR(10),""))</f>
        <v/>
      </c>
      <c r="AL351" s="1297"/>
      <c r="AM351" s="31" t="str">
        <f>CONCATENATE(IF(D351&lt;(D313+D315)," * Infant Prophylaxis LD for Age "&amp;D20&amp;" "&amp;D21&amp;" is less than Initial LD Positive + Retest LD positive"&amp;CHAR(10),""),IF(E351&lt;(E313+E315)," * Infant Prophylaxis LD for Age "&amp;D20&amp;" "&amp;E21&amp;" is less than Initial LD Positive + Retest LD positive"&amp;CHAR(10),""),IF(F351&lt;(F313+F315)," * Infant Prophylaxis LD for Age "&amp;F20&amp;" "&amp;F21&amp;" is less than Initial LD Positive + Retest LD positive"&amp;CHAR(10),""),IF(G351&lt;(G313+G315)," * Infant Prophylaxis LD for Age "&amp;F20&amp;" "&amp;G21&amp;" is less than Initial LD Positive + Retest LD positive"&amp;CHAR(10),""),IF(H351&lt;(H313+H315)," * Infant Prophylaxis LD for Age "&amp;H20&amp;" "&amp;H21&amp;" is less than Initial LD Positive + Retest LD positive"&amp;CHAR(10),""),IF(I351&lt;(I313+I315)," * Infant Prophylaxis LD for Age "&amp;H20&amp;" "&amp;I21&amp;" is less than Initial LD Positive + Retest LD positive"&amp;CHAR(10),""),IF(J351&lt;(J313+J315)," * Infant Prophylaxis LD for Age "&amp;J20&amp;" "&amp;J21&amp;" is less than Initial LD Positive + Retest LD positive"&amp;CHAR(10),""),IF(K351&lt;(K313+K315)," * Infant Prophylaxis LD for Age "&amp;J20&amp;" "&amp;K21&amp;" is less than Initial LD Positive + Retest LD positive"&amp;CHAR(10),""),IF(L351&lt;(L313+L315)," * Infant Prophylaxis LD for Age "&amp;L20&amp;" "&amp;L21&amp;" is less than Initial LD Positive + Retest LD positive"&amp;CHAR(10),""),IF(M351&lt;(M313+M315)," * Infant Prophylaxis LD for Age "&amp;L20&amp;" "&amp;M21&amp;" is less than Initial LD Positive + Retest LD positive"&amp;CHAR(10),""),IF(N351&lt;(N313+N315)," * Infant Prophylaxis LD for Age "&amp;N20&amp;" "&amp;N21&amp;" is less than Initial LD Positive + Retest LD positive"&amp;CHAR(10),""),IF(O351&lt;(O313+O315)," * Infant Prophylaxis LD for Age "&amp;N20&amp;" "&amp;O21&amp;" is less than Initial LD Positive + Retest LD positive"&amp;CHAR(10),""),IF(P351&lt;(P313+P315)," * Infant Prophylaxis LD for Age "&amp;P20&amp;" "&amp;P21&amp;" is less than Initial LD Positive + Retest LD positive"&amp;CHAR(10),""),IF(Q351&lt;(Q313+Q315)," * Infant Prophylaxis LD for Age "&amp;P20&amp;" "&amp;Q21&amp;" is less than Initial LD Positive + Retest LD positive"&amp;CHAR(10),""),IF(R351&lt;(R313+R315)," * Infant Prophylaxis LD for Age "&amp;R20&amp;" "&amp;R21&amp;" is less than Initial LD Positive + Retest LD positive"&amp;CHAR(10),""),IF(S351&lt;(S313+S315)," * Infant Prophylaxis LD for Age "&amp;R20&amp;" "&amp;S21&amp;" is less than Initial LD Positive + Retest LD positive"&amp;CHAR(10),""),IF(T351&lt;(T313+T315)," * Infant Prophylaxis LD for Age "&amp;T20&amp;" "&amp;T21&amp;" is less than Initial LD Positive + Retest LD positive"&amp;CHAR(10),""),IF(U351&lt;(U313+U315)," * Infant Prophylaxis LD for Age "&amp;T20&amp;" "&amp;U21&amp;" is less than Initial LD Positive + Retest LD positive"&amp;CHAR(10),""),IF(V351&lt;(V313+V315)," * Infant Prophylaxis LD for Age "&amp;V20&amp;" "&amp;V21&amp;" is less than Initial LD Positive + Retest LD positive"&amp;CHAR(10),""),IF(W351&lt;(W313+W315)," * Infant Prophylaxis LD for Age "&amp;V20&amp;" "&amp;W21&amp;" is less than Initial LD Positive + Retest LD positive"&amp;CHAR(10),""),IF(X351&lt;X313," * Infant Prophylaxis LD for Age "&amp;X20&amp;" "&amp;X21&amp;" is less than Initial LD Positive + Retest LD positive"&amp;CHAR(10),""),IF(Y351&lt;(Y313+Y315)," * Infant Prophylaxis LD for Age "&amp;X20&amp;" "&amp;Y21&amp;" is less than Initial LD Positive + Retest LD positive"&amp;CHAR(10),""),IF(Z351&lt;(Z313+Z315)," * Infant Prophylaxis LD for Age "&amp;Z20&amp;" "&amp;Z21&amp;" is less than Initial LD Positive + Retest LD positive"&amp;CHAR(10),""),IF(AA351&lt;(AA313+AA315)," * Infant Prophylaxis LD for Age "&amp;Z20&amp;" "&amp;AA21&amp;" is less than Initial LD Positive + Retest LD positive"&amp;CHAR(10),""),IF(AJ351&lt;(AJ313+AJ315)," * Total Infant Prophylaxis LD is less than Total Initial LD Positive + Retest LD positive"&amp;CHAR(10),""))</f>
        <v/>
      </c>
      <c r="AN351" s="1227"/>
      <c r="AO351" s="13">
        <v>242</v>
      </c>
      <c r="AP351" s="74"/>
      <c r="AQ351" s="75"/>
    </row>
    <row r="352" spans="1:43" ht="27" thickBot="1" x14ac:dyDescent="0.45">
      <c r="A352" s="1229"/>
      <c r="B352" s="118" t="s">
        <v>645</v>
      </c>
      <c r="C352" s="557" t="s">
        <v>339</v>
      </c>
      <c r="D352" s="651"/>
      <c r="E352" s="624"/>
      <c r="F352" s="624"/>
      <c r="G352" s="624"/>
      <c r="H352" s="624"/>
      <c r="I352" s="624"/>
      <c r="J352" s="655"/>
      <c r="K352" s="643"/>
      <c r="L352" s="624"/>
      <c r="M352" s="629"/>
      <c r="N352" s="624"/>
      <c r="O352" s="629"/>
      <c r="P352" s="624"/>
      <c r="Q352" s="629"/>
      <c r="R352" s="624"/>
      <c r="S352" s="629"/>
      <c r="T352" s="624"/>
      <c r="U352" s="629"/>
      <c r="V352" s="624"/>
      <c r="W352" s="629"/>
      <c r="X352" s="624"/>
      <c r="Y352" s="629"/>
      <c r="Z352" s="624"/>
      <c r="AA352" s="632"/>
      <c r="AB352" s="633"/>
      <c r="AC352" s="624"/>
      <c r="AD352" s="624"/>
      <c r="AE352" s="624"/>
      <c r="AF352" s="624"/>
      <c r="AG352" s="624"/>
      <c r="AH352" s="632"/>
      <c r="AI352" s="628"/>
      <c r="AJ352" s="571">
        <f t="shared" si="78"/>
        <v>0</v>
      </c>
      <c r="AK352" s="122" t="str">
        <f>CONCATENATE(IF(D352&gt;D317+D319," * Infant Prophylaxis PNC &lt; 6 Weeks for Age "&amp;D20&amp;" "&amp;D21&amp;" is more than Positive PNC &lt;= 6 weeks"&amp;CHAR(10),""),IF(E352&gt;E317+E319," * Infant Prophylaxis PNC &lt; 6 Weeks for Age "&amp;D20&amp;" "&amp;E21&amp;" is more than Positive PNC &lt;= 6 weeks"&amp;CHAR(10),""),IF(F352&gt;F317+F319," * Infant Prophylaxis PNC &lt; 6 Weeks for Age "&amp;F20&amp;" "&amp;F21&amp;" is more than Positive PNC &lt;= 6 weeks"&amp;CHAR(10),""),IF(G352&gt;G317+G319," * Infant Prophylaxis PNC &lt; 6 Weeks for Age "&amp;F20&amp;" "&amp;G21&amp;" is more than Positive PNC &lt;= 6 weeks"&amp;CHAR(10),""),IF(H352&gt;H317+H319," * Infant Prophylaxis PNC &lt; 6 Weeks for Age "&amp;H20&amp;" "&amp;H21&amp;" is more than Positive PNC &lt;= 6 weeks"&amp;CHAR(10),""),IF(I352&gt;I317+I319," * Infant Prophylaxis PNC &lt; 6 Weeks for Age "&amp;H20&amp;" "&amp;I21&amp;" is more than Positive PNC &lt;= 6 weeks"&amp;CHAR(10),""),IF(J352&gt;J317+J319," * Infant Prophylaxis PNC &lt; 6 Weeks for Age "&amp;J20&amp;" "&amp;J21&amp;" is more than Positive PNC &lt;= 6 weeks"&amp;CHAR(10),""),IF(K352&gt;K317+K319," * Infant Prophylaxis PNC &lt; 6 Weeks for Age "&amp;J20&amp;" "&amp;K21&amp;" is more than Positive PNC &lt;= 6 weeks"&amp;CHAR(10),""),IF(L352&gt;L317+L319," * Infant Prophylaxis PNC &lt; 6 Weeks for Age "&amp;L20&amp;" "&amp;L21&amp;" is more than Positive PNC &lt;= 6 weeks"&amp;CHAR(10),""),IF(M352&gt;M317+M319," * Infant Prophylaxis PNC &lt; 6 Weeks for Age "&amp;L20&amp;" "&amp;M21&amp;" is more than Positive PNC &lt;= 6 weeks"&amp;CHAR(10),""),IF(N352&gt;N317+N319," * Infant Prophylaxis PNC &lt; 6 Weeks for Age "&amp;N20&amp;" "&amp;N21&amp;" is more than Positive PNC &lt;= 6 weeks"&amp;CHAR(10),""),IF(O352&gt;O317+O319," * Infant Prophylaxis PNC &lt; 6 Weeks for Age "&amp;N20&amp;" "&amp;O21&amp;" is more than Positive PNC &lt;= 6 weeks"&amp;CHAR(10),""),IF(P352&gt;P317+P319," * Infant Prophylaxis PNC &lt; 6 Weeks for Age "&amp;P20&amp;" "&amp;P21&amp;" is more than Positive PNC &lt;= 6 weeks"&amp;CHAR(10),""),IF(Q352&gt;Q317+Q319," * Infant Prophylaxis PNC &lt; 6 Weeks for Age "&amp;P20&amp;" "&amp;Q21&amp;" is more than Positive PNC &lt;= 6 weeks"&amp;CHAR(10),""),IF(R352&gt;R317+R319," * Infant Prophylaxis PNC &lt; 6 Weeks for Age "&amp;R20&amp;" "&amp;R21&amp;" is more than Positive PNC &lt;= 6 weeks"&amp;CHAR(10),""),IF(S352&gt;S317+S319+S319," * Infant Prophylaxis PNC &lt; 6 Weeks for Age "&amp;R20&amp;" "&amp;S21&amp;" is more than Positive PNC &lt;= 6 weeks"&amp;CHAR(10),""),IF(T352&gt;T317+T319," * Infant Prophylaxis PNC &lt; 6 Weeks for Age "&amp;T20&amp;" "&amp;T21&amp;" is more than Positive PNC &lt;= 6 weeks"&amp;CHAR(10),""),IF(U352&gt;U317+U319," * Infant Prophylaxis PNC &lt; 6 Weeks for Age "&amp;T20&amp;" "&amp;U21&amp;" is more than Positive PNC &lt;= 6 weeks"&amp;CHAR(10),""),IF(V352&gt;V317+V319," * Infant Prophylaxis PNC &lt; 6 Weeks for Age "&amp;V20&amp;" "&amp;V21&amp;" is more than Positive PNC &lt;= 6 weeks"&amp;CHAR(10),""),IF(W352&gt;W317+W319," * Infant Prophylaxis PNC &lt; 6 Weeks for Age "&amp;V20&amp;" "&amp;W21&amp;" is more than Positive PNC &lt;= 6 weeks"&amp;CHAR(10),""),IF(X352&gt;X317+X319," * Infant Prophylaxis PNC &lt; 6 Weeks for Age "&amp;X20&amp;" "&amp;X21&amp;" is more than Positive PNC &lt;= 6 weeks"&amp;CHAR(10),""),IF(Y352&gt;Y317+Y319," * Infant Prophylaxis PNC &lt; 6 Weeks for Age "&amp;X20&amp;" "&amp;Y21&amp;" is more than Positive PNC &lt;= 6 weeks"&amp;CHAR(10),""),IF(Z352&gt;Z317+Z319," * Infant Prophylaxis PNC &lt; 6 Weeks for Age "&amp;Z20&amp;" "&amp;Z21&amp;" is more than Positive PNC &lt;= 6 weeks"&amp;CHAR(10),""),IF(AA352&gt;AA317+AA319," * Infant Prophylaxis PNC &lt; 6 Weeks for Age "&amp;Z20&amp;" "&amp;AA21&amp;" is more than Positive PNC &lt;= 6 weeks"&amp;CHAR(10),""))</f>
        <v/>
      </c>
      <c r="AL352" s="1298"/>
      <c r="AM352" s="123" t="str">
        <f>CONCATENATE(IF(D352&lt;D317," * F06-20 for Age "&amp;D20&amp;" "&amp;D21&amp;" is less than F06-10"&amp;CHAR(10),""),IF(E352&lt;E317," * F06-20 for Age "&amp;D20&amp;" "&amp;E21&amp;" is less than F06-10"&amp;CHAR(10),""),IF(F352&lt;F317," * F06-20 for Age "&amp;F20&amp;" "&amp;F21&amp;" is less than F06-10"&amp;CHAR(10),""),IF(G352&lt;G317," * F06-20 for Age "&amp;F20&amp;" "&amp;G21&amp;" is less than F06-10"&amp;CHAR(10),""),IF(H352&lt;H317," * F06-20 for Age "&amp;H20&amp;" "&amp;H21&amp;" is less than F06-10"&amp;CHAR(10),""),IF(I352&lt;I317," * F06-20 for Age "&amp;H20&amp;" "&amp;I21&amp;" is less than F06-10"&amp;CHAR(10),""),IF(J352&lt;J317," * F06-20 for Age "&amp;J20&amp;" "&amp;J21&amp;" is less than F06-10"&amp;CHAR(10),""),IF(K352&lt;K317," * F06-20 for Age "&amp;J20&amp;" "&amp;K21&amp;" is less than F06-10"&amp;CHAR(10),""),IF(L352&lt;L317," * F06-20 for Age "&amp;L20&amp;" "&amp;L21&amp;" is less than F06-10"&amp;CHAR(10),""),IF(M352&lt;M317," * F06-20 for Age "&amp;L20&amp;" "&amp;M21&amp;" is less than F06-10"&amp;CHAR(10),""),IF(N352&lt;N317," * F06-20 for Age "&amp;N20&amp;" "&amp;N21&amp;" is less than F06-10"&amp;CHAR(10),""),IF(O352&lt;O317," * F06-20 for Age "&amp;N20&amp;" "&amp;O21&amp;" is less than F06-10"&amp;CHAR(10),""),IF(P352&lt;P317," * F06-20 for Age "&amp;P20&amp;" "&amp;P21&amp;" is less than F06-10"&amp;CHAR(10),""),IF(Q352&lt;Q317," * F06-20 for Age "&amp;P20&amp;" "&amp;Q21&amp;" is less than F06-10"&amp;CHAR(10),""),IF(R352&lt;R317," * F06-20 for Age "&amp;R20&amp;" "&amp;R21&amp;" is less than F06-10"&amp;CHAR(10),""),IF(S352&lt;S317," * F06-20 for Age "&amp;R20&amp;" "&amp;S21&amp;" is less than F06-10"&amp;CHAR(10),""),IF(T352&lt;T317," * F06-20 for Age "&amp;T20&amp;" "&amp;T21&amp;" is less than F06-10"&amp;CHAR(10),""),IF(U352&lt;U317," * F06-20 for Age "&amp;T20&amp;" "&amp;U21&amp;" is less than F06-10"&amp;CHAR(10),""),IF(V352&lt;V317," * F06-20 for Age "&amp;V20&amp;" "&amp;V21&amp;" is less than F06-10"&amp;CHAR(10),""),IF(W352&lt;W317," * F06-20 for Age "&amp;V20&amp;" "&amp;W21&amp;" is less than F06-10"&amp;CHAR(10),""),IF(X352&lt;X317," * F06-20 for Age "&amp;X20&amp;" "&amp;X21&amp;" is less than F06-10"&amp;CHAR(10),""),IF(Y352&lt;Y317," * F06-20 for Age "&amp;X20&amp;" "&amp;Y21&amp;" is less than F06-10"&amp;CHAR(10),""),IF(Z352&lt;Z317," * F06-20 for Age "&amp;Z20&amp;" "&amp;Z21&amp;" is less than F06-10"&amp;CHAR(10),""),IF(AA352&lt;AA317," * F06-20 for Age "&amp;Z20&amp;" "&amp;AA21&amp;" is less than F06-10"&amp;CHAR(10),""),IF(AJ352&lt;AJ317," * Total F06-20 is less than Total F06-10"&amp;CHAR(10),""))</f>
        <v/>
      </c>
      <c r="AN352" s="1228"/>
      <c r="AO352" s="13">
        <v>243</v>
      </c>
      <c r="AP352" s="74"/>
      <c r="AQ352" s="75"/>
    </row>
    <row r="353" spans="1:43" ht="27" thickBot="1" x14ac:dyDescent="0.45">
      <c r="A353" s="1249" t="s">
        <v>107</v>
      </c>
      <c r="B353" s="1250"/>
      <c r="C353" s="1250"/>
      <c r="D353" s="1251"/>
      <c r="E353" s="1251"/>
      <c r="F353" s="1251"/>
      <c r="G353" s="1251"/>
      <c r="H353" s="1251"/>
      <c r="I353" s="1251"/>
      <c r="J353" s="1251"/>
      <c r="K353" s="1251"/>
      <c r="L353" s="1251"/>
      <c r="M353" s="1251"/>
      <c r="N353" s="1251"/>
      <c r="O353" s="1251"/>
      <c r="P353" s="1251"/>
      <c r="Q353" s="1251"/>
      <c r="R353" s="1251"/>
      <c r="S353" s="1251"/>
      <c r="T353" s="1251"/>
      <c r="U353" s="1251"/>
      <c r="V353" s="1251"/>
      <c r="W353" s="1251"/>
      <c r="X353" s="1251"/>
      <c r="Y353" s="1251"/>
      <c r="Z353" s="1251"/>
      <c r="AA353" s="1251"/>
      <c r="AB353" s="1251"/>
      <c r="AC353" s="1251"/>
      <c r="AD353" s="1251"/>
      <c r="AE353" s="1251"/>
      <c r="AF353" s="1251"/>
      <c r="AG353" s="1251"/>
      <c r="AH353" s="1251"/>
      <c r="AI353" s="1251"/>
      <c r="AJ353" s="1251"/>
      <c r="AK353" s="1250"/>
      <c r="AL353" s="1250"/>
      <c r="AM353" s="1250"/>
      <c r="AN353" s="1252"/>
      <c r="AO353" s="13">
        <v>244</v>
      </c>
      <c r="AP353" s="74"/>
      <c r="AQ353" s="75"/>
    </row>
    <row r="354" spans="1:43" ht="26.25" customHeight="1" x14ac:dyDescent="0.4">
      <c r="A354" s="1214" t="s">
        <v>35</v>
      </c>
      <c r="B354" s="1200" t="s">
        <v>307</v>
      </c>
      <c r="C354" s="1192" t="s">
        <v>291</v>
      </c>
      <c r="D354" s="1195" t="s">
        <v>0</v>
      </c>
      <c r="E354" s="1195"/>
      <c r="F354" s="1195" t="s">
        <v>1</v>
      </c>
      <c r="G354" s="1195"/>
      <c r="H354" s="1195" t="s">
        <v>2</v>
      </c>
      <c r="I354" s="1195"/>
      <c r="J354" s="1195" t="s">
        <v>3</v>
      </c>
      <c r="K354" s="1195"/>
      <c r="L354" s="1195" t="s">
        <v>4</v>
      </c>
      <c r="M354" s="1195"/>
      <c r="N354" s="1195" t="s">
        <v>5</v>
      </c>
      <c r="O354" s="1195"/>
      <c r="P354" s="1195" t="s">
        <v>6</v>
      </c>
      <c r="Q354" s="1195"/>
      <c r="R354" s="1195" t="s">
        <v>7</v>
      </c>
      <c r="S354" s="1195"/>
      <c r="T354" s="1195" t="s">
        <v>8</v>
      </c>
      <c r="U354" s="1195"/>
      <c r="V354" s="1195" t="s">
        <v>23</v>
      </c>
      <c r="W354" s="1195"/>
      <c r="X354" s="1195" t="s">
        <v>24</v>
      </c>
      <c r="Y354" s="1195"/>
      <c r="Z354" s="1195" t="s">
        <v>9</v>
      </c>
      <c r="AA354" s="1195"/>
      <c r="AB354" s="1207" t="s">
        <v>912</v>
      </c>
      <c r="AC354" s="1218"/>
      <c r="AD354" s="1207" t="s">
        <v>913</v>
      </c>
      <c r="AE354" s="1218"/>
      <c r="AF354" s="1207" t="s">
        <v>1074</v>
      </c>
      <c r="AG354" s="1218"/>
      <c r="AH354" s="1207" t="s">
        <v>1075</v>
      </c>
      <c r="AI354" s="1218"/>
      <c r="AJ354" s="1216" t="s">
        <v>19</v>
      </c>
      <c r="AK354" s="1239" t="s">
        <v>340</v>
      </c>
      <c r="AL354" s="1241" t="s">
        <v>346</v>
      </c>
      <c r="AM354" s="1236" t="s">
        <v>347</v>
      </c>
      <c r="AN354" s="1253" t="s">
        <v>347</v>
      </c>
      <c r="AO354" s="13">
        <v>245</v>
      </c>
      <c r="AP354" s="74"/>
      <c r="AQ354" s="75"/>
    </row>
    <row r="355" spans="1:43" ht="27" customHeight="1" thickBot="1" x14ac:dyDescent="0.45">
      <c r="A355" s="1215"/>
      <c r="B355" s="1210"/>
      <c r="C355" s="1193"/>
      <c r="D355" s="269" t="s">
        <v>10</v>
      </c>
      <c r="E355" s="269" t="s">
        <v>11</v>
      </c>
      <c r="F355" s="269" t="s">
        <v>10</v>
      </c>
      <c r="G355" s="269" t="s">
        <v>11</v>
      </c>
      <c r="H355" s="269" t="s">
        <v>10</v>
      </c>
      <c r="I355" s="269" t="s">
        <v>11</v>
      </c>
      <c r="J355" s="269" t="s">
        <v>10</v>
      </c>
      <c r="K355" s="269" t="s">
        <v>11</v>
      </c>
      <c r="L355" s="269" t="s">
        <v>10</v>
      </c>
      <c r="M355" s="269" t="s">
        <v>11</v>
      </c>
      <c r="N355" s="269" t="s">
        <v>10</v>
      </c>
      <c r="O355" s="269" t="s">
        <v>11</v>
      </c>
      <c r="P355" s="269" t="s">
        <v>10</v>
      </c>
      <c r="Q355" s="269" t="s">
        <v>11</v>
      </c>
      <c r="R355" s="269" t="s">
        <v>10</v>
      </c>
      <c r="S355" s="269" t="s">
        <v>11</v>
      </c>
      <c r="T355" s="269" t="s">
        <v>10</v>
      </c>
      <c r="U355" s="269" t="s">
        <v>11</v>
      </c>
      <c r="V355" s="269" t="s">
        <v>10</v>
      </c>
      <c r="W355" s="269" t="s">
        <v>11</v>
      </c>
      <c r="X355" s="269" t="s">
        <v>10</v>
      </c>
      <c r="Y355" s="269" t="s">
        <v>11</v>
      </c>
      <c r="Z355" s="269" t="s">
        <v>10</v>
      </c>
      <c r="AA355" s="269" t="s">
        <v>11</v>
      </c>
      <c r="AB355" s="269" t="s">
        <v>10</v>
      </c>
      <c r="AC355" s="269" t="s">
        <v>11</v>
      </c>
      <c r="AD355" s="269" t="s">
        <v>10</v>
      </c>
      <c r="AE355" s="269" t="s">
        <v>11</v>
      </c>
      <c r="AF355" s="269" t="s">
        <v>10</v>
      </c>
      <c r="AG355" s="269" t="s">
        <v>11</v>
      </c>
      <c r="AH355" s="269" t="s">
        <v>10</v>
      </c>
      <c r="AI355" s="269" t="s">
        <v>11</v>
      </c>
      <c r="AJ355" s="1217"/>
      <c r="AK355" s="1240"/>
      <c r="AL355" s="1242"/>
      <c r="AM355" s="1237"/>
      <c r="AN355" s="1254"/>
      <c r="AO355" s="13">
        <v>246</v>
      </c>
      <c r="AP355" s="74"/>
      <c r="AQ355" s="75"/>
    </row>
    <row r="356" spans="1:43" s="221" customFormat="1" ht="27" thickBot="1" x14ac:dyDescent="0.45">
      <c r="A356" s="867" t="s">
        <v>261</v>
      </c>
      <c r="B356" s="216" t="s">
        <v>1224</v>
      </c>
      <c r="C356" s="544" t="s">
        <v>262</v>
      </c>
      <c r="D356" s="217">
        <f>SUM(D357:D362)</f>
        <v>0</v>
      </c>
      <c r="E356" s="218">
        <f>SUM(E357:E362)</f>
        <v>0</v>
      </c>
      <c r="F356" s="218">
        <f t="shared" ref="F356:AI356" si="79">SUM(F357:F362)</f>
        <v>0</v>
      </c>
      <c r="G356" s="218">
        <f t="shared" si="79"/>
        <v>0</v>
      </c>
      <c r="H356" s="218">
        <f t="shared" si="79"/>
        <v>0</v>
      </c>
      <c r="I356" s="218">
        <f t="shared" si="79"/>
        <v>0</v>
      </c>
      <c r="J356" s="218">
        <f t="shared" si="79"/>
        <v>0</v>
      </c>
      <c r="K356" s="218">
        <f t="shared" si="79"/>
        <v>0</v>
      </c>
      <c r="L356" s="218">
        <f t="shared" si="79"/>
        <v>0</v>
      </c>
      <c r="M356" s="218">
        <f t="shared" si="79"/>
        <v>0</v>
      </c>
      <c r="N356" s="218">
        <f t="shared" si="79"/>
        <v>0</v>
      </c>
      <c r="O356" s="218">
        <f t="shared" si="79"/>
        <v>0</v>
      </c>
      <c r="P356" s="218">
        <f t="shared" si="79"/>
        <v>0</v>
      </c>
      <c r="Q356" s="218">
        <f t="shared" si="79"/>
        <v>0</v>
      </c>
      <c r="R356" s="218">
        <f t="shared" si="79"/>
        <v>0</v>
      </c>
      <c r="S356" s="218">
        <f t="shared" si="79"/>
        <v>0</v>
      </c>
      <c r="T356" s="218">
        <f t="shared" si="79"/>
        <v>0</v>
      </c>
      <c r="U356" s="218">
        <f t="shared" si="79"/>
        <v>0</v>
      </c>
      <c r="V356" s="218">
        <f t="shared" si="79"/>
        <v>0</v>
      </c>
      <c r="W356" s="218">
        <f t="shared" si="79"/>
        <v>0</v>
      </c>
      <c r="X356" s="218">
        <f t="shared" si="79"/>
        <v>0</v>
      </c>
      <c r="Y356" s="218">
        <f t="shared" si="79"/>
        <v>0</v>
      </c>
      <c r="Z356" s="218">
        <f t="shared" si="79"/>
        <v>0</v>
      </c>
      <c r="AA356" s="218">
        <f t="shared" si="79"/>
        <v>0</v>
      </c>
      <c r="AB356" s="218">
        <f t="shared" si="79"/>
        <v>0</v>
      </c>
      <c r="AC356" s="218">
        <f t="shared" si="79"/>
        <v>0</v>
      </c>
      <c r="AD356" s="218">
        <f t="shared" si="79"/>
        <v>0</v>
      </c>
      <c r="AE356" s="218">
        <f t="shared" si="79"/>
        <v>0</v>
      </c>
      <c r="AF356" s="218">
        <f t="shared" si="79"/>
        <v>0</v>
      </c>
      <c r="AG356" s="218">
        <f t="shared" si="79"/>
        <v>0</v>
      </c>
      <c r="AH356" s="218">
        <f t="shared" si="79"/>
        <v>0</v>
      </c>
      <c r="AI356" s="218">
        <f t="shared" si="79"/>
        <v>0</v>
      </c>
      <c r="AJ356" s="378">
        <f>SUM(D356:AA356)</f>
        <v>0</v>
      </c>
      <c r="AK356" s="116" t="str">
        <f>CONCATENATE(IF(D356&gt;D371," * Starting ART for Age "&amp;D20&amp;" "&amp;D21&amp;" is more than Current On ART"&amp;CHAR(10),""),IF(E356&gt;E371," * Starting ART for Age "&amp;D20&amp;" "&amp;E21&amp;" is more than Current On ART"&amp;CHAR(10),""),IF(F356&gt;F371," * Starting ART for Age "&amp;F20&amp;" "&amp;F21&amp;" is more than Current On ART"&amp;CHAR(10),""),IF(G356&gt;G371," * Starting ART for Age "&amp;F20&amp;" "&amp;G21&amp;" is more than Current On ART"&amp;CHAR(10),""),IF(H356&gt;H371," * Starting ART for Age "&amp;H20&amp;" "&amp;H21&amp;" is more than Current On ART"&amp;CHAR(10),""),IF(I356&gt;I371," * Starting ART for Age "&amp;H20&amp;" "&amp;I21&amp;" is more than Current On ART"&amp;CHAR(10),""),IF(J356&gt;J371," * Starting ART for Age "&amp;J20&amp;" "&amp;J21&amp;" is more than Current On ART"&amp;CHAR(10),""),IF(K356&gt;K371," * Starting ART for Age "&amp;J20&amp;" "&amp;K21&amp;" is more than Current On ART"&amp;CHAR(10),""),IF(L356&gt;L371," * Starting ART for Age "&amp;L20&amp;" "&amp;L21&amp;" is more than Current On ART"&amp;CHAR(10),""),IF(M356&gt;M371," * Starting ART for Age "&amp;L20&amp;" "&amp;M21&amp;" is more than Current On ART"&amp;CHAR(10),""),IF(N356&gt;N371," * Starting ART for Age "&amp;N20&amp;" "&amp;N21&amp;" is more than Current On ART"&amp;CHAR(10),""),IF(O356&gt;O371," * Starting ART for Age "&amp;N20&amp;" "&amp;O21&amp;" is more than Current On ART"&amp;CHAR(10),""),IF(P356&gt;P371," * Starting ART for Age "&amp;P20&amp;" "&amp;P21&amp;" is more than Current On ART"&amp;CHAR(10),""),IF(Q356&gt;Q371," * Starting ART for Age "&amp;P20&amp;" "&amp;Q21&amp;" is more than Current On ART"&amp;CHAR(10),""),IF(R356&gt;R371," * Starting ART for Age "&amp;R20&amp;" "&amp;R21&amp;" is more than Current On ART"&amp;CHAR(10),""),IF(S356&gt;S371," * Starting ART for Age "&amp;R20&amp;" "&amp;S21&amp;" is more than Current On ART"&amp;CHAR(10),""),IF(T356&gt;T371," * Starting ART for Age "&amp;T20&amp;" "&amp;T21&amp;" is more than Current On ART"&amp;CHAR(10),""),IF(U356&gt;U371," * Starting ART for Age "&amp;T20&amp;" "&amp;U21&amp;" is more than Current On ART"&amp;CHAR(10),""),IF(V356&gt;V371," * Starting ART for Age "&amp;V20&amp;" "&amp;V21&amp;" is more than Current On ART"&amp;CHAR(10),""),IF(W356&gt;W371," * Starting ART for Age "&amp;V20&amp;" "&amp;W21&amp;" is more than Current On ART"&amp;CHAR(10),""),IF(X356&gt;X371," * Starting ART for Age "&amp;X20&amp;" "&amp;X21&amp;" is more than Current On ART"&amp;CHAR(10),""),IF(Y356&gt;Y371," * Starting ART for Age "&amp;X20&amp;" "&amp;Y21&amp;" is more than Current On ART"&amp;CHAR(10),""),IF(Z356&gt;Z371," * Starting ART for Age "&amp;Z20&amp;" "&amp;Z21&amp;" is more than Current On ART"&amp;CHAR(10),""),IF(AA356&gt;AA371," * Starting ART for Age "&amp;Z20&amp;" "&amp;AA21&amp;" is more than Current On ART"&amp;CHAR(10),""))</f>
        <v/>
      </c>
      <c r="AL356" s="1230" t="str">
        <f>CONCATENATE(AK356,AK357,AK358,AK359,AK360,AK361,AK362,AK363,AK370,AK371,AK372,AK373,AK374,AK375,AK376,AK377,AK378,AK380,AK379,AK381,AK382,AK383,AK384,AK385,AK364,AK365,AK366,AK367,AK399,AK400,AK401,AK368,AK369,AK386,AK387,AK371)</f>
        <v/>
      </c>
      <c r="AM356" s="31"/>
      <c r="AN356" s="1281" t="str">
        <f>CONCATENATE(AM356,AM357,AM358,AM359,AM360,AM361,AM362,AM363,AM370,AM371,AM372,AM373,AM374,AM375,AM376,AM377,AM378,AM379,AM380,AM381,AM382,AM383,AM384,AM385,AM368,AM367,AM366,AM365,AM364,AM369)</f>
        <v/>
      </c>
      <c r="AO356" s="13">
        <v>247</v>
      </c>
      <c r="AP356" s="219"/>
      <c r="AQ356" s="220"/>
    </row>
    <row r="357" spans="1:43" ht="26.25" x14ac:dyDescent="0.4">
      <c r="A357" s="1244" t="s">
        <v>524</v>
      </c>
      <c r="B357" s="1" t="s">
        <v>355</v>
      </c>
      <c r="C357" s="525" t="s">
        <v>518</v>
      </c>
      <c r="D357" s="859"/>
      <c r="E357" s="930"/>
      <c r="F357" s="930"/>
      <c r="G357" s="930"/>
      <c r="H357" s="930"/>
      <c r="I357" s="930"/>
      <c r="J357" s="930"/>
      <c r="K357" s="930"/>
      <c r="L357" s="94"/>
      <c r="M357" s="94"/>
      <c r="N357" s="94"/>
      <c r="O357" s="94"/>
      <c r="P357" s="94"/>
      <c r="Q357" s="94"/>
      <c r="R357" s="94"/>
      <c r="S357" s="94"/>
      <c r="T357" s="94"/>
      <c r="U357" s="94"/>
      <c r="V357" s="94"/>
      <c r="W357" s="94"/>
      <c r="X357" s="94"/>
      <c r="Y357" s="94"/>
      <c r="Z357" s="463">
        <f t="shared" ref="Z357:AA362" si="80">SUM(AB357,AD357,AF357,AH357)</f>
        <v>0</v>
      </c>
      <c r="AA357" s="463">
        <f t="shared" si="80"/>
        <v>0</v>
      </c>
      <c r="AB357" s="293"/>
      <c r="AC357" s="293"/>
      <c r="AD357" s="293"/>
      <c r="AE357" s="293"/>
      <c r="AF357" s="293"/>
      <c r="AG357" s="293"/>
      <c r="AH357" s="293"/>
      <c r="AI357" s="293"/>
      <c r="AJ357" s="559">
        <f t="shared" ref="AJ357:AJ362" si="81">SUM(D357:AA357)</f>
        <v>0</v>
      </c>
      <c r="AK357" s="116" t="str">
        <f>CONCATENATE(IF(D356&lt;SUM(D185,D201)," * Total Initiated on IPT and Other Forms of TPT for Age "&amp;D20&amp;" "&amp;D21&amp;" should not be more than those newly initiated in ART "&amp;CHAR(10),""),IF(E356&lt;SUM(E185,E201)," * Total Initiated on IPT and Other Forms of TPT for Age "&amp;D20&amp;" "&amp;E21&amp;" should not be more than those newly initiated in ART"&amp;CHAR(10),""),IF(F356&lt;SUM(F185,F201)," * Total Initiated on IPT and Other Forms of TPT for Age "&amp;F20&amp;" "&amp;F21&amp;" should not be more than those newly initiated in ART "&amp;CHAR(10),""),IF(G356&lt;SUM(G185,G201)," * Total Initiated on IPT and Other Forms of TPT for Age "&amp;F20&amp;" "&amp;G21&amp;" should not be more than those newly initiated in ART"&amp;CHAR(10),""),IF(H356&lt;SUM(H185,H201)," * Total Initiated on IPT and Other Forms of TPT for Age "&amp;H20&amp;" "&amp;H21&amp;" should not be more than those newly initiated in ART "&amp;CHAR(10),""),IF(I356&lt;SUM(I185,I201)," * Total Initiated on IPT and Other Forms of TPT for Age "&amp;H20&amp;" "&amp;I21&amp;" should not be more than those newly initiated in ART"&amp;CHAR(10),""),IF(J356&lt;SUM(J185,J201)," * Total Initiated on IPT and Other Forms of TPT for Age "&amp;J20&amp;" "&amp;J21&amp;" should not be more than those newly initiated in ART "&amp;CHAR(10),""),IF(K356&lt;SUM(K185,K201)," * Total Initiated on IPT and Other Forms of TPT for Age "&amp;J20&amp;" "&amp;K21&amp;" should not be more than those newly initiated in ART"&amp;CHAR(10),""),IF(L356&lt;SUM(L185,L201)," * Total Initiated on IPT and Other Forms of TPT for Age "&amp;L20&amp;" "&amp;L21&amp;" should not be more than those newly initiated in ART "&amp;CHAR(10),""),IF(M356&lt;SUM(M185,M201)," * Total Initiated on IPT and Other Forms of TPT for Age "&amp;L20&amp;" "&amp;M21&amp;" should not be more than those newly initiated in ART"&amp;CHAR(10),""),IF(N356&lt;SUM(N185,N201)," * Total Initiated on IPT and Other Forms of TPT for Age "&amp;N20&amp;" "&amp;N21&amp;" should not be more than those newly initiated in ART "&amp;CHAR(10),""),IF(O356&lt;SUM(O185,O201)," * Total Initiated on IPT and Other Forms of TPT for Age "&amp;N20&amp;" "&amp;O21&amp;" should not be more than those newly initiated in ART"&amp;CHAR(10),""),IF(P356&lt;SUM(P185,P201)," * Total Initiated on IPT and Other Forms of TPT for Age "&amp;P20&amp;" "&amp;P21&amp;" should not be more than those newly initiated in ART "&amp;CHAR(10),""),IF(Q356&lt;SUM(Q185,Q201)," * Total Initiated on IPT and Other Forms of TPT for Age "&amp;P20&amp;" "&amp;Q21&amp;" should not be more than those newly initiated in ART"&amp;CHAR(10),""),IF(R356&lt;SUM(R185,R201)," * Total Initiated on IPT and Other Forms of TPT for Age "&amp;R20&amp;" "&amp;R21&amp;" should not be more than those newly initiated in ART "&amp;CHAR(10),""),IF(S356&lt;SUM(S185,S201)," * Total Initiated on IPT and Other Forms of TPT for Age "&amp;R20&amp;" "&amp;S21&amp;" should not be more than those newly initiated in ART"&amp;CHAR(10),""),IF(T356&lt;SUM(T185,T201)," * Total Initiated on IPT and Other Forms of TPT for Age "&amp;T20&amp;" "&amp;T21&amp;" should not be more than those newly initiated in ART "&amp;CHAR(10),""),IF(U356&lt;SUM(U185,U201)," * Total Initiated on IPT and Other Forms of TPT for Age "&amp;T20&amp;" "&amp;U21&amp;" should not be more than those newly initiated in ART"&amp;CHAR(10),""),IF(V356&lt;SUM(V185,V201)," * Total Initiated on IPT and Other Forms of TPT for Age "&amp;V20&amp;" "&amp;V21&amp;" should not be more than those newly initiated in ART "&amp;CHAR(10),""),IF(W356&lt;SUM(W185,W201)," * Total Initiated on IPT and Other Forms of TPT for Age "&amp;V20&amp;" "&amp;W21&amp;" should not be more than those newly initiated in ART"&amp;CHAR(10),""),IF(X356&lt;SUM(X185,X201)," * Total Initiated on IPT and Other Forms of TPT for Age "&amp;X20&amp;" "&amp;X21&amp;" should not be more than those newly initiated in ART "&amp;CHAR(10),""),IF(Y356&lt;SUM(Y185,Y201)," * Total Initiated on IPT and Other Forms of TPT for Age "&amp;X20&amp;" "&amp;Y21&amp;" should not be more than those newly initiated in ART"&amp;CHAR(10),""),IF(Z356&lt;SUM(Z185,Z201)," * Total Initiated on IPT and Other Forms of TPT for Age "&amp;Z20&amp;" "&amp;Z21&amp;" should not be more than those newly initiated in ART "&amp;CHAR(10),""),IF(AA356&lt;SUM(AA185,AA201)," * Total Initiated on IPT and Other Forms of TPT for Age "&amp;Z20&amp;" "&amp;AA21&amp;" should not be more than those newly initiated in ART "&amp;CHAR(10),""))</f>
        <v/>
      </c>
      <c r="AL357" s="1181"/>
      <c r="AM357" s="31"/>
      <c r="AN357" s="1282"/>
      <c r="AO357" s="13">
        <v>248</v>
      </c>
      <c r="AP357" s="74"/>
      <c r="AQ357" s="75"/>
    </row>
    <row r="358" spans="1:43" ht="26.25" x14ac:dyDescent="0.4">
      <c r="A358" s="1275"/>
      <c r="B358" s="2" t="s">
        <v>350</v>
      </c>
      <c r="C358" s="537" t="s">
        <v>519</v>
      </c>
      <c r="D358" s="931"/>
      <c r="E358" s="931"/>
      <c r="F358" s="931"/>
      <c r="G358" s="931"/>
      <c r="H358" s="931"/>
      <c r="I358" s="931"/>
      <c r="J358" s="931"/>
      <c r="K358" s="931"/>
      <c r="L358" s="223"/>
      <c r="M358" s="79"/>
      <c r="N358" s="79"/>
      <c r="O358" s="79"/>
      <c r="P358" s="79"/>
      <c r="Q358" s="79"/>
      <c r="R358" s="79"/>
      <c r="S358" s="79"/>
      <c r="T358" s="79"/>
      <c r="U358" s="79"/>
      <c r="V358" s="79"/>
      <c r="W358" s="79"/>
      <c r="X358" s="79"/>
      <c r="Y358" s="79"/>
      <c r="Z358" s="463">
        <f t="shared" si="80"/>
        <v>0</v>
      </c>
      <c r="AA358" s="463">
        <f t="shared" si="80"/>
        <v>0</v>
      </c>
      <c r="AB358" s="290"/>
      <c r="AC358" s="290"/>
      <c r="AD358" s="290"/>
      <c r="AE358" s="290"/>
      <c r="AF358" s="290"/>
      <c r="AG358" s="290"/>
      <c r="AH358" s="290"/>
      <c r="AI358" s="290"/>
      <c r="AJ358" s="560">
        <f t="shared" si="81"/>
        <v>0</v>
      </c>
      <c r="AK358" s="116"/>
      <c r="AL358" s="1181"/>
      <c r="AM358" s="31"/>
      <c r="AN358" s="1282"/>
      <c r="AO358" s="13">
        <v>249</v>
      </c>
      <c r="AP358" s="74"/>
      <c r="AQ358" s="75"/>
    </row>
    <row r="359" spans="1:43" ht="26.25" x14ac:dyDescent="0.4">
      <c r="A359" s="1275"/>
      <c r="B359" s="2" t="s">
        <v>351</v>
      </c>
      <c r="C359" s="537" t="s">
        <v>520</v>
      </c>
      <c r="D359" s="931"/>
      <c r="E359" s="931"/>
      <c r="F359" s="931"/>
      <c r="G359" s="931"/>
      <c r="H359" s="931"/>
      <c r="I359" s="931"/>
      <c r="J359" s="931"/>
      <c r="K359" s="931"/>
      <c r="L359" s="223"/>
      <c r="M359" s="931"/>
      <c r="N359" s="79"/>
      <c r="O359" s="931"/>
      <c r="P359" s="79"/>
      <c r="Q359" s="931"/>
      <c r="R359" s="79"/>
      <c r="S359" s="931"/>
      <c r="T359" s="79"/>
      <c r="U359" s="931"/>
      <c r="V359" s="79"/>
      <c r="W359" s="931"/>
      <c r="X359" s="79"/>
      <c r="Y359" s="931"/>
      <c r="Z359" s="463">
        <f t="shared" si="80"/>
        <v>0</v>
      </c>
      <c r="AA359" s="463">
        <f t="shared" si="80"/>
        <v>0</v>
      </c>
      <c r="AB359" s="290"/>
      <c r="AC359" s="290"/>
      <c r="AD359" s="290"/>
      <c r="AE359" s="290"/>
      <c r="AF359" s="290"/>
      <c r="AG359" s="290"/>
      <c r="AH359" s="290"/>
      <c r="AI359" s="290"/>
      <c r="AJ359" s="560">
        <f t="shared" si="81"/>
        <v>0</v>
      </c>
      <c r="AK359" s="116"/>
      <c r="AL359" s="1181"/>
      <c r="AM359" s="31"/>
      <c r="AN359" s="1282"/>
      <c r="AO359" s="13">
        <v>250</v>
      </c>
      <c r="AP359" s="74"/>
      <c r="AQ359" s="75"/>
    </row>
    <row r="360" spans="1:43" ht="26.25" hidden="1" x14ac:dyDescent="0.4">
      <c r="A360" s="1275"/>
      <c r="B360" s="2" t="s">
        <v>352</v>
      </c>
      <c r="C360" s="537" t="s">
        <v>521</v>
      </c>
      <c r="D360" s="931"/>
      <c r="E360" s="931"/>
      <c r="F360" s="931"/>
      <c r="G360" s="931"/>
      <c r="H360" s="931"/>
      <c r="I360" s="931"/>
      <c r="J360" s="931"/>
      <c r="K360" s="931"/>
      <c r="L360" s="223"/>
      <c r="M360" s="79"/>
      <c r="N360" s="79"/>
      <c r="O360" s="79"/>
      <c r="P360" s="79"/>
      <c r="Q360" s="79"/>
      <c r="R360" s="79"/>
      <c r="S360" s="79"/>
      <c r="T360" s="79"/>
      <c r="U360" s="79"/>
      <c r="V360" s="79"/>
      <c r="W360" s="79"/>
      <c r="X360" s="79"/>
      <c r="Y360" s="79"/>
      <c r="Z360" s="463">
        <f t="shared" si="80"/>
        <v>0</v>
      </c>
      <c r="AA360" s="463">
        <f t="shared" si="80"/>
        <v>0</v>
      </c>
      <c r="AB360" s="290"/>
      <c r="AC360" s="290"/>
      <c r="AD360" s="290"/>
      <c r="AE360" s="290"/>
      <c r="AF360" s="290"/>
      <c r="AG360" s="290"/>
      <c r="AH360" s="290"/>
      <c r="AI360" s="290"/>
      <c r="AJ360" s="560">
        <f t="shared" si="81"/>
        <v>0</v>
      </c>
      <c r="AK360" s="116"/>
      <c r="AL360" s="1181"/>
      <c r="AM360" s="31"/>
      <c r="AN360" s="1282"/>
      <c r="AO360" s="13">
        <v>251</v>
      </c>
      <c r="AP360" s="74"/>
      <c r="AQ360" s="75"/>
    </row>
    <row r="361" spans="1:43" ht="26.25" x14ac:dyDescent="0.4">
      <c r="A361" s="1275"/>
      <c r="B361" s="2" t="s">
        <v>353</v>
      </c>
      <c r="C361" s="537" t="s">
        <v>522</v>
      </c>
      <c r="D361" s="931"/>
      <c r="E361" s="931"/>
      <c r="F361" s="931"/>
      <c r="G361" s="931"/>
      <c r="H361" s="931"/>
      <c r="I361" s="931"/>
      <c r="J361" s="931"/>
      <c r="K361" s="931"/>
      <c r="L361" s="931"/>
      <c r="M361" s="79"/>
      <c r="N361" s="931"/>
      <c r="O361" s="79"/>
      <c r="P361" s="931"/>
      <c r="Q361" s="79"/>
      <c r="R361" s="931"/>
      <c r="S361" s="79"/>
      <c r="T361" s="931"/>
      <c r="U361" s="79"/>
      <c r="V361" s="931"/>
      <c r="W361" s="79"/>
      <c r="X361" s="931"/>
      <c r="Y361" s="79"/>
      <c r="Z361" s="463">
        <f t="shared" si="80"/>
        <v>0</v>
      </c>
      <c r="AA361" s="463">
        <f t="shared" si="80"/>
        <v>0</v>
      </c>
      <c r="AB361" s="290"/>
      <c r="AC361" s="290"/>
      <c r="AD361" s="290"/>
      <c r="AE361" s="290"/>
      <c r="AF361" s="290"/>
      <c r="AG361" s="290"/>
      <c r="AH361" s="290"/>
      <c r="AI361" s="290"/>
      <c r="AJ361" s="560">
        <f t="shared" si="81"/>
        <v>0</v>
      </c>
      <c r="AK361" s="116"/>
      <c r="AL361" s="1181"/>
      <c r="AM361" s="31"/>
      <c r="AN361" s="1282"/>
      <c r="AO361" s="13">
        <v>252</v>
      </c>
      <c r="AP361" s="74"/>
      <c r="AQ361" s="75"/>
    </row>
    <row r="362" spans="1:43" ht="27" thickBot="1" x14ac:dyDescent="0.45">
      <c r="A362" s="1245"/>
      <c r="B362" s="3" t="s">
        <v>354</v>
      </c>
      <c r="C362" s="912" t="s">
        <v>523</v>
      </c>
      <c r="D362" s="931"/>
      <c r="E362" s="931"/>
      <c r="F362" s="931"/>
      <c r="G362" s="931"/>
      <c r="H362" s="931"/>
      <c r="I362" s="931"/>
      <c r="J362" s="931"/>
      <c r="K362" s="931"/>
      <c r="L362" s="139"/>
      <c r="M362" s="89"/>
      <c r="N362" s="89"/>
      <c r="O362" s="89"/>
      <c r="P362" s="89"/>
      <c r="Q362" s="89"/>
      <c r="R362" s="89"/>
      <c r="S362" s="89"/>
      <c r="T362" s="89"/>
      <c r="U362" s="89"/>
      <c r="V362" s="89"/>
      <c r="W362" s="89"/>
      <c r="X362" s="89"/>
      <c r="Y362" s="89"/>
      <c r="Z362" s="463">
        <f t="shared" si="80"/>
        <v>0</v>
      </c>
      <c r="AA362" s="463">
        <f t="shared" si="80"/>
        <v>0</v>
      </c>
      <c r="AB362" s="292"/>
      <c r="AC362" s="292"/>
      <c r="AD362" s="292"/>
      <c r="AE362" s="292"/>
      <c r="AF362" s="292"/>
      <c r="AG362" s="292"/>
      <c r="AH362" s="292"/>
      <c r="AI362" s="292"/>
      <c r="AJ362" s="561">
        <f t="shared" si="81"/>
        <v>0</v>
      </c>
      <c r="AK362" s="116"/>
      <c r="AL362" s="1181"/>
      <c r="AM362" s="31"/>
      <c r="AN362" s="1282"/>
      <c r="AO362" s="13">
        <v>253</v>
      </c>
      <c r="AP362" s="74"/>
      <c r="AQ362" s="75"/>
    </row>
    <row r="363" spans="1:43" ht="30.75" customHeight="1" thickBot="1" x14ac:dyDescent="0.45">
      <c r="A363" s="867" t="s">
        <v>525</v>
      </c>
      <c r="B363" s="224" t="s">
        <v>646</v>
      </c>
      <c r="C363" s="544" t="s">
        <v>263</v>
      </c>
      <c r="D363" s="479"/>
      <c r="E363" s="480"/>
      <c r="F363" s="480"/>
      <c r="G363" s="480"/>
      <c r="H363" s="480"/>
      <c r="I363" s="480"/>
      <c r="J363" s="480"/>
      <c r="K363" s="377"/>
      <c r="L363" s="214"/>
      <c r="M363" s="215"/>
      <c r="N363" s="214"/>
      <c r="O363" s="215"/>
      <c r="P363" s="214"/>
      <c r="Q363" s="215"/>
      <c r="R363" s="214"/>
      <c r="S363" s="215"/>
      <c r="T363" s="214"/>
      <c r="U363" s="215"/>
      <c r="V363" s="214"/>
      <c r="W363" s="215"/>
      <c r="X363" s="214"/>
      <c r="Y363" s="215"/>
      <c r="Z363" s="214"/>
      <c r="AA363" s="324"/>
      <c r="AB363" s="355"/>
      <c r="AC363" s="356"/>
      <c r="AD363" s="356"/>
      <c r="AE363" s="356"/>
      <c r="AF363" s="356"/>
      <c r="AG363" s="356"/>
      <c r="AH363" s="356"/>
      <c r="AI363" s="286"/>
      <c r="AJ363" s="460">
        <f t="shared" ref="AJ363:AJ401" si="82">SUM(D363:AA363)</f>
        <v>0</v>
      </c>
      <c r="AK363" s="280" t="str">
        <f>CONCATENATE(IF(D363&gt;D356," * F07-02 for Age "&amp;D20&amp;" "&amp;D21&amp;" is more than F07-01"&amp;CHAR(10),""),IF(E363&gt;E356," * F07-02 for Age "&amp;D20&amp;" "&amp;E21&amp;" is more than F07-01"&amp;CHAR(10),""),IF(F363&gt;F356," * F07-02 for Age "&amp;F20&amp;" "&amp;F21&amp;" is more than F07-01"&amp;CHAR(10),""),IF(G363&gt;G356," * F07-02 for Age "&amp;F20&amp;" "&amp;G21&amp;" is more than F07-01"&amp;CHAR(10),""),IF(H363&gt;H356," * F07-02 for Age "&amp;H20&amp;" "&amp;H21&amp;" is more than F07-01"&amp;CHAR(10),""),IF(I363&gt;I356," * F07-02 for Age "&amp;H20&amp;" "&amp;I21&amp;" is more than F07-01"&amp;CHAR(10),""),IF(J363&gt;J356," * F07-02 for Age "&amp;J20&amp;" "&amp;J21&amp;" is more than F07-01"&amp;CHAR(10),""),IF(K363&gt;K356," * F07-02 for Age "&amp;J20&amp;" "&amp;K21&amp;" is more than F07-01"&amp;CHAR(10),""),IF(L363&gt;L356," * F07-02 for Age "&amp;L20&amp;" "&amp;L21&amp;" is more than F07-01"&amp;CHAR(10),""),IF(M363&gt;M356," * F07-02 for Age "&amp;L20&amp;" "&amp;M21&amp;" is more than F07-01"&amp;CHAR(10),""),IF(N363&gt;N356," * F07-02 for Age "&amp;N20&amp;" "&amp;N21&amp;" is more than F07-01"&amp;CHAR(10),""),IF(O363&gt;O356," * F07-02 for Age "&amp;N20&amp;" "&amp;O21&amp;" is more than F07-01"&amp;CHAR(10),""),IF(P363&gt;P356," * F07-02 for Age "&amp;P20&amp;" "&amp;P21&amp;" is more than F07-01"&amp;CHAR(10),""),IF(Q363&gt;Q356," * F07-02 for Age "&amp;P20&amp;" "&amp;Q21&amp;" is more than F07-01"&amp;CHAR(10),""),IF(R363&gt;R356," * F07-02 for Age "&amp;R20&amp;" "&amp;R21&amp;" is more than F07-01"&amp;CHAR(10),""),IF(S363&gt;S356," * F07-02 for Age "&amp;R20&amp;" "&amp;S21&amp;" is more than F07-01"&amp;CHAR(10),""),IF(T363&gt;T356," * F07-02 for Age "&amp;T20&amp;" "&amp;T21&amp;" is more than F07-01"&amp;CHAR(10),""),IF(U363&gt;U356," * F07-02 for Age "&amp;T20&amp;" "&amp;U21&amp;" is more than F07-01"&amp;CHAR(10),""),IF(V363&gt;V356," * F07-02 for Age "&amp;V20&amp;" "&amp;V21&amp;" is more than F07-01"&amp;CHAR(10),""),IF(W363&gt;W356," * F07-02 for Age "&amp;V20&amp;" "&amp;W21&amp;" is more than F07-01"&amp;CHAR(10),""),IF(X363&gt;X356," * F07-02 for Age "&amp;X20&amp;" "&amp;X21&amp;" is more than F07-01"&amp;CHAR(10),""),IF(Y363&gt;Y356," * F07-02 for Age "&amp;X20&amp;" "&amp;Y21&amp;" is more than F07-01"&amp;CHAR(10),""),IF(Z363&gt;Z356," * F07-02 for Age "&amp;Z20&amp;" "&amp;Z21&amp;" is more than F07-01"&amp;CHAR(10),""),IF(AA363&gt;AA356," * F07-02 for Age "&amp;Z20&amp;" "&amp;AA21&amp;" is more than F07-01"&amp;CHAR(10),""),IF(AJ363&gt;AJ356," * Total F07-02 is more than Total F07-01"&amp;CHAR(10),""))</f>
        <v/>
      </c>
      <c r="AL363" s="1181"/>
      <c r="AM363" s="60" t="str">
        <f>CONCATENATE(IF(AND(AJ356&gt;0,OR(SUM(AJ28,AJ36,AJ38,AJ40,AJ42,AJ44,AJ46,AJ48,AJ50,AJ52,AJ305,AJ309,AJ313,AJ317)=0,SUM(AJ27,AJ35,AJ37,AJ39,AJ41,AJ43,AJ45,AJ47,AJ49,AJ51,AJ304,AJ308,AJ312,AJ316)=0))," * This site started patients on ART yet it has 0 positives or zero tested "&amp;CHAR(10),""),"")</f>
        <v/>
      </c>
      <c r="AN363" s="1282"/>
      <c r="AO363" s="13">
        <v>254</v>
      </c>
      <c r="AP363" s="74"/>
      <c r="AQ363" s="75"/>
    </row>
    <row r="364" spans="1:43" ht="27" thickBot="1" x14ac:dyDescent="0.45">
      <c r="A364" s="1223" t="s">
        <v>1268</v>
      </c>
      <c r="B364" s="441" t="s">
        <v>1266</v>
      </c>
      <c r="C364" s="528" t="s">
        <v>877</v>
      </c>
      <c r="D364" s="218">
        <f t="shared" ref="D364:AI364" si="83">SUM(D365:D367)</f>
        <v>0</v>
      </c>
      <c r="E364" s="218">
        <f t="shared" si="83"/>
        <v>0</v>
      </c>
      <c r="F364" s="218">
        <f t="shared" si="83"/>
        <v>0</v>
      </c>
      <c r="G364" s="218">
        <f t="shared" si="83"/>
        <v>0</v>
      </c>
      <c r="H364" s="218">
        <f t="shared" si="83"/>
        <v>0</v>
      </c>
      <c r="I364" s="218">
        <f t="shared" si="83"/>
        <v>0</v>
      </c>
      <c r="J364" s="218">
        <f t="shared" si="83"/>
        <v>0</v>
      </c>
      <c r="K364" s="218">
        <f t="shared" si="83"/>
        <v>0</v>
      </c>
      <c r="L364" s="218">
        <f t="shared" si="83"/>
        <v>0</v>
      </c>
      <c r="M364" s="218">
        <f t="shared" si="83"/>
        <v>0</v>
      </c>
      <c r="N364" s="218">
        <f t="shared" si="83"/>
        <v>0</v>
      </c>
      <c r="O364" s="218">
        <f t="shared" si="83"/>
        <v>0</v>
      </c>
      <c r="P364" s="218">
        <f t="shared" si="83"/>
        <v>0</v>
      </c>
      <c r="Q364" s="218">
        <f t="shared" si="83"/>
        <v>0</v>
      </c>
      <c r="R364" s="218">
        <f t="shared" si="83"/>
        <v>0</v>
      </c>
      <c r="S364" s="218">
        <f t="shared" si="83"/>
        <v>0</v>
      </c>
      <c r="T364" s="218">
        <f t="shared" si="83"/>
        <v>0</v>
      </c>
      <c r="U364" s="218">
        <f t="shared" si="83"/>
        <v>0</v>
      </c>
      <c r="V364" s="218">
        <f t="shared" si="83"/>
        <v>0</v>
      </c>
      <c r="W364" s="218">
        <f t="shared" si="83"/>
        <v>0</v>
      </c>
      <c r="X364" s="218">
        <f t="shared" si="83"/>
        <v>0</v>
      </c>
      <c r="Y364" s="218">
        <f t="shared" si="83"/>
        <v>0</v>
      </c>
      <c r="Z364" s="463">
        <f>SUM(AB364,AD364,AF364,AH364)</f>
        <v>0</v>
      </c>
      <c r="AA364" s="463">
        <f>SUM(AC364,AE364,AG364,AI364)</f>
        <v>0</v>
      </c>
      <c r="AB364" s="218">
        <f t="shared" si="83"/>
        <v>0</v>
      </c>
      <c r="AC364" s="218">
        <f t="shared" si="83"/>
        <v>0</v>
      </c>
      <c r="AD364" s="218">
        <f t="shared" si="83"/>
        <v>0</v>
      </c>
      <c r="AE364" s="218">
        <f t="shared" si="83"/>
        <v>0</v>
      </c>
      <c r="AF364" s="218">
        <f t="shared" si="83"/>
        <v>0</v>
      </c>
      <c r="AG364" s="218">
        <f t="shared" si="83"/>
        <v>0</v>
      </c>
      <c r="AH364" s="218">
        <f t="shared" si="83"/>
        <v>0</v>
      </c>
      <c r="AI364" s="218">
        <f t="shared" si="83"/>
        <v>0</v>
      </c>
      <c r="AJ364" s="560">
        <f t="shared" ref="AJ364:AJ370" si="84">SUM(D364:AA364)</f>
        <v>0</v>
      </c>
      <c r="AK364" s="822" t="str">
        <f>CONCATENATE(IF(D364&lt;&gt;D356," * starting ART disaggregation by CD4 For age "&amp;$D$20&amp;" "&amp;$D$21&amp;" should be equal to Total Patients starting ART"&amp;CHAR(10),""),IF(E364&lt;&gt;E356," * starting ART disaggregation by CD4 For age "&amp;$D$20&amp;" "&amp;$E$21&amp;" should be equal to Total Patients starting ART"&amp;CHAR(10),""),IF(F364&lt;&gt;F356," * starting ART disaggregation by CD4 For age "&amp;$F$20&amp;" "&amp;$F$21&amp;" should be equal to Total Patients starting ART"&amp;CHAR(10),""),IF(G364&lt;&gt;G356," * starting ART disaggregation by CD4 For age "&amp;$F$20&amp;" "&amp;$G$21&amp;" should be equal to Total Patients starting ART"&amp;CHAR(10),""),IF(H364&lt;&gt;H356," * starting ART disaggregation by CD4 For age "&amp;$H$20&amp;" "&amp;$H$21&amp;" should be equal to Total Patients starting ART"&amp;CHAR(10),""),IF(I364&lt;&gt;I356," * starting ART disaggregation by CD4 For age "&amp;$H$20&amp;" "&amp;$I$21&amp;" should be equal to Total Patients starting ART"&amp;CHAR(10),""),IF(J364&lt;&gt;J356," * starting ART disaggregation by CD4 For age "&amp;$J$20&amp;" "&amp;$J$21&amp;" should be equal to Total Patients starting ART"&amp;CHAR(10),""),IF(K364&lt;&gt;K356," * starting ART disaggregation by CD4 For age "&amp;$J$20&amp;" "&amp;$K$21&amp;" should be equal to Total Patients starting ART"&amp;CHAR(10),""),IF(L364&lt;&gt;L356," * starting ART disaggregation by CD4 For age "&amp;$L$20&amp;" "&amp;$L$21&amp;" should be equal to Total Patients starting ART"&amp;CHAR(10),""),IF(M364&lt;&gt;M356," * starting ART disaggregation by CD4 For age "&amp;$L$20&amp;" "&amp;$M$21&amp;" should be equal to Total Patients starting ART"&amp;CHAR(10),""),IF(N364&lt;&gt;N356," * starting ART disaggregation by CD4 For age "&amp;$N$20&amp;" "&amp;$N$21&amp;" should be equal to Total Patients starting ART"&amp;CHAR(10),""),IF(O364&lt;&gt;O356," * starting ART disaggregation by CD4 For age "&amp;$N$20&amp;" "&amp;$O$21&amp;" should be equal to Total Patients starting ART"&amp;CHAR(10),""),IF(P364&lt;&gt;P356," * starting ART disaggregation by CD4 For age "&amp;$P$20&amp;" "&amp;$P$21&amp;" should be equal to Total Patients starting ART"&amp;CHAR(10),""),IF(Q364&lt;&gt;Q356," * starting ART disaggregation by CD4 For age "&amp;$P$20&amp;" "&amp;$Q$21&amp;" should be equal to Total Patients starting ART"&amp;CHAR(10),""),IF(R364&lt;&gt;R356," * starting ART disaggregation by CD4 For age "&amp;$R$20&amp;" "&amp;$R$21&amp;" should be equal to Total Patients starting ART"&amp;CHAR(10),""),IF(S364&lt;&gt;S356," * starting ART disaggregation by CD4 For age "&amp;$R$20&amp;" "&amp;$S$21&amp;" should be equal to Total Patients starting ART"&amp;CHAR(10),""),IF(T364&lt;&gt;T356," * starting ART disaggregation by CD4 For age "&amp;$T$20&amp;" "&amp;$T$21&amp;" should be equal to Total Patients starting ART"&amp;CHAR(10),""),IF(U364&lt;&gt;U356," * starting ART disaggregation by CD4 For age "&amp;$T$20&amp;" "&amp;$U$21&amp;" should be equal to Total Patients starting ART"&amp;CHAR(10),""),IF(V364&lt;&gt;V356," * starting ART disaggregation by CD4 For age "&amp;$V$20&amp;" "&amp;$V$21&amp;" should be equal to Total Patients starting ART"&amp;CHAR(10),""),IF(W364&lt;&gt;W356," * starting ART disaggregation by CD4 For age "&amp;$V$20&amp;" "&amp;$W$21&amp;" should be equal to Total Patients starting ART"&amp;CHAR(10),""),IF(X364&lt;&gt;X356," * starting ART disaggregation by CD4 For age "&amp;$X$20&amp;" "&amp;$X$21&amp;" should be equal to Total Patients starting ART"&amp;CHAR(10),""),IF(Y364&lt;&gt;Y356," * starting ART disaggregation by CD4 For age "&amp;$X$20&amp;" "&amp;$Y$21&amp;" should be equal to Total Patients starting ART"&amp;CHAR(10),""),IF(Z364&lt;&gt;Z356," * starting ART disaggregation by CD4 For age "&amp;$Z$20&amp;" "&amp;$Z$21&amp;" should be equal to Total Patients starting ART"&amp;CHAR(10),""),IF(AA364&lt;&gt;AA356," * starting ART disaggregation by CD4 For age "&amp;$Z$20&amp;" "&amp;$AA$21&amp;" should be equal to Total Patients starting ART"&amp;CHAR(10),""))</f>
        <v/>
      </c>
      <c r="AL364" s="1181"/>
      <c r="AM364" s="60"/>
      <c r="AN364" s="1282"/>
      <c r="AO364" s="13">
        <v>255</v>
      </c>
      <c r="AP364" s="74"/>
      <c r="AQ364" s="75"/>
    </row>
    <row r="365" spans="1:43" ht="26.25" x14ac:dyDescent="0.4">
      <c r="A365" s="1224"/>
      <c r="B365" s="2" t="s">
        <v>1218</v>
      </c>
      <c r="C365" s="537" t="s">
        <v>1220</v>
      </c>
      <c r="D365" s="77"/>
      <c r="E365" s="77"/>
      <c r="F365" s="77"/>
      <c r="G365" s="77"/>
      <c r="H365" s="223"/>
      <c r="I365" s="895"/>
      <c r="J365" s="79"/>
      <c r="K365" s="79"/>
      <c r="L365" s="79"/>
      <c r="M365" s="79"/>
      <c r="N365" s="79"/>
      <c r="O365" s="79"/>
      <c r="P365" s="79"/>
      <c r="Q365" s="79"/>
      <c r="R365" s="79"/>
      <c r="S365" s="79"/>
      <c r="T365" s="79"/>
      <c r="U365" s="79"/>
      <c r="V365" s="79"/>
      <c r="W365" s="79"/>
      <c r="X365" s="79"/>
      <c r="Y365" s="79"/>
      <c r="Z365" s="463">
        <f t="shared" ref="Z365:AA371" si="85">SUM(AB365,AD365,AF365,AH365)</f>
        <v>0</v>
      </c>
      <c r="AA365" s="463">
        <f>SUM(AC365,AE365,AG365,AI365)</f>
        <v>0</v>
      </c>
      <c r="AB365" s="290"/>
      <c r="AC365" s="290"/>
      <c r="AD365" s="290"/>
      <c r="AE365" s="290"/>
      <c r="AF365" s="290"/>
      <c r="AG365" s="290"/>
      <c r="AH365" s="290"/>
      <c r="AI365" s="290"/>
      <c r="AJ365" s="560">
        <f t="shared" si="84"/>
        <v>0</v>
      </c>
      <c r="AK365" s="811"/>
      <c r="AL365" s="1181"/>
      <c r="AM365" s="60"/>
      <c r="AN365" s="1282"/>
      <c r="AO365" s="13"/>
      <c r="AP365" s="74"/>
      <c r="AQ365" s="75"/>
    </row>
    <row r="366" spans="1:43" ht="26.25" x14ac:dyDescent="0.4">
      <c r="A366" s="1224"/>
      <c r="B366" s="2" t="s">
        <v>1223</v>
      </c>
      <c r="C366" s="729" t="s">
        <v>1221</v>
      </c>
      <c r="D366" s="77"/>
      <c r="E366" s="77"/>
      <c r="F366" s="77"/>
      <c r="G366" s="77"/>
      <c r="H366" s="223"/>
      <c r="I366" s="79"/>
      <c r="J366" s="79"/>
      <c r="K366" s="79"/>
      <c r="L366" s="79"/>
      <c r="M366" s="79"/>
      <c r="N366" s="79"/>
      <c r="O366" s="79"/>
      <c r="P366" s="79"/>
      <c r="Q366" s="79"/>
      <c r="R366" s="79"/>
      <c r="S366" s="79"/>
      <c r="T366" s="79"/>
      <c r="U366" s="79"/>
      <c r="V366" s="79"/>
      <c r="W366" s="79"/>
      <c r="X366" s="79"/>
      <c r="Y366" s="79"/>
      <c r="Z366" s="463">
        <f t="shared" si="85"/>
        <v>0</v>
      </c>
      <c r="AA366" s="463">
        <f t="shared" si="85"/>
        <v>0</v>
      </c>
      <c r="AB366" s="290"/>
      <c r="AC366" s="290"/>
      <c r="AD366" s="290"/>
      <c r="AE366" s="290"/>
      <c r="AF366" s="290"/>
      <c r="AG366" s="290"/>
      <c r="AH366" s="290"/>
      <c r="AI366" s="290"/>
      <c r="AJ366" s="560">
        <f t="shared" si="84"/>
        <v>0</v>
      </c>
      <c r="AK366" s="811"/>
      <c r="AL366" s="1181"/>
      <c r="AM366" s="60"/>
      <c r="AN366" s="1282"/>
      <c r="AO366" s="13"/>
      <c r="AP366" s="74"/>
      <c r="AQ366" s="75"/>
    </row>
    <row r="367" spans="1:43" ht="33" customHeight="1" thickBot="1" x14ac:dyDescent="0.45">
      <c r="A367" s="1225"/>
      <c r="B367" s="2" t="s">
        <v>1219</v>
      </c>
      <c r="C367" s="912" t="s">
        <v>1222</v>
      </c>
      <c r="D367" s="139"/>
      <c r="E367" s="139"/>
      <c r="F367" s="139"/>
      <c r="G367" s="139"/>
      <c r="H367" s="139"/>
      <c r="I367" s="89"/>
      <c r="J367" s="89"/>
      <c r="K367" s="89"/>
      <c r="L367" s="89"/>
      <c r="M367" s="89"/>
      <c r="N367" s="89"/>
      <c r="O367" s="89"/>
      <c r="P367" s="89"/>
      <c r="Q367" s="89"/>
      <c r="R367" s="89"/>
      <c r="S367" s="89"/>
      <c r="T367" s="89"/>
      <c r="U367" s="89"/>
      <c r="V367" s="89"/>
      <c r="W367" s="89"/>
      <c r="X367" s="89"/>
      <c r="Y367" s="858"/>
      <c r="Z367" s="463">
        <f t="shared" si="85"/>
        <v>0</v>
      </c>
      <c r="AA367" s="463">
        <f t="shared" si="85"/>
        <v>0</v>
      </c>
      <c r="AB367" s="290"/>
      <c r="AC367" s="290"/>
      <c r="AD367" s="290"/>
      <c r="AE367" s="290"/>
      <c r="AF367" s="290"/>
      <c r="AG367" s="290"/>
      <c r="AH367" s="290"/>
      <c r="AI367" s="290"/>
      <c r="AJ367" s="560">
        <f t="shared" si="84"/>
        <v>0</v>
      </c>
      <c r="AK367" s="811"/>
      <c r="AL367" s="1181"/>
      <c r="AM367" s="60"/>
      <c r="AN367" s="1282"/>
      <c r="AO367" s="13"/>
      <c r="AP367" s="74"/>
      <c r="AQ367" s="75"/>
    </row>
    <row r="368" spans="1:43" ht="33" customHeight="1" thickBot="1" x14ac:dyDescent="0.45">
      <c r="A368" s="1219" t="s">
        <v>1292</v>
      </c>
      <c r="B368" s="2" t="s">
        <v>1291</v>
      </c>
      <c r="C368" s="951" t="s">
        <v>1289</v>
      </c>
      <c r="D368" s="139"/>
      <c r="E368" s="139"/>
      <c r="F368" s="139"/>
      <c r="G368" s="139"/>
      <c r="H368" s="139"/>
      <c r="I368" s="139"/>
      <c r="J368" s="139"/>
      <c r="K368" s="139"/>
      <c r="L368" s="139"/>
      <c r="M368" s="139"/>
      <c r="N368" s="139"/>
      <c r="O368" s="139"/>
      <c r="P368" s="139"/>
      <c r="Q368" s="139"/>
      <c r="R368" s="139"/>
      <c r="S368" s="139"/>
      <c r="T368" s="139"/>
      <c r="U368" s="139"/>
      <c r="V368" s="139"/>
      <c r="W368" s="139"/>
      <c r="X368" s="139"/>
      <c r="Y368" s="139"/>
      <c r="Z368" s="139"/>
      <c r="AA368" s="139"/>
      <c r="AB368" s="354"/>
      <c r="AC368" s="325"/>
      <c r="AD368" s="325"/>
      <c r="AE368" s="325"/>
      <c r="AF368" s="325"/>
      <c r="AG368" s="325"/>
      <c r="AH368" s="325"/>
      <c r="AI368" s="285"/>
      <c r="AJ368" s="560">
        <f t="shared" si="84"/>
        <v>0</v>
      </c>
      <c r="AK368" s="946" t="str">
        <f>CONCATENATE(IF(D368&gt;D356," * TX_NEW Eligible for TPT or IPT Initiation for Age "&amp;D25&amp;" "&amp;D26&amp;" is more than TX_NEW"&amp;CHAR(10),""),IF(E368&gt;E356," * TX_NEW Eligible for TPT or IPT Initiation for Age "&amp;D25&amp;" "&amp;E26&amp;" is more than TX_NEW"&amp;CHAR(10),""),IF(F368&gt;F356," * TX_NEW Eligible for TPT or IPT Initiation for Age "&amp;F25&amp;" "&amp;F26&amp;" is more than TX_NEW"&amp;CHAR(10),""),IF(G368&gt;G356," * TX_NEW Eligible for TPT or IPT Initiation for Age "&amp;F25&amp;" "&amp;G26&amp;" is more than TX_NEW"&amp;CHAR(10),""),IF(H368&gt;H356," * TX_NEW Eligible for TPT or IPT Initiation for Age "&amp;H25&amp;" "&amp;H26&amp;" is more than TX_NEW"&amp;CHAR(10),""),IF(I368&gt;I356," * TX_NEW Eligible for TPT or IPT Initiation for Age "&amp;H25&amp;" "&amp;I26&amp;" is more than TX_NEW"&amp;CHAR(10),""),IF(J368&gt;J356," * TX_NEW Eligible for TPT or IPT Initiation for Age "&amp;J25&amp;" "&amp;J26&amp;" is more than TX_NEW"&amp;CHAR(10),""),IF(K368&gt;K356," * TX_NEW Eligible for TPT or IPT Initiation for Age "&amp;J25&amp;" "&amp;K26&amp;" is more than TX_NEW"&amp;CHAR(10),""),IF(L368&gt;L356," * TX_NEW Eligible for TPT or IPT Initiation for Age "&amp;L25&amp;" "&amp;L26&amp;" is more than TX_NEW"&amp;CHAR(10),""),IF(M368&gt;M356," * TX_NEW Eligible for TPT or IPT Initiation for Age "&amp;L25&amp;" "&amp;M26&amp;" is more than TX_NEW"&amp;CHAR(10),""),IF(N368&gt;N356," * TX_NEW Eligible for TPT or IPT Initiation for Age "&amp;N25&amp;" "&amp;N26&amp;" is more than TX_NEW"&amp;CHAR(10),""),IF(O368&gt;O356," * TX_NEW Eligible for TPT or IPT Initiation for Age "&amp;N25&amp;" "&amp;O26&amp;" is more than TX_NEW"&amp;CHAR(10),""),IF(P368&gt;P356," * TX_NEW Eligible for TPT or IPT Initiation for Age "&amp;P25&amp;" "&amp;P26&amp;" is more than TX_NEW"&amp;CHAR(10),""),IF(Q368&gt;Q356," * TX_NEW Eligible for TPT or IPT Initiation for Age "&amp;P25&amp;" "&amp;Q26&amp;" is more than TX_NEW"&amp;CHAR(10),""),IF(R368&gt;R356," * TX_NEW Eligible for TPT or IPT Initiation for Age "&amp;R25&amp;" "&amp;R26&amp;" is more than TX_NEW"&amp;CHAR(10),""),IF(S368&gt;S356," * TX_NEW Eligible for TPT or IPT Initiation for Age "&amp;R25&amp;" "&amp;S26&amp;" is more than TX_NEW"&amp;CHAR(10),""),IF(T368&gt;T356," * TX_NEW Eligible for TPT or IPT Initiation for Age "&amp;T25&amp;" "&amp;T26&amp;" is more than TX_NEW"&amp;CHAR(10),""),IF(U368&gt;U356," * TX_NEW Eligible for TPT or IPT Initiation for Age "&amp;T25&amp;" "&amp;U26&amp;" is more than TX_NEW"&amp;CHAR(10),""),IF(V368&gt;V356," * TX_NEW Eligible for TPT or IPT Initiation for Age "&amp;V25&amp;" "&amp;V26&amp;" is more than TX_NEW"&amp;CHAR(10),""),IF(W368&gt;W356," * TX_NEW Eligible for TPT or IPT Initiation for Age "&amp;V25&amp;" "&amp;W26&amp;" is more than TX_NEW"&amp;CHAR(10),""),IF(X368&gt;X356," * TX_NEW Eligible for TPT or IPT Initiation for Age "&amp;X25&amp;" "&amp;X26&amp;" is more than TX_NEW"&amp;CHAR(10),""),IF(Y368&gt;Y356," * TX_NEW Eligible for TPT or IPT Initiation for Age "&amp;X25&amp;" "&amp;Y26&amp;" is more than TX_NEW"&amp;CHAR(10),""),IF(Z368&gt;Z356," * TX_NEW Eligible for TPT or IPT Initiation for Age "&amp;Z25&amp;" "&amp;Z26&amp;" is more than TX_NEW"&amp;CHAR(10),""),IF(AA368&gt;AA356," * TX_NEW Eligible for TPT or IPT Initiation for Age "&amp;Z25&amp;" "&amp;AA26&amp;" is more than TX_NEW"&amp;CHAR(10),""),IF(AJ368&gt;AJ356," * Total TX_NEW Eligible for TPT or IPT Initiation is more than Total TX_NEW"&amp;CHAR(10),""))</f>
        <v/>
      </c>
      <c r="AL368" s="1181"/>
      <c r="AM368" s="60" t="str">
        <f>CONCATENATE(IF(D369&lt;D368," * Starting ART Patients Initiated on IPT/TPT for Age "&amp;D20&amp;" "&amp;D21&amp;" are less  than Starting ART Patients eligible for  IPT/TPT Initiation"&amp;CHAR(10),""),IF(E369&lt;E368," * Starting ART Patients Initiated on IPT/TPT for Age "&amp;D20&amp;" "&amp;E21&amp;" are less  than Starting ART Patients eligible for  IPT/TPT Initiation"&amp;CHAR(10),""),IF(F369&lt;F368," * Starting ART Patients Initiated on IPT/TPT for Age "&amp;F20&amp;" "&amp;F21&amp;" are less  than Starting ART Patients eligible for  IPT/TPT Initiation"&amp;CHAR(10),""),IF(G369&lt;G368," * Starting ART Patients Initiated on IPT/TPT for Age "&amp;F20&amp;" "&amp;G21&amp;" are less  than Starting ART Patients eligible for  IPT/TPT Initiation"&amp;CHAR(10),""),IF(H369&lt;H368," * Starting ART Patients Initiated on IPT/TPT for Age "&amp;H20&amp;" "&amp;H21&amp;" are less  than Starting ART Patients eligible for  IPT/TPT Initiation"&amp;CHAR(10),""),IF(I369&lt;I368," * Starting ART Patients Initiated on IPT/TPT for Age "&amp;H20&amp;" "&amp;I21&amp;" are less  than Starting ART Patients eligible for  IPT/TPT Initiation"&amp;CHAR(10),""),IF(J369&lt;J368," * Starting ART Patients Initiated on IPT/TPT for Age "&amp;J20&amp;" "&amp;J21&amp;" are less  than Starting ART Patients eligible for  IPT/TPT Initiation"&amp;CHAR(10),""),IF(K369&lt;K368," * Starting ART Patients Initiated on IPT/TPT for Age "&amp;J20&amp;" "&amp;K21&amp;" are less  than Starting ART Patients eligible for  IPT/TPT Initiation"&amp;CHAR(10),""),IF(L369&lt;L368," * Starting ART Patients Initiated on IPT/TPT for Age "&amp;L20&amp;" "&amp;L21&amp;" are less  than Starting ART Patients eligible for  IPT/TPT Initiation"&amp;CHAR(10),""),IF(M369&lt;M368," * Starting ART Patients Initiated on IPT/TPT for Age "&amp;L20&amp;" "&amp;M21&amp;" are less  than Starting ART Patients eligible for  IPT/TPT Initiation"&amp;CHAR(10),""),IF(N369&lt;N368," * Starting ART Patients Initiated on IPT/TPT for Age "&amp;N20&amp;" "&amp;N21&amp;" are less  than Starting ART Patients eligible for  IPT/TPT Initiation"&amp;CHAR(10),""),IF(O369&lt;O368," * Starting ART Patients Initiated on IPT/TPT for Age "&amp;N20&amp;" "&amp;O21&amp;" are less  than Starting ART Patients eligible for  IPT/TPT Initiation"&amp;CHAR(10),""),IF(P369&lt;P368," * Starting ART Patients Initiated on IPT/TPT for Age "&amp;P20&amp;" "&amp;P21&amp;" are less  than Starting ART Patients eligible for  IPT/TPT Initiation"&amp;CHAR(10),""),IF(Q369&lt;Q368," * Starting ART Patients Initiated on IPT/TPT for Age "&amp;P20&amp;" "&amp;Q21&amp;" are less  than Starting ART Patients eligible for  IPT/TPT Initiation"&amp;CHAR(10),""),IF(R369&lt;R368," * Starting ART Patients Initiated on IPT/TPT for Age "&amp;R20&amp;" "&amp;R21&amp;" are less  than Starting ART Patients eligible for  IPT/TPT Initiation"&amp;CHAR(10),""),IF(S369&lt;S368," * Starting ART Patients Initiated on IPT/TPT for Age "&amp;R20&amp;" "&amp;S21&amp;" are less  than Starting ART Patients eligible for  IPT/TPT Initiation"&amp;CHAR(10),""),IF(T369&lt;T368," * Starting ART Patients Initiated on IPT/TPT for Age "&amp;T20&amp;" "&amp;T21&amp;" are less  than Starting ART Patients eligible for  IPT/TPT Initiation"&amp;CHAR(10),""),IF(U369&lt;U368," * Starting ART Patients Initiated on IPT/TPT for Age "&amp;T20&amp;" "&amp;U21&amp;" are less  than Starting ART Patients eligible for  IPT/TPT Initiation"&amp;CHAR(10),""),IF(V369&lt;V368," * Starting ART Patients Initiated on IPT/TPT for Age "&amp;V20&amp;" "&amp;V21&amp;" are less  than Starting ART Patients eligible for  IPT/TPT Initiation"&amp;CHAR(10),""),IF(W369&lt;W368," * Starting ART Patients Initiated on IPT/TPT for Age "&amp;V20&amp;" "&amp;W21&amp;" are less  than Starting ART Patients eligible for  IPT/TPT Initiation"&amp;CHAR(10),""),IF(X369&lt;X368," * Starting ART Patients Initiated on IPT/TPT for Age "&amp;X20&amp;" "&amp;X21&amp;" are less  than Starting ART Patients eligible for  IPT/TPT Initiation"&amp;CHAR(10),""),IF(Y369&lt;Y368," * Starting ART Patients Initiated on IPT/TPT for Age "&amp;X20&amp;" "&amp;Y21&amp;" are less  than Starting ART Patients eligible for  IPT/TPT Initiation"&amp;CHAR(10),""),IF(Z369&lt;Z368," * Starting ART Patients Initiated on IPT/TPT for Age "&amp;Z20&amp;" "&amp;Z21&amp;" are less  than Starting ART Patients eligible for  IPT/TPT Initiation"&amp;CHAR(10),""),IF(AA369&lt;AA368," * Starting ART Patients Initiated on IPT/TPT for Age "&amp;Z20&amp;" "&amp;AA21&amp;" are less  than Starting ART Patients eligible for  IPT/TPT Initiation"&amp;CHAR(10),""))</f>
        <v/>
      </c>
      <c r="AN368" s="1282"/>
      <c r="AO368" s="13"/>
      <c r="AP368" s="74"/>
      <c r="AQ368" s="75"/>
    </row>
    <row r="369" spans="1:43" ht="33" customHeight="1" thickBot="1" x14ac:dyDescent="0.45">
      <c r="A369" s="1220"/>
      <c r="B369" s="2" t="s">
        <v>1298</v>
      </c>
      <c r="C369" s="951" t="s">
        <v>1290</v>
      </c>
      <c r="D369" s="218">
        <f>SUM(D201,D185)</f>
        <v>0</v>
      </c>
      <c r="E369" s="218">
        <f t="shared" ref="E369:AA369" si="86">SUM(E201,E185)</f>
        <v>0</v>
      </c>
      <c r="F369" s="218">
        <f t="shared" si="86"/>
        <v>0</v>
      </c>
      <c r="G369" s="218">
        <f t="shared" si="86"/>
        <v>0</v>
      </c>
      <c r="H369" s="218">
        <f t="shared" si="86"/>
        <v>0</v>
      </c>
      <c r="I369" s="218">
        <f t="shared" si="86"/>
        <v>0</v>
      </c>
      <c r="J369" s="218">
        <f t="shared" si="86"/>
        <v>0</v>
      </c>
      <c r="K369" s="218">
        <f t="shared" si="86"/>
        <v>0</v>
      </c>
      <c r="L369" s="218">
        <f t="shared" si="86"/>
        <v>0</v>
      </c>
      <c r="M369" s="218">
        <f t="shared" si="86"/>
        <v>0</v>
      </c>
      <c r="N369" s="218">
        <f t="shared" si="86"/>
        <v>0</v>
      </c>
      <c r="O369" s="218">
        <f t="shared" si="86"/>
        <v>0</v>
      </c>
      <c r="P369" s="218">
        <f t="shared" si="86"/>
        <v>0</v>
      </c>
      <c r="Q369" s="218">
        <f t="shared" si="86"/>
        <v>0</v>
      </c>
      <c r="R369" s="218">
        <f t="shared" si="86"/>
        <v>0</v>
      </c>
      <c r="S369" s="218">
        <f t="shared" si="86"/>
        <v>0</v>
      </c>
      <c r="T369" s="218">
        <f t="shared" si="86"/>
        <v>0</v>
      </c>
      <c r="U369" s="218">
        <f t="shared" si="86"/>
        <v>0</v>
      </c>
      <c r="V369" s="218">
        <f t="shared" si="86"/>
        <v>0</v>
      </c>
      <c r="W369" s="218">
        <f t="shared" si="86"/>
        <v>0</v>
      </c>
      <c r="X369" s="218">
        <f t="shared" si="86"/>
        <v>0</v>
      </c>
      <c r="Y369" s="218">
        <f t="shared" si="86"/>
        <v>0</v>
      </c>
      <c r="Z369" s="218">
        <f t="shared" si="86"/>
        <v>0</v>
      </c>
      <c r="AA369" s="218">
        <f t="shared" si="86"/>
        <v>0</v>
      </c>
      <c r="AB369" s="354"/>
      <c r="AC369" s="325"/>
      <c r="AD369" s="325"/>
      <c r="AE369" s="325"/>
      <c r="AF369" s="325"/>
      <c r="AG369" s="325"/>
      <c r="AH369" s="325"/>
      <c r="AI369" s="285"/>
      <c r="AJ369" s="560">
        <f t="shared" si="84"/>
        <v>0</v>
      </c>
      <c r="AK369" s="975" t="str">
        <f>CONCATENATE(IF(D369&gt;D368," * Starting ART Patients Initiated on IPT/TPT for Age "&amp;D20&amp;" "&amp;D21&amp;" is more than Starting ART Patients eligible for  IPT/TPT Initiation"&amp;CHAR(10),""),IF(E369&gt;E368," * Starting ART Patients Initiated on IPT/TPT for Age "&amp;D20&amp;" "&amp;E21&amp;" is more than Starting ART Patients eligible for  IPT/TPT Initiation"&amp;CHAR(10),""),IF(F369&gt;F368," * Starting ART Patients Initiated on IPT/TPT for Age "&amp;F20&amp;" "&amp;F21&amp;" is more than Starting ART Patients eligible for  IPT/TPT Initiation"&amp;CHAR(10),""),IF(G369&gt;G368," * Starting ART Patients Initiated on IPT/TPT for Age "&amp;F20&amp;" "&amp;G21&amp;" is more than Starting ART Patients eligible for  IPT/TPT Initiation"&amp;CHAR(10),""),IF(H369&gt;H368," * Starting ART Patients Initiated on IPT/TPT for Age "&amp;H20&amp;" "&amp;H21&amp;" is more than Starting ART Patients eligible for  IPT/TPT Initiation"&amp;CHAR(10),""),IF(I369&gt;I368," * Starting ART Patients Initiated on IPT/TPT for Age "&amp;H20&amp;" "&amp;I21&amp;" is more than Starting ART Patients eligible for  IPT/TPT Initiation"&amp;CHAR(10),""),IF(J369&gt;J368," * Starting ART Patients Initiated on IPT/TPT for Age "&amp;J20&amp;" "&amp;J21&amp;" is more than Starting ART Patients eligible for  IPT/TPT Initiation"&amp;CHAR(10),""),IF(K369&gt;K368," * Starting ART Patients Initiated on IPT/TPT for Age "&amp;J20&amp;" "&amp;K21&amp;" is more than Starting ART Patients eligible for  IPT/TPT Initiation"&amp;CHAR(10),""),IF(L369&gt;L368," * Starting ART Patients Initiated on IPT/TPT for Age "&amp;L20&amp;" "&amp;L21&amp;" is more than Starting ART Patients eligible for  IPT/TPT Initiation"&amp;CHAR(10),""),IF(M369&gt;M368," * Starting ART Patients Initiated on IPT/TPT for Age "&amp;L20&amp;" "&amp;M21&amp;" is more than Starting ART Patients eligible for  IPT/TPT Initiation"&amp;CHAR(10),""),IF(N369&gt;N368," * Starting ART Patients Initiated on IPT/TPT for Age "&amp;N20&amp;" "&amp;N21&amp;" is more than Starting ART Patients eligible for  IPT/TPT Initiation"&amp;CHAR(10),""),IF(O369&gt;O368," * Starting ART Patients Initiated on IPT/TPT for Age "&amp;N20&amp;" "&amp;O21&amp;" is more than Starting ART Patients eligible for  IPT/TPT Initiation"&amp;CHAR(10),""),IF(P369&gt;P368," * Starting ART Patients Initiated on IPT/TPT for Age "&amp;P20&amp;" "&amp;P21&amp;" is more than Starting ART Patients eligible for  IPT/TPT Initiation"&amp;CHAR(10),""),IF(Q369&gt;Q368," * Starting ART Patients Initiated on IPT/TPT for Age "&amp;P20&amp;" "&amp;Q21&amp;" is more than Starting ART Patients eligible for  IPT/TPT Initiation"&amp;CHAR(10),""),IF(R369&gt;R368," * Starting ART Patients Initiated on IPT/TPT for Age "&amp;R20&amp;" "&amp;R21&amp;" is more than Starting ART Patients eligible for  IPT/TPT Initiation"&amp;CHAR(10),""),IF(S369&gt;S368," * Starting ART Patients Initiated on IPT/TPT for Age "&amp;R20&amp;" "&amp;S21&amp;" is more than Starting ART Patients eligible for  IPT/TPT Initiation"&amp;CHAR(10),""),IF(T369&gt;T368," * Starting ART Patients Initiated on IPT/TPT for Age "&amp;T20&amp;" "&amp;T21&amp;" is more than Starting ART Patients eligible for  IPT/TPT Initiation"&amp;CHAR(10),""),IF(U369&gt;U368," * Starting ART Patients Initiated on IPT/TPT for Age "&amp;T20&amp;" "&amp;U21&amp;" is more than Starting ART Patients eligible for  IPT/TPT Initiation"&amp;CHAR(10),""),IF(V369&gt;V368," * Starting ART Patients Initiated on IPT/TPT for Age "&amp;V20&amp;" "&amp;V21&amp;" is more than Starting ART Patients eligible for  IPT/TPT Initiation"&amp;CHAR(10),""),IF(W369&gt;W368," * Starting ART Patients Initiated on IPT/TPT for Age "&amp;V20&amp;" "&amp;W21&amp;" is more than Starting ART Patients eligible for  IPT/TPT Initiation"&amp;CHAR(10),""),IF(X369&gt;X368," * Starting ART Patients Initiated on IPT/TPT for Age "&amp;X20&amp;" "&amp;X21&amp;" is more than Starting ART Patients eligible for  IPT/TPT Initiation"&amp;CHAR(10),""),IF(Y369&gt;Y368," * Starting ART Patients Initiated on IPT/TPT for Age "&amp;X20&amp;" "&amp;Y21&amp;" is more than Starting ART Patients eligible for  IPT/TPT Initiation"&amp;CHAR(10),""),IF(Z369&gt;Z368," * Starting ART Patients Initiated on IPT/TPT for Age "&amp;Z20&amp;" "&amp;Z21&amp;" is more than Starting ART Patients eligible for  IPT/TPT Initiation"&amp;CHAR(10),""),IF(AA369&gt;AA368," * Starting ART Patients Initiated on IPT/TPT for Age "&amp;Z20&amp;" "&amp;AA21&amp;" is more than Starting ART Patients eligible for  IPT/TPT Initiation"&amp;CHAR(10),""))</f>
        <v/>
      </c>
      <c r="AL369" s="1181"/>
      <c r="AM369" s="60"/>
      <c r="AN369" s="1282"/>
      <c r="AO369" s="13"/>
      <c r="AP369" s="74"/>
      <c r="AQ369" s="75"/>
    </row>
    <row r="370" spans="1:43" ht="30.75" customHeight="1" thickBot="1" x14ac:dyDescent="0.45">
      <c r="A370" s="1244" t="s">
        <v>526</v>
      </c>
      <c r="B370" s="495" t="s">
        <v>872</v>
      </c>
      <c r="C370" s="528" t="s">
        <v>514</v>
      </c>
      <c r="D370" s="496"/>
      <c r="E370" s="225"/>
      <c r="F370" s="225"/>
      <c r="G370" s="225"/>
      <c r="H370" s="225"/>
      <c r="I370" s="225"/>
      <c r="J370" s="225"/>
      <c r="K370" s="225"/>
      <c r="L370" s="225"/>
      <c r="M370" s="225"/>
      <c r="N370" s="225"/>
      <c r="O370" s="225"/>
      <c r="P370" s="225"/>
      <c r="Q370" s="225"/>
      <c r="R370" s="225"/>
      <c r="S370" s="225"/>
      <c r="T370" s="225"/>
      <c r="U370" s="225"/>
      <c r="V370" s="225"/>
      <c r="W370" s="225"/>
      <c r="X370" s="225"/>
      <c r="Y370" s="304"/>
      <c r="Z370" s="497">
        <f t="shared" si="85"/>
        <v>0</v>
      </c>
      <c r="AA370" s="497">
        <f t="shared" si="85"/>
        <v>0</v>
      </c>
      <c r="AB370" s="498"/>
      <c r="AC370" s="499"/>
      <c r="AD370" s="499"/>
      <c r="AE370" s="499"/>
      <c r="AF370" s="499"/>
      <c r="AG370" s="499"/>
      <c r="AH370" s="499"/>
      <c r="AI370" s="499"/>
      <c r="AJ370" s="500">
        <f t="shared" si="84"/>
        <v>0</v>
      </c>
      <c r="AK370" s="116" t="str">
        <f>CONCATENATE(IF(D370&gt;D371," * &lt; 28 Days Defaulters for Age "&amp;D20&amp;" "&amp;D21&amp;" is more than Current On ART"&amp;CHAR(10),""),IF(E370&gt;E371," * &lt; 28 Days Defaulters for Age "&amp;D20&amp;" "&amp;E21&amp;" is more than Current On ART"&amp;CHAR(10),""),IF(F370&gt;F371," * &lt; 28 Days Defaulters for Age "&amp;F20&amp;" "&amp;F21&amp;" is more than Current On ART"&amp;CHAR(10),""),IF(G370&gt;G371," * &lt; 28 Days Defaulters for Age "&amp;F20&amp;" "&amp;G21&amp;" is more than Current On ART"&amp;CHAR(10),""),IF(H370&gt;H371," * &lt; 28 Days Defaulters for Age "&amp;H20&amp;" "&amp;H21&amp;" is more than Current On ART"&amp;CHAR(10),""),IF(I370&gt;I371," * &lt; 28 Days Defaulters for Age "&amp;H20&amp;" "&amp;I21&amp;" is more than Current On ART"&amp;CHAR(10),""),IF(J370&gt;J371," * &lt; 28 Days Defaulters for Age "&amp;J20&amp;" "&amp;J21&amp;" is more than Current On ART"&amp;CHAR(10),""),IF(K370&gt;K371," * &lt; 28 Days Defaulters for Age "&amp;J20&amp;" "&amp;K21&amp;" is more than Current On ART"&amp;CHAR(10),""),IF(L370&gt;L371," * &lt; 28 Days Defaulters for Age "&amp;L20&amp;" "&amp;L21&amp;" is more than Current On ART"&amp;CHAR(10),""),IF(M370&gt;M371," * &lt; 28 Days Defaulters for Age "&amp;L20&amp;" "&amp;M21&amp;" is more than Current On ART"&amp;CHAR(10),""),IF(N370&gt;N371," * &lt; 28 Days Defaulters for Age "&amp;N20&amp;" "&amp;N21&amp;" is more than Current On ART"&amp;CHAR(10),""),IF(O370&gt;O371," * &lt; 28 Days Defaulters for Age "&amp;N20&amp;" "&amp;O21&amp;" is more than Current On ART"&amp;CHAR(10),""),IF(P370&gt;P371," * &lt; 28 Days Defaulters for Age "&amp;P20&amp;" "&amp;P21&amp;" is more than Current On ART"&amp;CHAR(10),""),IF(Q370&gt;Q371," * &lt; 28 Days Defaulters for Age "&amp;P20&amp;" "&amp;Q21&amp;" is more than Current On ART"&amp;CHAR(10),""),IF(R370&gt;R371," * &lt; 28 Days Defaulters for Age "&amp;R20&amp;" "&amp;R21&amp;" is more than Current On ART"&amp;CHAR(10),""),IF(S370&gt;S371," * &lt; 28 Days Defaulters for Age "&amp;R20&amp;" "&amp;S21&amp;" is more than Current On ART"&amp;CHAR(10),""),IF(T370&gt;T371," * &lt; 28 Days Defaulters for Age "&amp;T20&amp;" "&amp;T21&amp;" is more than Current On ART"&amp;CHAR(10),""),IF(U370&gt;U371," * &lt; 28 Days Defaulters for Age "&amp;T20&amp;" "&amp;U21&amp;" is more than Current On ART"&amp;CHAR(10),""),IF(V370&gt;V371," * &lt; 28 Days Defaulters for Age "&amp;V20&amp;" "&amp;V21&amp;" is more than Current On ART"&amp;CHAR(10),""),IF(W370&gt;W371," * &lt; 28 Days Defaulters for Age "&amp;V20&amp;" "&amp;W21&amp;" is more than Current On ART"&amp;CHAR(10),""),IF(X370&gt;X371," * &lt; 28 Days Defaulters for Age "&amp;X20&amp;" "&amp;X21&amp;" is more than Current On ART"&amp;CHAR(10),""),IF(Y370&gt;Y371," * &lt; 28 Days Defaulters for Age "&amp;X20&amp;" "&amp;Y21&amp;" is more than Current On ART"&amp;CHAR(10),""),IF(Z370&gt;Z371," * &lt; 28 Days Defaulters for Age "&amp;Z20&amp;" "&amp;Z21&amp;" is more than Current On ART"&amp;CHAR(10),""),IF(AA370&gt;AA371," * &lt; 28 Days Defaulters for Age "&amp;Z20&amp;" "&amp;AA21&amp;" is more than Current On ART"&amp;CHAR(10),""))</f>
        <v/>
      </c>
      <c r="AL370" s="1181"/>
      <c r="AM370" s="31"/>
      <c r="AN370" s="1282"/>
      <c r="AO370" s="13">
        <v>256</v>
      </c>
      <c r="AP370" s="74"/>
      <c r="AQ370" s="75"/>
    </row>
    <row r="371" spans="1:43" s="83" customFormat="1" ht="33" customHeight="1" thickBot="1" x14ac:dyDescent="0.3">
      <c r="A371" s="1245"/>
      <c r="B371" s="216" t="s">
        <v>750</v>
      </c>
      <c r="C371" s="544" t="s">
        <v>265</v>
      </c>
      <c r="D371" s="503">
        <f>SUM(D372:D377)</f>
        <v>0</v>
      </c>
      <c r="E371" s="503">
        <f t="shared" ref="E371:Y371" si="87">SUM(E372:E377)</f>
        <v>0</v>
      </c>
      <c r="F371" s="503">
        <f t="shared" si="87"/>
        <v>0</v>
      </c>
      <c r="G371" s="503">
        <f t="shared" si="87"/>
        <v>0</v>
      </c>
      <c r="H371" s="503">
        <f t="shared" si="87"/>
        <v>0</v>
      </c>
      <c r="I371" s="503">
        <f t="shared" si="87"/>
        <v>0</v>
      </c>
      <c r="J371" s="503">
        <f t="shared" si="87"/>
        <v>0</v>
      </c>
      <c r="K371" s="503">
        <f t="shared" si="87"/>
        <v>0</v>
      </c>
      <c r="L371" s="503">
        <f t="shared" si="87"/>
        <v>0</v>
      </c>
      <c r="M371" s="503">
        <f t="shared" si="87"/>
        <v>0</v>
      </c>
      <c r="N371" s="503">
        <f t="shared" si="87"/>
        <v>0</v>
      </c>
      <c r="O371" s="503">
        <f t="shared" si="87"/>
        <v>0</v>
      </c>
      <c r="P371" s="503">
        <f t="shared" si="87"/>
        <v>0</v>
      </c>
      <c r="Q371" s="503">
        <f t="shared" si="87"/>
        <v>0</v>
      </c>
      <c r="R371" s="503">
        <f t="shared" si="87"/>
        <v>0</v>
      </c>
      <c r="S371" s="503">
        <f t="shared" si="87"/>
        <v>0</v>
      </c>
      <c r="T371" s="503">
        <f t="shared" si="87"/>
        <v>0</v>
      </c>
      <c r="U371" s="503">
        <f t="shared" si="87"/>
        <v>0</v>
      </c>
      <c r="V371" s="503">
        <f t="shared" si="87"/>
        <v>0</v>
      </c>
      <c r="W371" s="503">
        <f t="shared" si="87"/>
        <v>0</v>
      </c>
      <c r="X371" s="503">
        <f t="shared" si="87"/>
        <v>0</v>
      </c>
      <c r="Y371" s="503">
        <f t="shared" si="87"/>
        <v>0</v>
      </c>
      <c r="Z371" s="492">
        <f t="shared" si="85"/>
        <v>0</v>
      </c>
      <c r="AA371" s="492">
        <f t="shared" si="85"/>
        <v>0</v>
      </c>
      <c r="AB371" s="503">
        <f t="shared" ref="AB371" si="88">SUM(AB372:AB377)</f>
        <v>0</v>
      </c>
      <c r="AC371" s="503">
        <f t="shared" ref="AC371" si="89">SUM(AC372:AC377)</f>
        <v>0</v>
      </c>
      <c r="AD371" s="503">
        <f t="shared" ref="AD371" si="90">SUM(AD372:AD377)</f>
        <v>0</v>
      </c>
      <c r="AE371" s="503">
        <f t="shared" ref="AE371" si="91">SUM(AE372:AE377)</f>
        <v>0</v>
      </c>
      <c r="AF371" s="503">
        <f t="shared" ref="AF371" si="92">SUM(AF372:AF377)</f>
        <v>0</v>
      </c>
      <c r="AG371" s="503">
        <f t="shared" ref="AG371" si="93">SUM(AG372:AG377)</f>
        <v>0</v>
      </c>
      <c r="AH371" s="503">
        <f t="shared" ref="AH371" si="94">SUM(AH372:AH377)</f>
        <v>0</v>
      </c>
      <c r="AI371" s="503">
        <f t="shared" ref="AI371" si="95">SUM(AI372:AI377)</f>
        <v>0</v>
      </c>
      <c r="AJ371" s="504">
        <f>SUM(AJ372:AJ377)</f>
        <v>0</v>
      </c>
      <c r="AK371" s="896" t="str">
        <f>CONCATENATE(IF(D371&lt;&gt;D384,""&amp;CHAR(10)&amp;"  * Current on ART by month of dispense F07-16 for age "&amp;D354&amp;" "&amp;D355&amp;" is not equal to Clients current On ART F07-03 age  "&amp;D354&amp;" "&amp;D355&amp;"",""),IF(E371&lt;&gt;E384,""&amp;CHAR(10)&amp;"  * Current on ART by month of dispense F07-16 for age "&amp;D354&amp;" "&amp;E355&amp;" is not equal to Clients current On ART F07-03 age  "&amp;D354&amp;" "&amp;E355&amp;"",""),IF(F371&lt;&gt;F384,""&amp;CHAR(10)&amp;"  * Current on ART by month of dispense F07-16 for age "&amp;F354&amp;" "&amp;F355&amp;" is not equal to Clients current On ART F07-03 age  "&amp;F354&amp;" "&amp;F355&amp;"",""),IF(G371&lt;&gt;G384,""&amp;CHAR(10)&amp;"  * Current on ART by month of dispense F07-16 for age "&amp;F354&amp;" "&amp;G355&amp;" is not equal to Clients current On ART F07-03 age  "&amp;F354&amp;" "&amp;G355&amp;"",""),IF(H371&lt;&gt;H384,""&amp;CHAR(10)&amp;"  * Current on ART by month of dispense F07-16 for age "&amp;H354&amp;" "&amp;H355&amp;" is not equal to Clients current On ART F07-03 age  "&amp;H354&amp;" "&amp;H355&amp;"",""),IF(I371&lt;&gt;I384,""&amp;CHAR(10)&amp;"  * Current on ART by month of dispense F07-16 for age "&amp;H354&amp;" "&amp;I355&amp;" is not equal to Clients current On ART F07-03 age  "&amp;H354&amp;" "&amp;I355&amp;"",""),IF(J371&lt;&gt;J384,""&amp;CHAR(10)&amp;"  * Current on ART by month of dispense F07-16 for age "&amp;J354&amp;" "&amp;J355&amp;" is not equal to Clients current On ART F07-03 age  "&amp;J354&amp;" "&amp;J355&amp;"",""),IF(K371&lt;&gt;K384,""&amp;CHAR(10)&amp;"  * Current on ART by month of dispense F07-16 for age "&amp;J354&amp;" "&amp;K355&amp;" is not equal to Clients current On ART F07-03 age  "&amp;J354&amp;" "&amp;K355&amp;"",""),IF(L371&lt;&gt;L384,""&amp;CHAR(10)&amp;"  * Current on ART by month of dispense F07-16 for age "&amp;L354&amp;" "&amp;L355&amp;" is not equal to Clients current On ART F07-03 age  "&amp;L354&amp;" "&amp;L355&amp;"",""),IF(M371&lt;&gt;M384,""&amp;CHAR(10)&amp;"  * Current on ART by month of dispense F07-16 for age "&amp;L354&amp;" "&amp;M355&amp;" is not equal to Clients current On ART F07-03 age  "&amp;L354&amp;" "&amp;M355&amp;"",""),IF(N371&lt;&gt;N384,""&amp;CHAR(10)&amp;"  * Current on ART by month of dispense F07-16 for age "&amp;N354&amp;" "&amp;N355&amp;" is not equal to Clients current On ART F07-03 age  "&amp;N354&amp;" "&amp;N355&amp;"",""),IF(O371&lt;&gt;O384,""&amp;CHAR(10)&amp;"  * Current on ART by month of dispense F07-16 for age "&amp;N354&amp;" "&amp;O355&amp;" is not equal to Clients current On ART F07-03 age  "&amp;N354&amp;" "&amp;O355&amp;"",""),IF(P371&lt;&gt;P384,""&amp;CHAR(10)&amp;"  * Current on ART by month of dispense F07-16 for age "&amp;P354&amp;" "&amp;P355&amp;" is not equal to Clients current On ART F07-03 age  "&amp;P354&amp;" "&amp;P355&amp;"",""),IF(Q371&lt;&gt;Q384,""&amp;CHAR(10)&amp;"  * Current on ART by month of dispense F07-16 for age "&amp;P354&amp;" "&amp;Q355&amp;" is not equal to Clients current On ART F07-03 age  "&amp;P354&amp;" "&amp;Q355&amp;"",""),IF(R371&lt;&gt;R384,""&amp;CHAR(10)&amp;"  * Current on ART by month of dispense F07-16 for age "&amp;R354&amp;" "&amp;R355&amp;" is not equal to Clients current On ART F07-03 age  "&amp;R354&amp;" "&amp;R355&amp;"",""),IF(S371&lt;&gt;S384,""&amp;CHAR(10)&amp;"  * Current on ART by month of dispense F07-16 for age "&amp;R354&amp;" "&amp;S355&amp;" is not equal to Clients current On ART F07-03 age  "&amp;R354&amp;" "&amp;S355&amp;"",""),IF(T371&lt;&gt;T384,""&amp;CHAR(10)&amp;"  * Current on ART by month of dispense F07-16 for age "&amp;T354&amp;" "&amp;T355&amp;" is not equal to Clients current On ART F07-03 age  "&amp;T354&amp;" "&amp;T355&amp;"",""),IF(U371&lt;&gt;U384,""&amp;CHAR(10)&amp;"  * Current on ART by month of dispense F07-16 for age "&amp;T354&amp;" "&amp;U355&amp;" is not equal to Clients current On ART F07-03 age  "&amp;T354&amp;" "&amp;U355&amp;"",""),IF(V371&lt;&gt;V384,""&amp;CHAR(10)&amp;"  * Current on ART by month of dispense F07-16 for age "&amp;V354&amp;" "&amp;V355&amp;" is not equal to Clients current On ART F07-03 age  "&amp;V354&amp;" "&amp;V355&amp;"",""),IF(W371&lt;&gt;W384,""&amp;CHAR(10)&amp;"  * Current on ART by month of dispense F07-16 for age "&amp;V354&amp;" "&amp;W355&amp;" is not equal to Clients current On ART F07-03 age  "&amp;V354&amp;" "&amp;W355&amp;"",""),IF(X371&lt;&gt;X384,""&amp;CHAR(10)&amp;"  * Current on ART by month of dispense F07-16 for age "&amp;X354&amp;" "&amp;X355&amp;" is not equal to Clients current On ART F07-03 age  "&amp;X354&amp;" "&amp;X355&amp;"",""),IF(Y371&lt;&gt;Y384,""&amp;CHAR(10)&amp;"  * Current on ART by month of dispense F07-16 for age "&amp;X354&amp;" "&amp;Y355&amp;" is not equal to Clients current On ART F07-03 age  "&amp;X354&amp;" "&amp;Y355&amp;"",""),IF(Z371&lt;&gt;Z384,""&amp;CHAR(10)&amp;"  * Current on ART by month of dispense F07-16 for age "&amp;Z354&amp;" "&amp;Z355&amp;" is not equal to Clients current On ART F07-03 age  "&amp;Z354&amp;" "&amp;Z355&amp;"",""),IF(AA371&lt;&gt;AA384,""&amp;CHAR(10)&amp;"  * Current on ART by month of dispense F07-16 for age "&amp;Z354&amp;" "&amp;AA355&amp;" is not equal to Clients current On ART F07-03 age  "&amp;Z354&amp;" "&amp;AA355&amp;"",""))</f>
        <v/>
      </c>
      <c r="AL371" s="1181"/>
      <c r="AM371" s="897"/>
      <c r="AN371" s="1282"/>
      <c r="AO371" s="898">
        <v>257</v>
      </c>
      <c r="AP371" s="81"/>
      <c r="AQ371" s="82"/>
    </row>
    <row r="372" spans="1:43" ht="26.25" x14ac:dyDescent="0.4">
      <c r="A372" s="1211" t="s">
        <v>400</v>
      </c>
      <c r="B372" s="229" t="s">
        <v>355</v>
      </c>
      <c r="C372" s="543" t="s">
        <v>369</v>
      </c>
      <c r="D372" s="501"/>
      <c r="E372" s="72"/>
      <c r="F372" s="72"/>
      <c r="G372" s="72"/>
      <c r="H372" s="72"/>
      <c r="I372" s="72"/>
      <c r="J372" s="72"/>
      <c r="K372" s="72"/>
      <c r="L372" s="72"/>
      <c r="M372" s="72"/>
      <c r="N372" s="72"/>
      <c r="O372" s="72"/>
      <c r="P372" s="72"/>
      <c r="Q372" s="72"/>
      <c r="R372" s="72"/>
      <c r="S372" s="72"/>
      <c r="T372" s="72"/>
      <c r="U372" s="72"/>
      <c r="V372" s="72"/>
      <c r="W372" s="72"/>
      <c r="X372" s="72"/>
      <c r="Y372" s="289"/>
      <c r="Z372" s="494">
        <f t="shared" ref="Z372:Z383" si="96">SUM(AB372,AD372,AF372,AH372)</f>
        <v>0</v>
      </c>
      <c r="AA372" s="494">
        <f t="shared" ref="AA372:AA383" si="97">SUM(AC372,AE372,AG372,AI372)</f>
        <v>0</v>
      </c>
      <c r="AB372" s="502"/>
      <c r="AC372" s="289"/>
      <c r="AD372" s="289"/>
      <c r="AE372" s="289"/>
      <c r="AF372" s="289"/>
      <c r="AG372" s="289"/>
      <c r="AH372" s="289"/>
      <c r="AI372" s="289"/>
      <c r="AJ372" s="66">
        <f t="shared" si="82"/>
        <v>0</v>
      </c>
      <c r="AK372" s="116"/>
      <c r="AL372" s="1181"/>
      <c r="AM372" s="31"/>
      <c r="AN372" s="1282"/>
      <c r="AO372" s="13">
        <v>258</v>
      </c>
      <c r="AP372" s="74"/>
      <c r="AQ372" s="75"/>
    </row>
    <row r="373" spans="1:43" ht="26.25" x14ac:dyDescent="0.4">
      <c r="A373" s="1212"/>
      <c r="B373" s="2" t="s">
        <v>350</v>
      </c>
      <c r="C373" s="526" t="s">
        <v>370</v>
      </c>
      <c r="D373" s="931"/>
      <c r="E373" s="931"/>
      <c r="F373" s="931"/>
      <c r="G373" s="931"/>
      <c r="H373" s="931"/>
      <c r="I373" s="931"/>
      <c r="J373" s="931"/>
      <c r="K373" s="931"/>
      <c r="L373" s="79"/>
      <c r="M373" s="79"/>
      <c r="N373" s="79"/>
      <c r="O373" s="79"/>
      <c r="P373" s="79"/>
      <c r="Q373" s="79"/>
      <c r="R373" s="79"/>
      <c r="S373" s="79"/>
      <c r="T373" s="79"/>
      <c r="U373" s="79"/>
      <c r="V373" s="79"/>
      <c r="W373" s="79"/>
      <c r="X373" s="79"/>
      <c r="Y373" s="290"/>
      <c r="Z373" s="463">
        <f t="shared" si="96"/>
        <v>0</v>
      </c>
      <c r="AA373" s="463">
        <f t="shared" si="97"/>
        <v>0</v>
      </c>
      <c r="AB373" s="328"/>
      <c r="AC373" s="290"/>
      <c r="AD373" s="290"/>
      <c r="AE373" s="290"/>
      <c r="AF373" s="290"/>
      <c r="AG373" s="290"/>
      <c r="AH373" s="290"/>
      <c r="AI373" s="290"/>
      <c r="AJ373" s="29">
        <f t="shared" si="82"/>
        <v>0</v>
      </c>
      <c r="AK373" s="116"/>
      <c r="AL373" s="1181"/>
      <c r="AM373" s="31"/>
      <c r="AN373" s="1282"/>
      <c r="AO373" s="13">
        <v>259</v>
      </c>
      <c r="AP373" s="74"/>
      <c r="AQ373" s="75"/>
    </row>
    <row r="374" spans="1:43" ht="26.25" x14ac:dyDescent="0.4">
      <c r="A374" s="1212"/>
      <c r="B374" s="2" t="s">
        <v>351</v>
      </c>
      <c r="C374" s="526" t="s">
        <v>371</v>
      </c>
      <c r="D374" s="931"/>
      <c r="E374" s="931"/>
      <c r="F374" s="931"/>
      <c r="G374" s="931"/>
      <c r="H374" s="931"/>
      <c r="I374" s="931"/>
      <c r="J374" s="931"/>
      <c r="K374" s="931"/>
      <c r="L374" s="79"/>
      <c r="M374" s="931"/>
      <c r="N374" s="79"/>
      <c r="O374" s="931"/>
      <c r="P374" s="79"/>
      <c r="Q374" s="931"/>
      <c r="R374" s="79"/>
      <c r="S374" s="931"/>
      <c r="T374" s="79"/>
      <c r="U374" s="931"/>
      <c r="V374" s="79"/>
      <c r="W374" s="931"/>
      <c r="X374" s="79"/>
      <c r="Y374" s="931"/>
      <c r="Z374" s="463">
        <f t="shared" si="96"/>
        <v>0</v>
      </c>
      <c r="AA374" s="463">
        <f t="shared" si="97"/>
        <v>0</v>
      </c>
      <c r="AB374" s="328"/>
      <c r="AC374" s="290"/>
      <c r="AD374" s="290"/>
      <c r="AE374" s="290"/>
      <c r="AF374" s="290"/>
      <c r="AG374" s="290"/>
      <c r="AH374" s="290"/>
      <c r="AI374" s="290"/>
      <c r="AJ374" s="29">
        <f t="shared" si="82"/>
        <v>0</v>
      </c>
      <c r="AK374" s="116"/>
      <c r="AL374" s="1181"/>
      <c r="AM374" s="31"/>
      <c r="AN374" s="1282"/>
      <c r="AO374" s="13">
        <v>260</v>
      </c>
      <c r="AP374" s="74"/>
      <c r="AQ374" s="75"/>
    </row>
    <row r="375" spans="1:43" ht="26.25" x14ac:dyDescent="0.4">
      <c r="A375" s="1212"/>
      <c r="B375" s="2" t="s">
        <v>352</v>
      </c>
      <c r="C375" s="526" t="s">
        <v>372</v>
      </c>
      <c r="D375" s="931"/>
      <c r="E375" s="931"/>
      <c r="F375" s="931"/>
      <c r="G375" s="931"/>
      <c r="H375" s="931"/>
      <c r="I375" s="931"/>
      <c r="J375" s="931"/>
      <c r="K375" s="931"/>
      <c r="L375" s="79"/>
      <c r="M375" s="79"/>
      <c r="N375" s="79"/>
      <c r="O375" s="79"/>
      <c r="P375" s="79"/>
      <c r="Q375" s="79"/>
      <c r="R375" s="79"/>
      <c r="S375" s="79"/>
      <c r="T375" s="79"/>
      <c r="U375" s="79"/>
      <c r="V375" s="79"/>
      <c r="W375" s="79"/>
      <c r="X375" s="79"/>
      <c r="Y375" s="290"/>
      <c r="Z375" s="463">
        <f t="shared" si="96"/>
        <v>0</v>
      </c>
      <c r="AA375" s="463">
        <f t="shared" si="97"/>
        <v>0</v>
      </c>
      <c r="AB375" s="328"/>
      <c r="AC375" s="290"/>
      <c r="AD375" s="290"/>
      <c r="AE375" s="290"/>
      <c r="AF375" s="290"/>
      <c r="AG375" s="290"/>
      <c r="AH375" s="290"/>
      <c r="AI375" s="290"/>
      <c r="AJ375" s="29">
        <f t="shared" si="82"/>
        <v>0</v>
      </c>
      <c r="AK375" s="116"/>
      <c r="AL375" s="1181"/>
      <c r="AM375" s="31"/>
      <c r="AN375" s="1282"/>
      <c r="AO375" s="13">
        <v>261</v>
      </c>
      <c r="AP375" s="74"/>
      <c r="AQ375" s="75"/>
    </row>
    <row r="376" spans="1:43" ht="26.25" x14ac:dyDescent="0.4">
      <c r="A376" s="1212"/>
      <c r="B376" s="2" t="s">
        <v>353</v>
      </c>
      <c r="C376" s="526" t="s">
        <v>373</v>
      </c>
      <c r="D376" s="931"/>
      <c r="E376" s="931"/>
      <c r="F376" s="931"/>
      <c r="G376" s="931"/>
      <c r="H376" s="931"/>
      <c r="I376" s="931"/>
      <c r="J376" s="931"/>
      <c r="K376" s="931"/>
      <c r="L376" s="931"/>
      <c r="M376" s="79"/>
      <c r="N376" s="931"/>
      <c r="O376" s="79"/>
      <c r="P376" s="931"/>
      <c r="Q376" s="79"/>
      <c r="R376" s="931"/>
      <c r="S376" s="79"/>
      <c r="T376" s="931"/>
      <c r="U376" s="79"/>
      <c r="V376" s="931"/>
      <c r="W376" s="79"/>
      <c r="X376" s="931"/>
      <c r="Y376" s="290"/>
      <c r="Z376" s="463">
        <f t="shared" si="96"/>
        <v>0</v>
      </c>
      <c r="AA376" s="463">
        <f t="shared" si="97"/>
        <v>0</v>
      </c>
      <c r="AB376" s="328"/>
      <c r="AC376" s="290"/>
      <c r="AD376" s="290"/>
      <c r="AE376" s="290"/>
      <c r="AF376" s="290"/>
      <c r="AG376" s="290"/>
      <c r="AH376" s="290"/>
      <c r="AI376" s="290"/>
      <c r="AJ376" s="29">
        <f t="shared" si="82"/>
        <v>0</v>
      </c>
      <c r="AK376" s="116"/>
      <c r="AL376" s="1181"/>
      <c r="AM376" s="31"/>
      <c r="AN376" s="1282"/>
      <c r="AO376" s="13">
        <v>262</v>
      </c>
      <c r="AP376" s="74"/>
      <c r="AQ376" s="75"/>
    </row>
    <row r="377" spans="1:43" ht="27" thickBot="1" x14ac:dyDescent="0.45">
      <c r="A377" s="1213"/>
      <c r="B377" s="3" t="s">
        <v>354</v>
      </c>
      <c r="C377" s="527" t="s">
        <v>374</v>
      </c>
      <c r="D377" s="931"/>
      <c r="E377" s="931"/>
      <c r="F377" s="931"/>
      <c r="G377" s="931"/>
      <c r="H377" s="931"/>
      <c r="I377" s="931"/>
      <c r="J377" s="931"/>
      <c r="K377" s="931"/>
      <c r="L377" s="89"/>
      <c r="M377" s="89"/>
      <c r="N377" s="89"/>
      <c r="O377" s="89"/>
      <c r="P377" s="89"/>
      <c r="Q377" s="89"/>
      <c r="R377" s="89"/>
      <c r="S377" s="89"/>
      <c r="T377" s="89"/>
      <c r="U377" s="89"/>
      <c r="V377" s="89"/>
      <c r="W377" s="89"/>
      <c r="X377" s="89"/>
      <c r="Y377" s="292"/>
      <c r="Z377" s="463">
        <f t="shared" si="96"/>
        <v>0</v>
      </c>
      <c r="AA377" s="463">
        <f t="shared" si="97"/>
        <v>0</v>
      </c>
      <c r="AB377" s="373"/>
      <c r="AC377" s="292"/>
      <c r="AD377" s="292"/>
      <c r="AE377" s="292"/>
      <c r="AF377" s="292"/>
      <c r="AG377" s="292"/>
      <c r="AH377" s="292"/>
      <c r="AI377" s="292"/>
      <c r="AJ377" s="90">
        <f t="shared" si="82"/>
        <v>0</v>
      </c>
      <c r="AK377" s="116"/>
      <c r="AL377" s="1181"/>
      <c r="AM377" s="31"/>
      <c r="AN377" s="1282"/>
      <c r="AO377" s="13">
        <v>263</v>
      </c>
      <c r="AP377" s="74"/>
      <c r="AQ377" s="75"/>
    </row>
    <row r="378" spans="1:43" ht="30.75" customHeight="1" x14ac:dyDescent="0.4">
      <c r="A378" s="1211" t="s">
        <v>401</v>
      </c>
      <c r="B378" s="1" t="s">
        <v>404</v>
      </c>
      <c r="C378" s="525" t="s">
        <v>380</v>
      </c>
      <c r="D378" s="374"/>
      <c r="E378" s="94"/>
      <c r="F378" s="94"/>
      <c r="G378" s="94"/>
      <c r="H378" s="94"/>
      <c r="I378" s="94"/>
      <c r="J378" s="94"/>
      <c r="K378" s="94"/>
      <c r="L378" s="94"/>
      <c r="M378" s="94"/>
      <c r="N378" s="94"/>
      <c r="O378" s="94"/>
      <c r="P378" s="94"/>
      <c r="Q378" s="94"/>
      <c r="R378" s="94"/>
      <c r="S378" s="94"/>
      <c r="T378" s="94"/>
      <c r="U378" s="94"/>
      <c r="V378" s="94"/>
      <c r="W378" s="94"/>
      <c r="X378" s="94"/>
      <c r="Y378" s="293"/>
      <c r="Z378" s="463">
        <f t="shared" si="96"/>
        <v>0</v>
      </c>
      <c r="AA378" s="463">
        <f t="shared" si="97"/>
        <v>0</v>
      </c>
      <c r="AB378" s="327"/>
      <c r="AC378" s="293"/>
      <c r="AD378" s="293"/>
      <c r="AE378" s="293"/>
      <c r="AF378" s="293"/>
      <c r="AG378" s="293"/>
      <c r="AH378" s="293"/>
      <c r="AI378" s="293"/>
      <c r="AJ378" s="65">
        <f t="shared" si="82"/>
        <v>0</v>
      </c>
      <c r="AK378" s="116"/>
      <c r="AL378" s="1181"/>
      <c r="AM378" s="31"/>
      <c r="AN378" s="1282"/>
      <c r="AO378" s="13">
        <v>264</v>
      </c>
      <c r="AP378" s="74"/>
      <c r="AQ378" s="75"/>
    </row>
    <row r="379" spans="1:43" ht="26.25" x14ac:dyDescent="0.4">
      <c r="A379" s="1212"/>
      <c r="B379" s="2" t="s">
        <v>375</v>
      </c>
      <c r="C379" s="526" t="s">
        <v>381</v>
      </c>
      <c r="D379" s="375"/>
      <c r="E379" s="79"/>
      <c r="F379" s="79"/>
      <c r="G379" s="79"/>
      <c r="H379" s="79"/>
      <c r="I379" s="79"/>
      <c r="J379" s="79"/>
      <c r="K379" s="79"/>
      <c r="L379" s="79"/>
      <c r="M379" s="79"/>
      <c r="N379" s="79"/>
      <c r="O379" s="79"/>
      <c r="P379" s="79"/>
      <c r="Q379" s="79"/>
      <c r="R379" s="79"/>
      <c r="S379" s="79"/>
      <c r="T379" s="79"/>
      <c r="U379" s="79"/>
      <c r="V379" s="79"/>
      <c r="W379" s="79"/>
      <c r="X379" s="79"/>
      <c r="Y379" s="290"/>
      <c r="Z379" s="463">
        <f t="shared" si="96"/>
        <v>0</v>
      </c>
      <c r="AA379" s="463">
        <f t="shared" si="97"/>
        <v>0</v>
      </c>
      <c r="AB379" s="328"/>
      <c r="AC379" s="290"/>
      <c r="AD379" s="290"/>
      <c r="AE379" s="290"/>
      <c r="AF379" s="290"/>
      <c r="AG379" s="290"/>
      <c r="AH379" s="290"/>
      <c r="AI379" s="290"/>
      <c r="AJ379" s="29">
        <f t="shared" si="82"/>
        <v>0</v>
      </c>
      <c r="AK379" s="116"/>
      <c r="AL379" s="1181"/>
      <c r="AM379" s="31"/>
      <c r="AN379" s="1282"/>
      <c r="AO379" s="13">
        <v>265</v>
      </c>
      <c r="AP379" s="74"/>
      <c r="AQ379" s="75"/>
    </row>
    <row r="380" spans="1:43" ht="26.25" x14ac:dyDescent="0.4">
      <c r="A380" s="1212"/>
      <c r="B380" s="2" t="s">
        <v>376</v>
      </c>
      <c r="C380" s="526" t="s">
        <v>382</v>
      </c>
      <c r="D380" s="375"/>
      <c r="E380" s="79"/>
      <c r="F380" s="79"/>
      <c r="G380" s="79"/>
      <c r="H380" s="79"/>
      <c r="I380" s="79"/>
      <c r="J380" s="79"/>
      <c r="K380" s="79"/>
      <c r="L380" s="79"/>
      <c r="M380" s="79"/>
      <c r="N380" s="79"/>
      <c r="O380" s="79"/>
      <c r="P380" s="79"/>
      <c r="Q380" s="79"/>
      <c r="R380" s="79"/>
      <c r="S380" s="79"/>
      <c r="T380" s="79"/>
      <c r="U380" s="79"/>
      <c r="V380" s="79"/>
      <c r="W380" s="79"/>
      <c r="X380" s="79"/>
      <c r="Y380" s="290"/>
      <c r="Z380" s="463">
        <f t="shared" si="96"/>
        <v>0</v>
      </c>
      <c r="AA380" s="463">
        <f t="shared" si="97"/>
        <v>0</v>
      </c>
      <c r="AB380" s="328"/>
      <c r="AC380" s="290"/>
      <c r="AD380" s="290"/>
      <c r="AE380" s="290"/>
      <c r="AF380" s="290"/>
      <c r="AG380" s="290"/>
      <c r="AH380" s="290"/>
      <c r="AI380" s="290"/>
      <c r="AJ380" s="29">
        <f t="shared" si="82"/>
        <v>0</v>
      </c>
      <c r="AK380" s="116"/>
      <c r="AL380" s="1181"/>
      <c r="AM380" s="31"/>
      <c r="AN380" s="1282"/>
      <c r="AO380" s="13">
        <v>266</v>
      </c>
      <c r="AP380" s="74"/>
      <c r="AQ380" s="75"/>
    </row>
    <row r="381" spans="1:43" ht="26.25" x14ac:dyDescent="0.4">
      <c r="A381" s="1212"/>
      <c r="B381" s="2" t="s">
        <v>377</v>
      </c>
      <c r="C381" s="526" t="s">
        <v>383</v>
      </c>
      <c r="D381" s="375"/>
      <c r="E381" s="79"/>
      <c r="F381" s="79"/>
      <c r="G381" s="79"/>
      <c r="H381" s="79"/>
      <c r="I381" s="79"/>
      <c r="J381" s="79"/>
      <c r="K381" s="79"/>
      <c r="L381" s="79"/>
      <c r="M381" s="79"/>
      <c r="N381" s="79"/>
      <c r="O381" s="79"/>
      <c r="P381" s="79"/>
      <c r="Q381" s="79"/>
      <c r="R381" s="79"/>
      <c r="S381" s="79"/>
      <c r="T381" s="79"/>
      <c r="U381" s="79"/>
      <c r="V381" s="79"/>
      <c r="W381" s="79"/>
      <c r="X381" s="79"/>
      <c r="Y381" s="290"/>
      <c r="Z381" s="463">
        <f t="shared" si="96"/>
        <v>0</v>
      </c>
      <c r="AA381" s="463">
        <f t="shared" si="97"/>
        <v>0</v>
      </c>
      <c r="AB381" s="328"/>
      <c r="AC381" s="290"/>
      <c r="AD381" s="290"/>
      <c r="AE381" s="290"/>
      <c r="AF381" s="290"/>
      <c r="AG381" s="290"/>
      <c r="AH381" s="290"/>
      <c r="AI381" s="290"/>
      <c r="AJ381" s="29">
        <f t="shared" si="82"/>
        <v>0</v>
      </c>
      <c r="AK381" s="116"/>
      <c r="AL381" s="1181"/>
      <c r="AM381" s="31"/>
      <c r="AN381" s="1282"/>
      <c r="AO381" s="13">
        <v>267</v>
      </c>
      <c r="AP381" s="74"/>
      <c r="AQ381" s="75"/>
    </row>
    <row r="382" spans="1:43" ht="26.25" x14ac:dyDescent="0.4">
      <c r="A382" s="1212"/>
      <c r="B382" s="2" t="s">
        <v>378</v>
      </c>
      <c r="C382" s="526" t="s">
        <v>384</v>
      </c>
      <c r="D382" s="375"/>
      <c r="E382" s="79"/>
      <c r="F382" s="79"/>
      <c r="G382" s="79"/>
      <c r="H382" s="79"/>
      <c r="I382" s="79"/>
      <c r="J382" s="79"/>
      <c r="K382" s="79"/>
      <c r="L382" s="79"/>
      <c r="M382" s="79"/>
      <c r="N382" s="79"/>
      <c r="O382" s="79"/>
      <c r="P382" s="79"/>
      <c r="Q382" s="79"/>
      <c r="R382" s="79"/>
      <c r="S382" s="79"/>
      <c r="T382" s="79"/>
      <c r="U382" s="79"/>
      <c r="V382" s="79"/>
      <c r="W382" s="79"/>
      <c r="X382" s="79"/>
      <c r="Y382" s="290"/>
      <c r="Z382" s="463">
        <f t="shared" si="96"/>
        <v>0</v>
      </c>
      <c r="AA382" s="463">
        <f t="shared" si="97"/>
        <v>0</v>
      </c>
      <c r="AB382" s="328"/>
      <c r="AC382" s="290"/>
      <c r="AD382" s="290"/>
      <c r="AE382" s="290"/>
      <c r="AF382" s="290"/>
      <c r="AG382" s="290"/>
      <c r="AH382" s="290"/>
      <c r="AI382" s="290"/>
      <c r="AJ382" s="29">
        <f t="shared" si="82"/>
        <v>0</v>
      </c>
      <c r="AK382" s="116"/>
      <c r="AL382" s="1181"/>
      <c r="AM382" s="31"/>
      <c r="AN382" s="1282"/>
      <c r="AO382" s="13">
        <v>268</v>
      </c>
      <c r="AP382" s="74"/>
      <c r="AQ382" s="75"/>
    </row>
    <row r="383" spans="1:43" ht="26.25" x14ac:dyDescent="0.4">
      <c r="A383" s="1212"/>
      <c r="B383" s="2" t="s">
        <v>379</v>
      </c>
      <c r="C383" s="526" t="s">
        <v>385</v>
      </c>
      <c r="D383" s="375"/>
      <c r="E383" s="79"/>
      <c r="F383" s="79"/>
      <c r="G383" s="79"/>
      <c r="H383" s="79"/>
      <c r="I383" s="79"/>
      <c r="J383" s="79"/>
      <c r="K383" s="79"/>
      <c r="L383" s="79"/>
      <c r="M383" s="79"/>
      <c r="N383" s="79"/>
      <c r="O383" s="79"/>
      <c r="P383" s="79"/>
      <c r="Q383" s="79"/>
      <c r="R383" s="79"/>
      <c r="S383" s="79"/>
      <c r="T383" s="79"/>
      <c r="U383" s="79"/>
      <c r="V383" s="79"/>
      <c r="W383" s="79"/>
      <c r="X383" s="79"/>
      <c r="Y383" s="290"/>
      <c r="Z383" s="463">
        <f t="shared" si="96"/>
        <v>0</v>
      </c>
      <c r="AA383" s="463">
        <f t="shared" si="97"/>
        <v>0</v>
      </c>
      <c r="AB383" s="328"/>
      <c r="AC383" s="290"/>
      <c r="AD383" s="290"/>
      <c r="AE383" s="290"/>
      <c r="AF383" s="290"/>
      <c r="AG383" s="290"/>
      <c r="AH383" s="290"/>
      <c r="AI383" s="290"/>
      <c r="AJ383" s="29">
        <f t="shared" si="82"/>
        <v>0</v>
      </c>
      <c r="AK383" s="116"/>
      <c r="AL383" s="1181"/>
      <c r="AM383" s="31"/>
      <c r="AN383" s="1282"/>
      <c r="AO383" s="13">
        <v>269</v>
      </c>
      <c r="AP383" s="74"/>
      <c r="AQ383" s="75"/>
    </row>
    <row r="384" spans="1:43" ht="27" thickBot="1" x14ac:dyDescent="0.45">
      <c r="A384" s="1212"/>
      <c r="B384" s="228" t="s">
        <v>399</v>
      </c>
      <c r="C384" s="527" t="s">
        <v>403</v>
      </c>
      <c r="D384" s="486">
        <f>SUM(D378:D383)</f>
        <v>0</v>
      </c>
      <c r="E384" s="487">
        <f t="shared" ref="E384:Y384" si="98">SUM(E378:E383)</f>
        <v>0</v>
      </c>
      <c r="F384" s="487">
        <f t="shared" si="98"/>
        <v>0</v>
      </c>
      <c r="G384" s="487">
        <f t="shared" si="98"/>
        <v>0</v>
      </c>
      <c r="H384" s="487">
        <f t="shared" si="98"/>
        <v>0</v>
      </c>
      <c r="I384" s="487">
        <f t="shared" si="98"/>
        <v>0</v>
      </c>
      <c r="J384" s="487">
        <f t="shared" si="98"/>
        <v>0</v>
      </c>
      <c r="K384" s="487">
        <f t="shared" si="98"/>
        <v>0</v>
      </c>
      <c r="L384" s="487">
        <f t="shared" si="98"/>
        <v>0</v>
      </c>
      <c r="M384" s="487">
        <f t="shared" si="98"/>
        <v>0</v>
      </c>
      <c r="N384" s="487">
        <f t="shared" si="98"/>
        <v>0</v>
      </c>
      <c r="O384" s="487">
        <f t="shared" si="98"/>
        <v>0</v>
      </c>
      <c r="P384" s="487">
        <f t="shared" si="98"/>
        <v>0</v>
      </c>
      <c r="Q384" s="487">
        <f t="shared" si="98"/>
        <v>0</v>
      </c>
      <c r="R384" s="487">
        <f t="shared" si="98"/>
        <v>0</v>
      </c>
      <c r="S384" s="487">
        <f t="shared" si="98"/>
        <v>0</v>
      </c>
      <c r="T384" s="487">
        <f t="shared" si="98"/>
        <v>0</v>
      </c>
      <c r="U384" s="487">
        <f t="shared" si="98"/>
        <v>0</v>
      </c>
      <c r="V384" s="487">
        <f t="shared" si="98"/>
        <v>0</v>
      </c>
      <c r="W384" s="487">
        <f t="shared" si="98"/>
        <v>0</v>
      </c>
      <c r="X384" s="487">
        <f t="shared" si="98"/>
        <v>0</v>
      </c>
      <c r="Y384" s="488">
        <f t="shared" si="98"/>
        <v>0</v>
      </c>
      <c r="Z384" s="489">
        <f>SUM(AB384,AD384,AF384,AH384)</f>
        <v>0</v>
      </c>
      <c r="AA384" s="489">
        <f>SUM(AC384,AE384,AG384,AI384)</f>
        <v>0</v>
      </c>
      <c r="AB384" s="490">
        <f t="shared" ref="AB384:AG384" si="99">SUM(AB378:AB383)</f>
        <v>0</v>
      </c>
      <c r="AC384" s="487">
        <f t="shared" si="99"/>
        <v>0</v>
      </c>
      <c r="AD384" s="487">
        <f t="shared" si="99"/>
        <v>0</v>
      </c>
      <c r="AE384" s="487">
        <f t="shared" si="99"/>
        <v>0</v>
      </c>
      <c r="AF384" s="487">
        <f t="shared" si="99"/>
        <v>0</v>
      </c>
      <c r="AG384" s="487">
        <f t="shared" si="99"/>
        <v>0</v>
      </c>
      <c r="AH384" s="487">
        <f>SUM(AH378:AH383)</f>
        <v>0</v>
      </c>
      <c r="AI384" s="487">
        <f>SUM(AI378:AI383)</f>
        <v>0</v>
      </c>
      <c r="AJ384" s="491">
        <f t="shared" si="82"/>
        <v>0</v>
      </c>
      <c r="AK384" s="116"/>
      <c r="AL384" s="1181"/>
      <c r="AM384" s="31"/>
      <c r="AN384" s="1282"/>
      <c r="AO384" s="13">
        <v>270</v>
      </c>
      <c r="AP384" s="74"/>
      <c r="AQ384" s="75"/>
    </row>
    <row r="385" spans="1:43" ht="33" customHeight="1" thickBot="1" x14ac:dyDescent="0.45">
      <c r="A385" s="1213"/>
      <c r="B385" s="967" t="s">
        <v>420</v>
      </c>
      <c r="C385" s="521" t="s">
        <v>405</v>
      </c>
      <c r="D385" s="976"/>
      <c r="E385" s="930"/>
      <c r="F385" s="930"/>
      <c r="G385" s="930"/>
      <c r="H385" s="930"/>
      <c r="I385" s="930"/>
      <c r="J385" s="930"/>
      <c r="K385" s="930"/>
      <c r="L385" s="930"/>
      <c r="M385" s="930"/>
      <c r="N385" s="930"/>
      <c r="O385" s="930"/>
      <c r="P385" s="930"/>
      <c r="Q385" s="930"/>
      <c r="R385" s="930"/>
      <c r="S385" s="930"/>
      <c r="T385" s="930"/>
      <c r="U385" s="930"/>
      <c r="V385" s="930"/>
      <c r="W385" s="930"/>
      <c r="X385" s="930"/>
      <c r="Y385" s="499"/>
      <c r="Z385" s="492">
        <f t="shared" ref="Z385:Z397" si="100">SUM(AB385,AD385,AF385,AH385)</f>
        <v>0</v>
      </c>
      <c r="AA385" s="492">
        <f t="shared" ref="AA385:AA397" si="101">SUM(AC385,AE385,AG385,AI385)</f>
        <v>0</v>
      </c>
      <c r="AB385" s="498"/>
      <c r="AC385" s="499"/>
      <c r="AD385" s="499"/>
      <c r="AE385" s="499"/>
      <c r="AF385" s="499"/>
      <c r="AG385" s="499"/>
      <c r="AH385" s="499"/>
      <c r="AI385" s="499"/>
      <c r="AJ385" s="493">
        <f t="shared" si="82"/>
        <v>0</v>
      </c>
      <c r="AK385" s="116" t="str">
        <f>(IF(AJ371&gt;0,IF(AJ387=0,"TX_CURR ever initiated on IPT cannot be Zero",""),""))</f>
        <v/>
      </c>
      <c r="AL385" s="1182"/>
      <c r="AM385" s="31"/>
      <c r="AN385" s="1283"/>
      <c r="AO385" s="13">
        <v>271</v>
      </c>
      <c r="AP385" s="74"/>
      <c r="AQ385" s="75"/>
    </row>
    <row r="386" spans="1:43" ht="27" thickBot="1" x14ac:dyDescent="0.45">
      <c r="A386" s="1208" t="s">
        <v>1293</v>
      </c>
      <c r="B386" s="1005" t="s">
        <v>1294</v>
      </c>
      <c r="C386" s="538" t="s">
        <v>1296</v>
      </c>
      <c r="D386" s="642"/>
      <c r="E386" s="580"/>
      <c r="F386" s="580"/>
      <c r="G386" s="580"/>
      <c r="H386" s="580"/>
      <c r="I386" s="580"/>
      <c r="J386" s="580"/>
      <c r="K386" s="580"/>
      <c r="L386" s="580"/>
      <c r="M386" s="580"/>
      <c r="N386" s="580"/>
      <c r="O386" s="580"/>
      <c r="P386" s="580"/>
      <c r="Q386" s="580"/>
      <c r="R386" s="580"/>
      <c r="S386" s="580"/>
      <c r="T386" s="580"/>
      <c r="U386" s="580"/>
      <c r="V386" s="580"/>
      <c r="W386" s="580"/>
      <c r="X386" s="580"/>
      <c r="Y386" s="581"/>
      <c r="Z386" s="985">
        <f t="shared" ref="Z386:Z387" si="102">SUM(AB386,AD386,AF386,AH386)</f>
        <v>0</v>
      </c>
      <c r="AA386" s="986">
        <f t="shared" ref="AA386:AA387" si="103">SUM(AC386,AE386,AG386,AI386)</f>
        <v>0</v>
      </c>
      <c r="AB386" s="642"/>
      <c r="AC386" s="580"/>
      <c r="AD386" s="580"/>
      <c r="AE386" s="580"/>
      <c r="AF386" s="580"/>
      <c r="AG386" s="580"/>
      <c r="AH386" s="580"/>
      <c r="AI386" s="581"/>
      <c r="AJ386" s="968">
        <f>SUM(D386:AA386)</f>
        <v>0</v>
      </c>
      <c r="AK386" s="741" t="str">
        <f>CONCATENATE(IF(D386&gt;D371," * TX_CURR eligible for  IPT/TPT Initiation for Age "&amp;D20&amp;" "&amp;D21&amp;" is more than TX_CURR"&amp;CHAR(10),""),IF(E386&gt;E371," * TX_CURR eligible for  IPT/TPT Initiation for Age "&amp;D20&amp;" "&amp;E21&amp;" is more than TX_CURR"&amp;CHAR(10),""),IF(F386&gt;F371," * TX_CURR eligible for  IPT/TPT Initiation for Age "&amp;F20&amp;" "&amp;F21&amp;" is more than TX_CURR"&amp;CHAR(10),""),IF(G386&gt;G371," * TX_CURR eligible for  IPT/TPT Initiation for Age "&amp;F20&amp;" "&amp;G21&amp;" is more than TX_CURR"&amp;CHAR(10),""),IF(H386&gt;H371," * TX_CURR eligible for  IPT/TPT Initiation for Age "&amp;H20&amp;" "&amp;H21&amp;" is more than TX_CURR"&amp;CHAR(10),""),IF(I386&gt;I371," * TX_CURR eligible for  IPT/TPT Initiation for Age "&amp;H20&amp;" "&amp;I21&amp;" is more than TX_CURR"&amp;CHAR(10),""),IF(J386&gt;J371," * TX_CURR eligible for  IPT/TPT Initiation for Age "&amp;J20&amp;" "&amp;J21&amp;" is more than TX_CURR"&amp;CHAR(10),""),IF(K386&gt;K371," * TX_CURR eligible for  IPT/TPT Initiation for Age "&amp;J20&amp;" "&amp;K21&amp;" is more than TX_CURR"&amp;CHAR(10),""),IF(L386&gt;L371," * TX_CURR eligible for  IPT/TPT Initiation for Age "&amp;L20&amp;" "&amp;L21&amp;" is more than TX_CURR"&amp;CHAR(10),""),IF(M386&gt;M371," * TX_CURR eligible for  IPT/TPT Initiation for Age "&amp;L20&amp;" "&amp;M21&amp;" is more than TX_CURR"&amp;CHAR(10),""),IF(N386&gt;N371," * TX_CURR eligible for  IPT/TPT Initiation for Age "&amp;N20&amp;" "&amp;N21&amp;" is more than TX_CURR"&amp;CHAR(10),""),IF(O386&gt;O371," * TX_CURR eligible for  IPT/TPT Initiation for Age "&amp;N20&amp;" "&amp;O21&amp;" is more than TX_CURR"&amp;CHAR(10),""),IF(P386&gt;P371," * TX_CURR eligible for  IPT/TPT Initiation for Age "&amp;P20&amp;" "&amp;P21&amp;" is more than TX_CURR"&amp;CHAR(10),""),IF(Q386&gt;Q371," * TX_CURR eligible for  IPT/TPT Initiation for Age "&amp;P20&amp;" "&amp;Q21&amp;" is more than TX_CURR"&amp;CHAR(10),""),IF(R386&gt;R371," * TX_CURR eligible for  IPT/TPT Initiation for Age "&amp;R20&amp;" "&amp;R21&amp;" is more than TX_CURR"&amp;CHAR(10),""),IF(S386&gt;S371," * TX_CURR eligible for  IPT/TPT Initiation for Age "&amp;R20&amp;" "&amp;S21&amp;" is more than TX_CURR"&amp;CHAR(10),""),IF(T386&gt;T371," * TX_CURR eligible for  IPT/TPT Initiation for Age "&amp;T20&amp;" "&amp;T21&amp;" is more than TX_CURR"&amp;CHAR(10),""),IF(U386&gt;U371," * TX_CURR eligible for  IPT/TPT Initiation for Age "&amp;T20&amp;" "&amp;U21&amp;" is more than TX_CURR"&amp;CHAR(10),""),IF(V386&gt;V371," * TX_CURR eligible for  IPT/TPT Initiation for Age "&amp;V20&amp;" "&amp;V21&amp;" is more than TX_CURR"&amp;CHAR(10),""),IF(W386&gt;W371," * TX_CURR eligible for  IPT/TPT Initiation for Age "&amp;V20&amp;" "&amp;W21&amp;" is more than TX_CURR"&amp;CHAR(10),""),IF(X386&gt;X371," * TX_CURR eligible for  IPT/TPT Initiation for Age "&amp;X20&amp;" "&amp;X21&amp;" is more than TX_CURR"&amp;CHAR(10),""),IF(Y386&gt;Y371," * TX_CURR eligible for  IPT/TPT Initiation for Age "&amp;X20&amp;" "&amp;Y21&amp;" is more than TX_CURR"&amp;CHAR(10),""),IF(Z386&gt;Z371," * TX_CURR eligible for  IPT/TPT Initiation for Age "&amp;Z20&amp;" "&amp;Z21&amp;" is more than TX_CURR"&amp;CHAR(10),""),IF(AA386&gt;AA371," * TX_CURR eligible for  IPT/TPT Initiation for Age "&amp;Z20&amp;" "&amp;AA21&amp;" is more than TX_CURR"&amp;CHAR(10),""))</f>
        <v/>
      </c>
      <c r="AL386" s="949"/>
      <c r="AM386" s="31"/>
      <c r="AN386" s="948"/>
      <c r="AO386" s="13"/>
      <c r="AP386" s="74"/>
      <c r="AQ386" s="75"/>
    </row>
    <row r="387" spans="1:43" ht="27" thickBot="1" x14ac:dyDescent="0.45">
      <c r="A387" s="1209"/>
      <c r="B387" s="1006" t="s">
        <v>1295</v>
      </c>
      <c r="C387" s="984" t="s">
        <v>1297</v>
      </c>
      <c r="D387" s="643"/>
      <c r="E387" s="629"/>
      <c r="F387" s="629"/>
      <c r="G387" s="629"/>
      <c r="H387" s="629"/>
      <c r="I387" s="629"/>
      <c r="J387" s="629"/>
      <c r="K387" s="629"/>
      <c r="L387" s="629"/>
      <c r="M387" s="629"/>
      <c r="N387" s="629"/>
      <c r="O387" s="629"/>
      <c r="P387" s="629"/>
      <c r="Q387" s="629"/>
      <c r="R387" s="629"/>
      <c r="S387" s="629"/>
      <c r="T387" s="629"/>
      <c r="U387" s="629"/>
      <c r="V387" s="629"/>
      <c r="W387" s="629"/>
      <c r="X387" s="629"/>
      <c r="Y387" s="631"/>
      <c r="Z387" s="985">
        <f t="shared" si="102"/>
        <v>0</v>
      </c>
      <c r="AA387" s="987">
        <f t="shared" si="103"/>
        <v>0</v>
      </c>
      <c r="AB387" s="643"/>
      <c r="AC387" s="629"/>
      <c r="AD387" s="629"/>
      <c r="AE387" s="629"/>
      <c r="AF387" s="629"/>
      <c r="AG387" s="629"/>
      <c r="AH387" s="629"/>
      <c r="AI387" s="631"/>
      <c r="AJ387" s="968">
        <f>SUM(D387:AA387)</f>
        <v>0</v>
      </c>
      <c r="AK387" s="946" t="str">
        <f>CONCATENATE(IF(D387&gt;D386," * TX_CURR Initiated on IPT/TPT for Age "&amp;D20&amp;" "&amp;D21&amp;" is more than TX_CURR eligible for  IPT/TPT Initiation"&amp;CHAR(10),""),IF(E387&gt;E386," * TX_CURR Initiated on IPT/TPT for Age "&amp;D20&amp;" "&amp;E21&amp;" is more than TX_CURR eligible for  IPT/TPT Initiation"&amp;CHAR(10),""),IF(F387&gt;F386," * TX_CURR Initiated on IPT/TPT for Age "&amp;F20&amp;" "&amp;F21&amp;" is more than TX_CURR eligible for  IPT/TPT Initiation"&amp;CHAR(10),""),IF(G387&gt;G386," * TX_CURR Initiated on IPT/TPT for Age "&amp;F20&amp;" "&amp;G21&amp;" is more than TX_CURR eligible for  IPT/TPT Initiation"&amp;CHAR(10),""),IF(H387&gt;H386," * TX_CURR Initiated on IPT/TPT for Age "&amp;H20&amp;" "&amp;H21&amp;" is more than TX_CURR eligible for  IPT/TPT Initiation"&amp;CHAR(10),""),IF(I387&gt;I386," * TX_CURR Initiated on IPT/TPT for Age "&amp;H20&amp;" "&amp;I21&amp;" is more than TX_CURR eligible for  IPT/TPT Initiation"&amp;CHAR(10),""),IF(J387&gt;J386," * TX_CURR Initiated on IPT/TPT for Age "&amp;J20&amp;" "&amp;J21&amp;" is more than TX_CURR eligible for  IPT/TPT Initiation"&amp;CHAR(10),""),IF(K387&gt;K386," * TX_CURR Initiated on IPT/TPT for Age "&amp;J20&amp;" "&amp;K21&amp;" is more than TX_CURR eligible for  IPT/TPT Initiation"&amp;CHAR(10),""),IF(L387&gt;L386," * TX_CURR Initiated on IPT/TPT for Age "&amp;L20&amp;" "&amp;L21&amp;" is more than TX_CURR eligible for  IPT/TPT Initiation"&amp;CHAR(10),""),IF(M387&gt;M386," * TX_CURR Initiated on IPT/TPT for Age "&amp;L20&amp;" "&amp;M21&amp;" is more than TX_CURR eligible for  IPT/TPT Initiation"&amp;CHAR(10),""),IF(N387&gt;N386," * TX_CURR Initiated on IPT/TPT for Age "&amp;N20&amp;" "&amp;N21&amp;" is more than TX_CURR eligible for  IPT/TPT Initiation"&amp;CHAR(10),""),IF(O387&gt;O386," * TX_CURR Initiated on IPT/TPT for Age "&amp;N20&amp;" "&amp;O21&amp;" is more than TX_CURR eligible for  IPT/TPT Initiation"&amp;CHAR(10),""),IF(P387&gt;P386," * TX_CURR Initiated on IPT/TPT for Age "&amp;P20&amp;" "&amp;P21&amp;" is more than TX_CURR eligible for  IPT/TPT Initiation"&amp;CHAR(10),""),IF(Q387&gt;Q386," * TX_CURR Initiated on IPT/TPT for Age "&amp;P20&amp;" "&amp;Q21&amp;" is more than TX_CURR eligible for  IPT/TPT Initiation"&amp;CHAR(10),""),IF(R387&gt;R386," * TX_CURR Initiated on IPT/TPT for Age "&amp;R20&amp;" "&amp;R21&amp;" is more than TX_CURR eligible for  IPT/TPT Initiation"&amp;CHAR(10),""),IF(S387&gt;S386," * TX_CURR Initiated on IPT/TPT for Age "&amp;R20&amp;" "&amp;S21&amp;" is more than TX_CURR eligible for  IPT/TPT Initiation"&amp;CHAR(10),""),IF(T387&gt;T386," * TX_CURR Initiated on IPT/TPT for Age "&amp;T20&amp;" "&amp;T21&amp;" is more than TX_CURR eligible for  IPT/TPT Initiation"&amp;CHAR(10),""),IF(U387&gt;U386," * TX_CURR Initiated on IPT/TPT for Age "&amp;T20&amp;" "&amp;U21&amp;" is more than TX_CURR eligible for  IPT/TPT Initiation"&amp;CHAR(10),""),IF(V387&gt;V386," * TX_CURR Initiated on IPT/TPT for Age "&amp;V20&amp;" "&amp;V21&amp;" is more than TX_CURR eligible for  IPT/TPT Initiation"&amp;CHAR(10),""),IF(W387&gt;W386," * TX_CURR Initiated on IPT/TPT for Age "&amp;V20&amp;" "&amp;W21&amp;" is more than TX_CURR eligible for  IPT/TPT Initiation"&amp;CHAR(10),""),IF(X387&gt;X386," * TX_CURR Initiated on IPT/TPT for Age "&amp;X20&amp;" "&amp;X21&amp;" is more than TX_CURR eligible for  IPT/TPT Initiation"&amp;CHAR(10),""),IF(Y387&gt;Y386," * TX_CURR Initiated on IPT/TPT for Age "&amp;X20&amp;" "&amp;Y21&amp;" is more than TX_CURR eligible for  IPT/TPT Initiation"&amp;CHAR(10),""),IF(Z387&gt;Z386," * TX_CURR Initiated on IPT/TPT for Age "&amp;Z20&amp;" "&amp;Z21&amp;" is more than TX_CURR eligible for  IPT/TPT Initiation"&amp;CHAR(10),""),IF(AA387&gt;AA386," * TX_CURR Initiated on IPT/TPT for Age "&amp;Z20&amp;" "&amp;AA21&amp;" is more than TX_CURR eligible for  IPT/TPT Initiation"&amp;CHAR(10),""))</f>
        <v/>
      </c>
      <c r="AL387" s="949"/>
      <c r="AM387" s="31"/>
      <c r="AN387" s="948"/>
      <c r="AO387" s="13"/>
      <c r="AP387" s="74"/>
      <c r="AQ387" s="75"/>
    </row>
    <row r="388" spans="1:43" s="61" customFormat="1" ht="32.25" customHeight="1" x14ac:dyDescent="0.4">
      <c r="A388" s="1246" t="s">
        <v>556</v>
      </c>
      <c r="B388" s="977" t="s">
        <v>870</v>
      </c>
      <c r="C388" s="969" t="s">
        <v>511</v>
      </c>
      <c r="D388" s="72"/>
      <c r="E388" s="72"/>
      <c r="F388" s="72"/>
      <c r="G388" s="72"/>
      <c r="H388" s="72"/>
      <c r="I388" s="72"/>
      <c r="J388" s="72"/>
      <c r="K388" s="72"/>
      <c r="L388" s="72"/>
      <c r="M388" s="72"/>
      <c r="N388" s="72"/>
      <c r="O388" s="72"/>
      <c r="P388" s="72"/>
      <c r="Q388" s="72"/>
      <c r="R388" s="72"/>
      <c r="S388" s="72"/>
      <c r="T388" s="72"/>
      <c r="U388" s="72"/>
      <c r="V388" s="72"/>
      <c r="W388" s="72"/>
      <c r="X388" s="72"/>
      <c r="Y388" s="289"/>
      <c r="Z388" s="978">
        <f t="shared" si="100"/>
        <v>0</v>
      </c>
      <c r="AA388" s="979">
        <f t="shared" si="101"/>
        <v>0</v>
      </c>
      <c r="AB388" s="136"/>
      <c r="AC388" s="72"/>
      <c r="AD388" s="72"/>
      <c r="AE388" s="72"/>
      <c r="AF388" s="72"/>
      <c r="AG388" s="72"/>
      <c r="AH388" s="72"/>
      <c r="AI388" s="72"/>
      <c r="AJ388" s="52">
        <f t="shared" si="82"/>
        <v>0</v>
      </c>
      <c r="AK388" s="30" t="str">
        <f>CONCATENATE(IF(D402&gt;D388," *  confirmed TB positive newly started on TB treatment "&amp;$D$20&amp;" "&amp;$D$21&amp;" is more than Screening positive for TB Newly enrolled on ART"&amp;CHAR(10),""),IF(E402&gt;E388," *  confirmed TB positive newly started on TB treatment "&amp;$D$20&amp;" "&amp;$E$21&amp;" is more than Screening positive for TB Newly enrolled on ART"&amp;CHAR(10),""),IF(F402&gt;F388," *  confirmed TB positive newly started on TB treatment "&amp;$F$20&amp;" "&amp;$F$21&amp;" is more than Screening positive for TB Newly enrolled on ART"&amp;CHAR(10),""),IF(G402&gt;G388," *  confirmed TB positive newly started on TB treatment "&amp;$F$20&amp;" "&amp;$G$21&amp;" is more than Screening positive for TB Newly enrolled on ART"&amp;CHAR(10),""),IF(H402&gt;H388," *  confirmed TB positive newly started on TB treatment "&amp;$H$20&amp;" "&amp;$H$21&amp;" is more than Screening positive for TB Newly enrolled on ART"&amp;CHAR(10),""),IF(I402&gt;I388," *  confirmed TB positive newly started on TB treatment "&amp;$H$20&amp;" "&amp;$I$21&amp;" is more than Screening positive for TB Newly enrolled on ART"&amp;CHAR(10),""),IF(J402&gt;J388," *  confirmed TB positive newly started on TB treatment "&amp;$J$20&amp;" "&amp;$J$21&amp;" is more than Screening positive for TB Newly enrolled on ART"&amp;CHAR(10),""),IF(K402&gt;K388," *  confirmed TB positive newly started on TB treatment "&amp;$J$20&amp;" "&amp;$K$21&amp;" is more than Screening positive for TB Newly enrolled on ART"&amp;CHAR(10),""),IF(L402&gt;L388," *  confirmed TB positive newly started on TB treatment "&amp;$L$20&amp;" "&amp;$L$21&amp;" is more than Screening positive for TB Newly enrolled on ART"&amp;CHAR(10),""),IF(M402&gt;M388," *  confirmed TB positive newly started on TB treatment "&amp;$L$20&amp;" "&amp;$M$21&amp;" is more than Screening positive for TB Newly enrolled on ART"&amp;CHAR(10),""),IF(N402&gt;N388," *  confirmed TB positive newly started on TB treatment "&amp;$N$20&amp;" "&amp;$N$21&amp;" is more than Screening positive for TB Newly enrolled on ART"&amp;CHAR(10),""),IF(O402&gt;O388," *  confirmed TB positive newly started on TB treatment "&amp;$N$20&amp;" "&amp;$O$21&amp;" is more than Screening positive for TB Newly enrolled on ART"&amp;CHAR(10),""),IF(P402&gt;P388," *  confirmed TB positive newly started on TB treatment "&amp;$P$20&amp;" "&amp;$P$21&amp;" is more than Screening positive for TB Newly enrolled on ART"&amp;CHAR(10),""),IF(Q402&gt;Q388," *  confirmed TB positive newly started on TB treatment "&amp;$P$20&amp;" "&amp;$Q$21&amp;" is more than Screening positive for TB Newly enrolled on ART"&amp;CHAR(10),""),IF(R402&gt;R388," *  confirmed TB positive newly started on TB treatment "&amp;$R$20&amp;" "&amp;$R$21&amp;" is more than Screening positive for TB Newly enrolled on ART"&amp;CHAR(10),""),IF(S402&gt;S388," *  confirmed TB positive newly started on TB treatment "&amp;$R$20&amp;" "&amp;$S$21&amp;" is more than Screening positive for TB Newly enrolled on ART"&amp;CHAR(10),""),IF(T402&gt;T388," *  confirmed TB positive newly started on TB treatment "&amp;$T$20&amp;" "&amp;$T$21&amp;" is more than Screening positive for TB Newly enrolled on ART"&amp;CHAR(10),""),IF(U402&gt;U388," *  confirmed TB positive newly started on TB treatment "&amp;$T$20&amp;" "&amp;$U$21&amp;" is more than Screening positive for TB Newly enrolled on ART"&amp;CHAR(10),""),IF(V402&gt;V388," *  confirmed TB positive newly started on TB treatment "&amp;$V$20&amp;" "&amp;$V$21&amp;" is more than Screening positive for TB Newly enrolled on ART"&amp;CHAR(10),""),IF(W402&gt;W388," *  confirmed TB positive newly started on TB treatment "&amp;$V$20&amp;" "&amp;$W$21&amp;" is more than Screening positive for TB Newly enrolled on ART"&amp;CHAR(10),""),IF(X402&gt;X388," *  confirmed TB positive newly started on TB treatment "&amp;$X$20&amp;" "&amp;$X$21&amp;" is more than Screening positive for TB Newly enrolled on ART"&amp;CHAR(10),""),IF(Y402&gt;Y388," *  confirmed TB positive newly started on TB treatment "&amp;$X$20&amp;" "&amp;$Y$21&amp;" is more than Screening positive for TB Newly enrolled on ART"&amp;CHAR(10),""),IF(Z402&gt;Z388," *  confirmed TB positive newly started on TB treatment "&amp;$Z$20&amp;" "&amp;$Z$21&amp;" is more than Screening positive for TB Newly enrolled on ART"&amp;CHAR(10),""),IF(AA402&gt;AA388," *  confirmed TB positive newly started on TB treatment "&amp;$Z$20&amp;" "&amp;$AA$21&amp;" is more than Screening positive for TB Newly enrolled on ART"&amp;CHAR(10),""))</f>
        <v/>
      </c>
      <c r="AL388" s="1180" t="str">
        <f>CONCATENATE(AK388,AK389,AK390,AK391,AK392,AK393,AK394,AK395,AK396,AK397,AK398,AK402,AK403,AK404)</f>
        <v/>
      </c>
      <c r="AM388" s="60" t="str">
        <f>CONCATENATE(IF(D402&lt;D388," *  confirmed TB positive newly started on TB treatment "&amp;$D$20&amp;" "&amp;$D$21&amp;" is less than Screening positive for TB Newly enrolled on ART"&amp;CHAR(10),""),IF(E402&lt;E388," *  confirmed TB positive newly started on TB treatment "&amp;$D$20&amp;" "&amp;$E$21&amp;" is less than Screening positive for TB Newly enrolled on ART"&amp;CHAR(10),""),IF(F402&lt;F388," *  confirmed TB positive newly started on TB treatment "&amp;$F$20&amp;" "&amp;$F$21&amp;" is less than Screening positive for TB Newly enrolled on ART"&amp;CHAR(10),""),IF(G402&lt;G388," *  confirmed TB positive newly started on TB treatment "&amp;$F$20&amp;" "&amp;$G$21&amp;" is less than Screening positive for TB Newly enrolled on ART"&amp;CHAR(10),""),IF(H402&lt;H388," *  confirmed TB positive newly started on TB treatment "&amp;$H$20&amp;" "&amp;$H$21&amp;" is less than Screening positive for TB Newly enrolled on ART"&amp;CHAR(10),""),IF(I402&lt;I388," *  confirmed TB positive newly started on TB treatment "&amp;$H$20&amp;" "&amp;$I$21&amp;" is less than Screening positive for TB Newly enrolled on ART"&amp;CHAR(10),""),IF(J402&lt;J388," *  confirmed TB positive newly started on TB treatment "&amp;$J$20&amp;" "&amp;$J$21&amp;" is less than Screening positive for TB Newly enrolled on ART"&amp;CHAR(10),""),IF(K402&lt;K388," *  confirmed TB positive newly started on TB treatment "&amp;$J$20&amp;" "&amp;$K$21&amp;" is less than Screening positive for TB Newly enrolled on ART"&amp;CHAR(10),""),IF(L402&lt;L388," *  confirmed TB positive newly started on TB treatment "&amp;$L$20&amp;" "&amp;$L$21&amp;" is less than Screening positive for TB Newly enrolled on ART"&amp;CHAR(10),""),IF(M402&lt;M388," *  confirmed TB positive newly started on TB treatment "&amp;$L$20&amp;" "&amp;$M$21&amp;" is less than Screening positive for TB Newly enrolled on ART"&amp;CHAR(10),""),IF(N402&lt;N388," *  confirmed TB positive newly started on TB treatment "&amp;$N$20&amp;" "&amp;$N$21&amp;" is less than Screening positive for TB Newly enrolled on ART"&amp;CHAR(10),""),IF(O402&lt;O388," *  confirmed TB positive newly started on TB treatment "&amp;$N$20&amp;" "&amp;$O$21&amp;" is less than Screening positive for TB Newly enrolled on ART"&amp;CHAR(10),""),IF(P402&lt;P388," *  confirmed TB positive newly started on TB treatment "&amp;$P$20&amp;" "&amp;$P$21&amp;" is less than Screening positive for TB Newly enrolled on ART"&amp;CHAR(10),""),IF(Q402&lt;Q388," *  confirmed TB positive newly started on TB treatment "&amp;$P$20&amp;" "&amp;$Q$21&amp;" is less than Screening positive for TB Newly enrolled on ART"&amp;CHAR(10),""),IF(R402&lt;R388," *  confirmed TB positive newly started on TB treatment "&amp;$R$20&amp;" "&amp;$R$21&amp;" is less than Screening positive for TB Newly enrolled on ART"&amp;CHAR(10),""),IF(S402&lt;S388," *  confirmed TB positive newly started on TB treatment "&amp;$R$20&amp;" "&amp;$S$21&amp;" is less than Screening positive for TB Newly enrolled on ART"&amp;CHAR(10),""),IF(T402&lt;T388," *  confirmed TB positive newly started on TB treatment "&amp;$T$20&amp;" "&amp;$T$21&amp;" is less than Screening positive for TB Newly enrolled on ART"&amp;CHAR(10),""),IF(U402&lt;U388," *  confirmed TB positive newly started on TB treatment "&amp;$T$20&amp;" "&amp;$U$21&amp;" is less than Screening positive for TB Newly enrolled on ART"&amp;CHAR(10),""),IF(V402&lt;V388," *  confirmed TB positive newly started on TB treatment "&amp;$V$20&amp;" "&amp;$V$21&amp;" is less than Screening positive for TB Newly enrolled on ART"&amp;CHAR(10),""),IF(W402&lt;W388," *  confirmed TB positive newly started on TB treatment "&amp;$V$20&amp;" "&amp;$W$21&amp;" is less than Screening positive for TB Newly enrolled on ART"&amp;CHAR(10),""),IF(X402&lt;X388," *  confirmed TB positive newly started on TB treatment "&amp;$X$20&amp;" "&amp;$X$21&amp;" is less than Screening positive for TB Newly enrolled on ART"&amp;CHAR(10),""),IF(Y402&lt;Y388," *  confirmed TB positive newly started on TB treatment "&amp;$X$20&amp;" "&amp;$Y$21&amp;" is less than Screening positive for TB Newly enrolled on ART"&amp;CHAR(10),""),IF(Z402&lt;Z388," *  confirmed TB positive newly started on TB treatment "&amp;$Z$20&amp;" "&amp;$Z$21&amp;" is less than Screening positive for TB Newly enrolled on ART"&amp;CHAR(10),""),IF(AA402&lt;AA388," *  confirmed TB positive newly started on TB treatment "&amp;$Z$20&amp;" "&amp;$AA$21&amp;" is less than Screening positive for TB Newly enrolled on ART"&amp;CHAR(10),""))</f>
        <v/>
      </c>
      <c r="AN388" s="1271" t="str">
        <f>CONCATENATE(AM388,AM389,AM390,AM391,AM392,AM393,AM394,AM395,AM396,AM397,AM398,AM402,AM403,AM404)</f>
        <v/>
      </c>
      <c r="AO388" s="13">
        <v>272</v>
      </c>
      <c r="AP388" s="80"/>
      <c r="AQ388" s="75"/>
    </row>
    <row r="389" spans="1:43" ht="30.75" customHeight="1" x14ac:dyDescent="0.4">
      <c r="A389" s="1247"/>
      <c r="B389" s="511" t="s">
        <v>897</v>
      </c>
      <c r="C389" s="526" t="s">
        <v>512</v>
      </c>
      <c r="D389" s="79"/>
      <c r="E389" s="79"/>
      <c r="F389" s="79"/>
      <c r="G389" s="79"/>
      <c r="H389" s="79"/>
      <c r="I389" s="79"/>
      <c r="J389" s="79"/>
      <c r="K389" s="79"/>
      <c r="L389" s="79"/>
      <c r="M389" s="79"/>
      <c r="N389" s="79"/>
      <c r="O389" s="79"/>
      <c r="P389" s="79"/>
      <c r="Q389" s="79"/>
      <c r="R389" s="79"/>
      <c r="S389" s="79"/>
      <c r="T389" s="79"/>
      <c r="U389" s="79"/>
      <c r="V389" s="79"/>
      <c r="W389" s="79"/>
      <c r="X389" s="79"/>
      <c r="Y389" s="290"/>
      <c r="Z389" s="982">
        <f t="shared" si="100"/>
        <v>0</v>
      </c>
      <c r="AA389" s="983">
        <f t="shared" si="101"/>
        <v>0</v>
      </c>
      <c r="AB389" s="223"/>
      <c r="AC389" s="79"/>
      <c r="AD389" s="79"/>
      <c r="AE389" s="79"/>
      <c r="AF389" s="79"/>
      <c r="AG389" s="79"/>
      <c r="AH389" s="79"/>
      <c r="AI389" s="79"/>
      <c r="AJ389" s="171">
        <f t="shared" si="82"/>
        <v>0</v>
      </c>
      <c r="AK389" s="510" t="str">
        <f>CONCATENATE(IF(D403&gt;D389," *  Confirmed TB positive already on ART and on TB treatment "&amp;$D$20&amp;" "&amp;$D$21&amp;" is more than Screening positive for TB Previously enrolled on ART"&amp;CHAR(10),""),IF(E403&gt;E389," *  Confirmed TB positive already on ART and on TB treatment "&amp;$D$20&amp;" "&amp;$E$21&amp;" is more than Screening positive for TB Previously enrolled on ART"&amp;CHAR(10),""),IF(F403&gt;F389," *  Confirmed TB positive already on ART and on TB treatment "&amp;$F$20&amp;" "&amp;$F$21&amp;" is more than Screening positive for TB Previously enrolled on ART"&amp;CHAR(10),""),IF(G403&gt;G389," *  Confirmed TB positive already on ART and on TB treatment "&amp;$F$20&amp;" "&amp;$G$21&amp;" is more than Screening positive for TB Previously enrolled on ART"&amp;CHAR(10),""),IF(H403&gt;H389," *  Confirmed TB positive already on ART and on TB treatment "&amp;$H$20&amp;" "&amp;$H$21&amp;" is more than Screening positive for TB Previously enrolled on ART"&amp;CHAR(10),""),IF(I403&gt;I389," *  Confirmed TB positive already on ART and on TB treatment "&amp;$H$20&amp;" "&amp;$I$21&amp;" is more than Screening positive for TB Previously enrolled on ART"&amp;CHAR(10),""),IF(J403&gt;J389," *  Confirmed TB positive already on ART and on TB treatment "&amp;$J$20&amp;" "&amp;$J$21&amp;" is more than Screening positive for TB Previously enrolled on ART"&amp;CHAR(10),""),IF(K403&gt;K389," *  Confirmed TB positive already on ART and on TB treatment "&amp;$J$20&amp;" "&amp;$K$21&amp;" is more than Screening positive for TB Previously enrolled on ART"&amp;CHAR(10),""),IF(L403&gt;L389," *  Confirmed TB positive already on ART and on TB treatment "&amp;$L$20&amp;" "&amp;$L$21&amp;" is more than Screening positive for TB Previously enrolled on ART"&amp;CHAR(10),""),IF(M403&gt;M389," *  Confirmed TB positive already on ART and on TB treatment "&amp;$L$20&amp;" "&amp;$M$21&amp;" is more than Screening positive for TB Previously enrolled on ART"&amp;CHAR(10),""),IF(N403&gt;N389," *  Confirmed TB positive already on ART and on TB treatment "&amp;$N$20&amp;" "&amp;$N$21&amp;" is more than Screening positive for TB Previously enrolled on ART"&amp;CHAR(10),""),IF(O403&gt;O389," *  Confirmed TB positive already on ART and on TB treatment "&amp;$N$20&amp;" "&amp;$O$21&amp;" is more than Screening positive for TB Previously enrolled on ART"&amp;CHAR(10),""),IF(P403&gt;P389," *  Confirmed TB positive already on ART and on TB treatment "&amp;$P$20&amp;" "&amp;$P$21&amp;" is more than Screening positive for TB Previously enrolled on ART"&amp;CHAR(10),""),IF(Q403&gt;Q389," *  Confirmed TB positive already on ART and on TB treatment "&amp;$P$20&amp;" "&amp;$Q$21&amp;" is more than Screening positive for TB Previously enrolled on ART"&amp;CHAR(10),""),IF(R403&gt;R389," *  Confirmed TB positive already on ART and on TB treatment "&amp;$R$20&amp;" "&amp;$R$21&amp;" is more than Screening positive for TB Previously enrolled on ART"&amp;CHAR(10),""),IF(S403&gt;S389," *  Confirmed TB positive already on ART and on TB treatment "&amp;$R$20&amp;" "&amp;$S$21&amp;" is more than Screening positive for TB Previously enrolled on ART"&amp;CHAR(10),""),IF(T403&gt;T389," *  Confirmed TB positive already on ART and on TB treatment "&amp;$T$20&amp;" "&amp;$T$21&amp;" is more than Screening positive for TB Previously enrolled on ART"&amp;CHAR(10),""),IF(U403&gt;U389," *  Confirmed TB positive already on ART and on TB treatment "&amp;$T$20&amp;" "&amp;$U$21&amp;" is more than Screening positive for TB Previously enrolled on ART"&amp;CHAR(10),""),IF(V403&gt;V389," *  Confirmed TB positive already on ART and on TB treatment "&amp;$V$20&amp;" "&amp;$V$21&amp;" is more than Screening positive for TB Previously enrolled on ART"&amp;CHAR(10),""),IF(W403&gt;W389," *  Confirmed TB positive already on ART and on TB treatment "&amp;$V$20&amp;" "&amp;$W$21&amp;" is more than Screening positive for TB Previously enrolled on ART"&amp;CHAR(10),""),IF(X403&gt;X389," *  Confirmed TB positive already on ART and on TB treatment "&amp;$X$20&amp;" "&amp;$X$21&amp;" is more than Screening positive for TB Previously enrolled on ART"&amp;CHAR(10),""),IF(Y403&gt;Y389," *  Confirmed TB positive already on ART and on TB treatment "&amp;$X$20&amp;" "&amp;$Y$21&amp;" is more than Screening positive for TB Previously enrolled on ART"&amp;CHAR(10),""),IF(Z403&gt;Z389," *  Confirmed TB positive already on ART and on TB treatment "&amp;$Z$20&amp;" "&amp;$Z$21&amp;" is more than Screening positive for TB Previously enrolled on ART"&amp;CHAR(10),""),IF(AA403&gt;AA389," *  Confirmed TB positive already on ART and on TB treatment "&amp;$Z$20&amp;" "&amp;$AA$21&amp;" is more than Screening positive for TB Previously enrolled on ART"&amp;CHAR(10),""))</f>
        <v/>
      </c>
      <c r="AL389" s="1181"/>
      <c r="AM389" s="31" t="str">
        <f>CONCATENATE(IF(D403&lt;D389," *  Confirmed TB positive already on ART and on TB treatment "&amp;$D$20&amp;" "&amp;$D$21&amp;" is less than Screening positive for TB Previously enrolled on ART"&amp;CHAR(10),""),IF(E403&lt;E389," *  Confirmed TB positive already on ART and on TB treatment "&amp;$D$20&amp;" "&amp;$E$21&amp;" is less than Screening positive for TB Previously enrolled on ART"&amp;CHAR(10),""),IF(F403&lt;F389," *  Confirmed TB positive already on ART and on TB treatment "&amp;$F$20&amp;" "&amp;$F$21&amp;" is less than Screening positive for TB Previously enrolled on ART"&amp;CHAR(10),""),IF(G403&lt;G389," *  Confirmed TB positive already on ART and on TB treatment "&amp;$F$20&amp;" "&amp;$G$21&amp;" is less than Screening positive for TB Previously enrolled on ART"&amp;CHAR(10),""),IF(H403&lt;H389," *  Confirmed TB positive already on ART and on TB treatment "&amp;$H$20&amp;" "&amp;$H$21&amp;" is less than Screening positive for TB Previously enrolled on ART"&amp;CHAR(10),""),IF(I403&lt;I389," *  Confirmed TB positive already on ART and on TB treatment "&amp;$H$20&amp;" "&amp;$I$21&amp;" is less than Screening positive for TB Previously enrolled on ART"&amp;CHAR(10),""),IF(J403&lt;J389," *  Confirmed TB positive already on ART and on TB treatment "&amp;$J$20&amp;" "&amp;$J$21&amp;" is less than Screening positive for TB Previously enrolled on ART"&amp;CHAR(10),""),IF(K403&lt;K389," *  Confirmed TB positive already on ART and on TB treatment "&amp;$J$20&amp;" "&amp;$K$21&amp;" is less than Screening positive for TB Previously enrolled on ART"&amp;CHAR(10),""),IF(L403&lt;L389," *  Confirmed TB positive already on ART and on TB treatment "&amp;$L$20&amp;" "&amp;$L$21&amp;" is less than Screening positive for TB Previously enrolled on ART"&amp;CHAR(10),""),IF(M403&lt;M389," *  Confirmed TB positive already on ART and on TB treatment "&amp;$L$20&amp;" "&amp;$M$21&amp;" is less than Screening positive for TB Previously enrolled on ART"&amp;CHAR(10),""),IF(N403&lt;N389," *  Confirmed TB positive already on ART and on TB treatment "&amp;$N$20&amp;" "&amp;$N$21&amp;" is less than Screening positive for TB Previously enrolled on ART"&amp;CHAR(10),""),IF(O403&lt;O389," *  Confirmed TB positive already on ART and on TB treatment "&amp;$N$20&amp;" "&amp;$O$21&amp;" is less than Screening positive for TB Previously enrolled on ART"&amp;CHAR(10),""),IF(P403&lt;P389," *  Confirmed TB positive already on ART and on TB treatment "&amp;$P$20&amp;" "&amp;$P$21&amp;" is less than Screening positive for TB Previously enrolled on ART"&amp;CHAR(10),""),IF(Q403&lt;Q389," *  Confirmed TB positive already on ART and on TB treatment "&amp;$P$20&amp;" "&amp;$Q$21&amp;" is less than Screening positive for TB Previously enrolled on ART"&amp;CHAR(10),""),IF(R403&lt;R389," *  Confirmed TB positive already on ART and on TB treatment "&amp;$R$20&amp;" "&amp;$R$21&amp;" is less than Screening positive for TB Previously enrolled on ART"&amp;CHAR(10),""),IF(S403&lt;S389," *  Confirmed TB positive already on ART and on TB treatment "&amp;$R$20&amp;" "&amp;$S$21&amp;" is less than Screening positive for TB Previously enrolled on ART"&amp;CHAR(10),""),IF(T403&lt;T389," *  Confirmed TB positive already on ART and on TB treatment "&amp;$T$20&amp;" "&amp;$T$21&amp;" is less than Screening positive for TB Previously enrolled on ART"&amp;CHAR(10),""),IF(U403&lt;U389," *  Confirmed TB positive already on ART and on TB treatment "&amp;$T$20&amp;" "&amp;$U$21&amp;" is less than Screening positive for TB Previously enrolled on ART"&amp;CHAR(10),""),IF(V403&lt;V389," *  Confirmed TB positive already on ART and on TB treatment "&amp;$V$20&amp;" "&amp;$V$21&amp;" is less than Screening positive for TB Previously enrolled on ART"&amp;CHAR(10),""),IF(W403&lt;W389," *  Confirmed TB positive already on ART and on TB treatment "&amp;$V$20&amp;" "&amp;$W$21&amp;" is less than Screening positive for TB Previously enrolled on ART"&amp;CHAR(10),""),IF(X403&lt;X389," *  Confirmed TB positive already on ART and on TB treatment "&amp;$X$20&amp;" "&amp;$X$21&amp;" is less than Screening positive for TB Previously enrolled on ART"&amp;CHAR(10),""),IF(Y403&lt;Y389," *  Confirmed TB positive already on ART and on TB treatment "&amp;$X$20&amp;" "&amp;$Y$21&amp;" is less than Screening positive for TB Previously enrolled on ART"&amp;CHAR(10),""),IF(Z403&lt;Z389," *  Confirmed TB positive already on ART and on TB treatment "&amp;$Z$20&amp;" "&amp;$Z$21&amp;" is less than Screening positive for TB Previously enrolled on ART"&amp;CHAR(10),""),IF(AA403&lt;AA389," *  Confirmed TB positive already on ART and on TB treatment "&amp;$Z$20&amp;" "&amp;$AA$21&amp;" is less than Screening positive for TB Previously enrolled on ART"&amp;CHAR(10),""))</f>
        <v/>
      </c>
      <c r="AN389" s="1282"/>
      <c r="AO389" s="13">
        <v>273</v>
      </c>
      <c r="AP389" s="74"/>
      <c r="AQ389" s="75"/>
    </row>
    <row r="390" spans="1:43" ht="27" thickBot="1" x14ac:dyDescent="0.45">
      <c r="A390" s="1247"/>
      <c r="B390" s="228" t="s">
        <v>742</v>
      </c>
      <c r="C390" s="527" t="s">
        <v>510</v>
      </c>
      <c r="D390" s="227">
        <f t="shared" ref="D390:Y390" si="104">D388+D389</f>
        <v>0</v>
      </c>
      <c r="E390" s="227">
        <f t="shared" si="104"/>
        <v>0</v>
      </c>
      <c r="F390" s="227">
        <f t="shared" si="104"/>
        <v>0</v>
      </c>
      <c r="G390" s="227">
        <f t="shared" si="104"/>
        <v>0</v>
      </c>
      <c r="H390" s="227">
        <f t="shared" si="104"/>
        <v>0</v>
      </c>
      <c r="I390" s="227">
        <f t="shared" si="104"/>
        <v>0</v>
      </c>
      <c r="J390" s="227">
        <f t="shared" si="104"/>
        <v>0</v>
      </c>
      <c r="K390" s="227">
        <f t="shared" si="104"/>
        <v>0</v>
      </c>
      <c r="L390" s="227">
        <f t="shared" si="104"/>
        <v>0</v>
      </c>
      <c r="M390" s="227">
        <f t="shared" si="104"/>
        <v>0</v>
      </c>
      <c r="N390" s="227">
        <f t="shared" si="104"/>
        <v>0</v>
      </c>
      <c r="O390" s="227">
        <f t="shared" si="104"/>
        <v>0</v>
      </c>
      <c r="P390" s="227">
        <f t="shared" si="104"/>
        <v>0</v>
      </c>
      <c r="Q390" s="227">
        <f t="shared" si="104"/>
        <v>0</v>
      </c>
      <c r="R390" s="227">
        <f t="shared" si="104"/>
        <v>0</v>
      </c>
      <c r="S390" s="227">
        <f t="shared" si="104"/>
        <v>0</v>
      </c>
      <c r="T390" s="227">
        <f t="shared" si="104"/>
        <v>0</v>
      </c>
      <c r="U390" s="227">
        <f t="shared" si="104"/>
        <v>0</v>
      </c>
      <c r="V390" s="227">
        <f t="shared" si="104"/>
        <v>0</v>
      </c>
      <c r="W390" s="227">
        <f t="shared" si="104"/>
        <v>0</v>
      </c>
      <c r="X390" s="227">
        <f t="shared" si="104"/>
        <v>0</v>
      </c>
      <c r="Y390" s="326">
        <f t="shared" si="104"/>
        <v>0</v>
      </c>
      <c r="Z390" s="980">
        <f t="shared" si="100"/>
        <v>0</v>
      </c>
      <c r="AA390" s="981">
        <f t="shared" si="101"/>
        <v>0</v>
      </c>
      <c r="AB390" s="227">
        <f t="shared" ref="AB390:AI390" si="105">AB388+AB389</f>
        <v>0</v>
      </c>
      <c r="AC390" s="227">
        <f t="shared" si="105"/>
        <v>0</v>
      </c>
      <c r="AD390" s="227">
        <f t="shared" si="105"/>
        <v>0</v>
      </c>
      <c r="AE390" s="227">
        <f t="shared" si="105"/>
        <v>0</v>
      </c>
      <c r="AF390" s="227">
        <f t="shared" si="105"/>
        <v>0</v>
      </c>
      <c r="AG390" s="227">
        <f t="shared" si="105"/>
        <v>0</v>
      </c>
      <c r="AH390" s="227">
        <f t="shared" si="105"/>
        <v>0</v>
      </c>
      <c r="AI390" s="227">
        <f t="shared" si="105"/>
        <v>0</v>
      </c>
      <c r="AJ390" s="184">
        <f t="shared" si="82"/>
        <v>0</v>
      </c>
      <c r="AK390" s="116"/>
      <c r="AL390" s="1181"/>
      <c r="AM390" s="31"/>
      <c r="AN390" s="1282"/>
      <c r="AO390" s="13">
        <v>274</v>
      </c>
      <c r="AP390" s="74"/>
      <c r="AQ390" s="75"/>
    </row>
    <row r="391" spans="1:43" ht="26.25" x14ac:dyDescent="0.4">
      <c r="A391" s="1247"/>
      <c r="B391" s="229" t="s">
        <v>551</v>
      </c>
      <c r="C391" s="543" t="s">
        <v>513</v>
      </c>
      <c r="D391" s="136"/>
      <c r="E391" s="72"/>
      <c r="F391" s="72"/>
      <c r="G391" s="72"/>
      <c r="H391" s="72"/>
      <c r="I391" s="72"/>
      <c r="J391" s="72"/>
      <c r="K391" s="72"/>
      <c r="L391" s="72"/>
      <c r="M391" s="72"/>
      <c r="N391" s="72"/>
      <c r="O391" s="72"/>
      <c r="P391" s="72"/>
      <c r="Q391" s="72"/>
      <c r="R391" s="72"/>
      <c r="S391" s="72"/>
      <c r="T391" s="72"/>
      <c r="U391" s="72"/>
      <c r="V391" s="72"/>
      <c r="W391" s="72"/>
      <c r="X391" s="72"/>
      <c r="Y391" s="72"/>
      <c r="Z391" s="494">
        <f t="shared" si="100"/>
        <v>0</v>
      </c>
      <c r="AA391" s="494">
        <f t="shared" si="101"/>
        <v>0</v>
      </c>
      <c r="AB391" s="72"/>
      <c r="AC391" s="72"/>
      <c r="AD391" s="72"/>
      <c r="AE391" s="72"/>
      <c r="AF391" s="72"/>
      <c r="AG391" s="72"/>
      <c r="AH391" s="72"/>
      <c r="AI391" s="72"/>
      <c r="AJ391" s="52">
        <f t="shared" si="82"/>
        <v>0</v>
      </c>
      <c r="AK391" s="116"/>
      <c r="AL391" s="1181"/>
      <c r="AM391" s="31"/>
      <c r="AN391" s="1282"/>
      <c r="AO391" s="13">
        <v>275</v>
      </c>
      <c r="AP391" s="74"/>
      <c r="AQ391" s="75"/>
    </row>
    <row r="392" spans="1:43" ht="26.25" x14ac:dyDescent="0.4">
      <c r="A392" s="1247"/>
      <c r="B392" s="2" t="s">
        <v>552</v>
      </c>
      <c r="C392" s="526" t="s">
        <v>545</v>
      </c>
      <c r="D392" s="223"/>
      <c r="E392" s="79"/>
      <c r="F392" s="79"/>
      <c r="G392" s="79"/>
      <c r="H392" s="79"/>
      <c r="I392" s="79"/>
      <c r="J392" s="79"/>
      <c r="K392" s="79"/>
      <c r="L392" s="79"/>
      <c r="M392" s="79"/>
      <c r="N392" s="79"/>
      <c r="O392" s="79"/>
      <c r="P392" s="79"/>
      <c r="Q392" s="79"/>
      <c r="R392" s="79"/>
      <c r="S392" s="79"/>
      <c r="T392" s="79"/>
      <c r="U392" s="79"/>
      <c r="V392" s="79"/>
      <c r="W392" s="79"/>
      <c r="X392" s="79"/>
      <c r="Y392" s="79"/>
      <c r="Z392" s="463">
        <f t="shared" si="100"/>
        <v>0</v>
      </c>
      <c r="AA392" s="463">
        <f t="shared" si="101"/>
        <v>0</v>
      </c>
      <c r="AB392" s="79"/>
      <c r="AC392" s="79"/>
      <c r="AD392" s="79"/>
      <c r="AE392" s="79"/>
      <c r="AF392" s="79"/>
      <c r="AG392" s="79"/>
      <c r="AH392" s="79"/>
      <c r="AI392" s="79"/>
      <c r="AJ392" s="171">
        <f t="shared" si="82"/>
        <v>0</v>
      </c>
      <c r="AK392" s="116" t="str">
        <f>IF(AJ371&gt;0,IF(AJ393&lt;1," No Patient was screened for TB",""),"")</f>
        <v/>
      </c>
      <c r="AL392" s="1181"/>
      <c r="AM392" s="31"/>
      <c r="AN392" s="1282"/>
      <c r="AO392" s="13">
        <v>276</v>
      </c>
      <c r="AP392" s="74"/>
      <c r="AQ392" s="75"/>
    </row>
    <row r="393" spans="1:43" ht="27" thickBot="1" x14ac:dyDescent="0.45">
      <c r="A393" s="1247"/>
      <c r="B393" s="228" t="s">
        <v>743</v>
      </c>
      <c r="C393" s="527" t="s">
        <v>267</v>
      </c>
      <c r="D393" s="230">
        <f>SUM(D392,D391,D390)</f>
        <v>0</v>
      </c>
      <c r="E393" s="230">
        <f t="shared" ref="E393:Y393" si="106">SUM(E392,E391,E390)</f>
        <v>0</v>
      </c>
      <c r="F393" s="230">
        <f t="shared" si="106"/>
        <v>0</v>
      </c>
      <c r="G393" s="230">
        <f t="shared" si="106"/>
        <v>0</v>
      </c>
      <c r="H393" s="230">
        <f t="shared" si="106"/>
        <v>0</v>
      </c>
      <c r="I393" s="230">
        <f t="shared" si="106"/>
        <v>0</v>
      </c>
      <c r="J393" s="230">
        <f t="shared" si="106"/>
        <v>0</v>
      </c>
      <c r="K393" s="230">
        <f t="shared" si="106"/>
        <v>0</v>
      </c>
      <c r="L393" s="230">
        <f t="shared" si="106"/>
        <v>0</v>
      </c>
      <c r="M393" s="230">
        <f t="shared" si="106"/>
        <v>0</v>
      </c>
      <c r="N393" s="230">
        <f t="shared" si="106"/>
        <v>0</v>
      </c>
      <c r="O393" s="230">
        <f t="shared" si="106"/>
        <v>0</v>
      </c>
      <c r="P393" s="230">
        <f t="shared" si="106"/>
        <v>0</v>
      </c>
      <c r="Q393" s="230">
        <f t="shared" si="106"/>
        <v>0</v>
      </c>
      <c r="R393" s="230">
        <f t="shared" si="106"/>
        <v>0</v>
      </c>
      <c r="S393" s="230">
        <f t="shared" si="106"/>
        <v>0</v>
      </c>
      <c r="T393" s="230">
        <f t="shared" si="106"/>
        <v>0</v>
      </c>
      <c r="U393" s="230">
        <f t="shared" si="106"/>
        <v>0</v>
      </c>
      <c r="V393" s="230">
        <f t="shared" si="106"/>
        <v>0</v>
      </c>
      <c r="W393" s="230">
        <f t="shared" si="106"/>
        <v>0</v>
      </c>
      <c r="X393" s="230">
        <f t="shared" si="106"/>
        <v>0</v>
      </c>
      <c r="Y393" s="230">
        <f t="shared" si="106"/>
        <v>0</v>
      </c>
      <c r="Z393" s="230">
        <f t="shared" ref="Z393:AI393" si="107">SUM(Z392,Z391,Z390)</f>
        <v>0</v>
      </c>
      <c r="AA393" s="230">
        <f t="shared" si="107"/>
        <v>0</v>
      </c>
      <c r="AB393" s="230">
        <f t="shared" si="107"/>
        <v>0</v>
      </c>
      <c r="AC393" s="230">
        <f t="shared" si="107"/>
        <v>0</v>
      </c>
      <c r="AD393" s="230">
        <f t="shared" si="107"/>
        <v>0</v>
      </c>
      <c r="AE393" s="230">
        <f t="shared" si="107"/>
        <v>0</v>
      </c>
      <c r="AF393" s="230">
        <f t="shared" si="107"/>
        <v>0</v>
      </c>
      <c r="AG393" s="230">
        <f t="shared" si="107"/>
        <v>0</v>
      </c>
      <c r="AH393" s="230">
        <f t="shared" si="107"/>
        <v>0</v>
      </c>
      <c r="AI393" s="230">
        <f t="shared" si="107"/>
        <v>0</v>
      </c>
      <c r="AJ393" s="184">
        <f t="shared" si="82"/>
        <v>0</v>
      </c>
      <c r="AK393" s="116" t="str">
        <f>CONCATENATE(IF(D393&gt;D371," * Total Screened For TB  for Age "&amp;D20&amp;" "&amp;D21&amp;" is more than Current On ART "&amp;CHAR(10),""),IF(E393&gt;E371," * Total Screened For TB  for Age "&amp;D20&amp;" "&amp;E21&amp;" is more than Current On ART "&amp;CHAR(10),""),IF(F393&gt;F371," * Total Screened For TB  for Age "&amp;F20&amp;" "&amp;F21&amp;" is more than Current On ART "&amp;CHAR(10),""),IF(G393&gt;G371," * Total Screened For TB  for Age "&amp;F20&amp;" "&amp;G21&amp;" is more than Current On ART "&amp;CHAR(10),""),IF(H393&gt;H371," * Total Screened For TB  for Age "&amp;H20&amp;" "&amp;H21&amp;" is more than Current On ART "&amp;CHAR(10),""),IF(I393&gt;I371," * Total Screened For TB  for Age "&amp;H20&amp;" "&amp;I21&amp;" is more than Current On ART "&amp;CHAR(10),""),IF(J393&gt;J371," * Total Screened For TB  for Age "&amp;J20&amp;" "&amp;J21&amp;" is more than Current On ART "&amp;CHAR(10),""),IF(K393&gt;K371," * Total Screened For TB  for Age "&amp;J20&amp;" "&amp;K21&amp;" is more than Current On ART "&amp;CHAR(10),""),IF(L393&gt;L371," * Total Screened For TB  for Age "&amp;L20&amp;" "&amp;L21&amp;" is more than Current On ART "&amp;CHAR(10),""),IF(M393&gt;M371," * Total Screened For TB  for Age "&amp;L20&amp;" "&amp;M21&amp;" is more than Current On ART "&amp;CHAR(10),""),IF(N393&gt;N371," * Total Screened For TB  for Age "&amp;N20&amp;" "&amp;N21&amp;" is more than Current On ART "&amp;CHAR(10),""),IF(O393&gt;O371," * Total Screened For TB  for Age "&amp;N20&amp;" "&amp;O21&amp;" is more than Current On ART "&amp;CHAR(10),""),IF(P393&gt;P371," * Total Screened For TB  for Age "&amp;P20&amp;" "&amp;P21&amp;" is more than Current On ART "&amp;CHAR(10),""),IF(Q393&gt;Q371," * Total Screened For TB  for Age "&amp;P20&amp;" "&amp;Q21&amp;" is more than Current On ART "&amp;CHAR(10),""),IF(R393&gt;R371," * Total Screened For TB  for Age "&amp;R20&amp;" "&amp;R21&amp;" is more than Current On ART "&amp;CHAR(10),""),IF(S393&gt;S371," * Total Screened For TB  for Age "&amp;R20&amp;" "&amp;S21&amp;" is more than Current On ART "&amp;CHAR(10),""),IF(T393&gt;T371," * Total Screened For TB  for Age "&amp;T20&amp;" "&amp;T21&amp;" is more than Current On ART "&amp;CHAR(10),""),IF(U393&gt;U371," * Total Screened For TB  for Age "&amp;T20&amp;" "&amp;U21&amp;" is more than Current On ART "&amp;CHAR(10),""),IF(V393&gt;V371," * Total Screened For TB  for Age "&amp;V20&amp;" "&amp;V21&amp;" is more than Current On ART "&amp;CHAR(10),""),IF(W393&gt;W371," * Total Screened For TB  for Age "&amp;V20&amp;" "&amp;W21&amp;" is more than Current On ART "&amp;CHAR(10),""),IF(X393&gt;X371," * Total Screened For TB  for Age "&amp;X20&amp;" "&amp;X21&amp;" is more than Current On ART "&amp;CHAR(10),""),IF(Y393&gt;Y371," * Total Screened For TB  for Age "&amp;X20&amp;" "&amp;Y21&amp;" is more than Current On ART "&amp;CHAR(10),""),IF(Z393&gt;Z371," * Total Screened For TB  for Age "&amp;Z20&amp;" "&amp;Z21&amp;" is more than Current On ART "&amp;CHAR(10),""),IF(AA393&gt;AA371," * Total Screened For TB  for Age "&amp;Z20&amp;" "&amp;AA21&amp;" is more than Current On ART "&amp;CHAR(10),""))</f>
        <v/>
      </c>
      <c r="AL393" s="1181"/>
      <c r="AM393" s="31" t="str">
        <f>CONCATENATE(IF(D393&lt;D371," * Screened for TB for Age "&amp;D20&amp;" "&amp;D21&amp;" is less than Current On ART"&amp;CHAR(10),""),IF(E393&lt;E371," * Screened for TB for Age "&amp;D20&amp;" "&amp;E21&amp;" is less than Current On ART"&amp;CHAR(10),""),IF(F393&lt;F371," * Screened for TB for Age "&amp;F20&amp;" "&amp;F21&amp;" is less than Current On ART"&amp;CHAR(10),""),IF(G393&lt;G371," * Screened for TB for Age "&amp;F20&amp;" "&amp;G21&amp;" is less than Current On ART"&amp;CHAR(10),""),IF(H393&lt;H371," * Screened for TB for Age "&amp;H20&amp;" "&amp;H21&amp;" is less than Current On ART"&amp;CHAR(10),""),IF(I393&lt;I371," * Screened for TB for Age "&amp;H20&amp;" "&amp;I21&amp;" is less than Current On ART"&amp;CHAR(10),""),IF(J393&lt;J371," * Screened for TB for Age "&amp;J20&amp;" "&amp;J21&amp;" is less than Current On ART"&amp;CHAR(10),""),IF(K393&lt;K371," * Screened for TB for Age "&amp;J20&amp;" "&amp;K21&amp;" is less than Current On ART"&amp;CHAR(10),""),IF(L393&lt;L371," * Screened for TB for Age "&amp;L20&amp;" "&amp;L21&amp;" is less than Current On ART"&amp;CHAR(10),""),IF(M393&lt;M371," * Screened for TB for Age "&amp;L20&amp;" "&amp;M21&amp;" is less than Current On ART"&amp;CHAR(10),""),IF(N393&lt;N371," * Screened for TB for Age "&amp;N20&amp;" "&amp;N21&amp;" is less than Current On ART"&amp;CHAR(10),""),IF(O393&lt;O371," * Screened for TB for Age "&amp;N20&amp;" "&amp;O21&amp;" is less than Current On ART"&amp;CHAR(10),""),IF(P393&lt;P371," * Screened for TB for Age "&amp;P20&amp;" "&amp;P21&amp;" is less than Current On ART"&amp;CHAR(10),""),IF(Q393&lt;Q371," * Screened for TB for Age "&amp;P20&amp;" "&amp;Q21&amp;" is less than Current On ART"&amp;CHAR(10),""),IF(R393&lt;R371," * Screened for TB for Age "&amp;R20&amp;" "&amp;R21&amp;" is less than Current On ART"&amp;CHAR(10),""),IF(S393&lt;S371," * Screened for TB for Age "&amp;R20&amp;" "&amp;S21&amp;" is less than Current On ART"&amp;CHAR(10),""),IF(T393&lt;T371," * Screened for TB for Age "&amp;T20&amp;" "&amp;T21&amp;" is less than Current On ART"&amp;CHAR(10),""),IF(U393&lt;U371," * Screened for TB for Age "&amp;T20&amp;" "&amp;U21&amp;" is less than Current On ART"&amp;CHAR(10),""),IF(V393&lt;V371," * Screened for TB for Age "&amp;V20&amp;" "&amp;V21&amp;" is less than Current On ART"&amp;CHAR(10),""),IF(W393&lt;W371," * Screened for TB for Age "&amp;V20&amp;" "&amp;W21&amp;" is less than Current On ART"&amp;CHAR(10),""),IF(X393&lt;X371," * Screened for TB for Age "&amp;X20&amp;" "&amp;X21&amp;" is less than Current On ART"&amp;CHAR(10),""),IF(Y393&lt;Y371," * Screened for TB for Age "&amp;X20&amp;" "&amp;Y21&amp;" is less than Current On ART"&amp;CHAR(10),""),IF(Z393&lt;Z371," * Screened for TB for Age "&amp;Z20&amp;" "&amp;Z21&amp;" is less than Current On ART"&amp;CHAR(10),""),IF(AA393&lt;AA371," * Screened for TB for Age "&amp;Z20&amp;" "&amp;AA21&amp;" is less than Current On ART"&amp;CHAR(10),""))</f>
        <v/>
      </c>
      <c r="AN393" s="1282"/>
      <c r="AO393" s="13">
        <v>277</v>
      </c>
      <c r="AP393" s="74"/>
      <c r="AQ393" s="75"/>
    </row>
    <row r="394" spans="1:43" ht="60" customHeight="1" x14ac:dyDescent="0.4">
      <c r="A394" s="1247"/>
      <c r="B394" s="1" t="s">
        <v>1270</v>
      </c>
      <c r="C394" s="525" t="s">
        <v>546</v>
      </c>
      <c r="D394" s="222"/>
      <c r="E394" s="94"/>
      <c r="F394" s="94"/>
      <c r="G394" s="94"/>
      <c r="H394" s="94"/>
      <c r="I394" s="94"/>
      <c r="J394" s="94"/>
      <c r="K394" s="94"/>
      <c r="L394" s="94"/>
      <c r="M394" s="94"/>
      <c r="N394" s="94"/>
      <c r="O394" s="94"/>
      <c r="P394" s="94"/>
      <c r="Q394" s="94"/>
      <c r="R394" s="94"/>
      <c r="S394" s="94"/>
      <c r="T394" s="94"/>
      <c r="U394" s="94"/>
      <c r="V394" s="94"/>
      <c r="W394" s="94"/>
      <c r="X394" s="94"/>
      <c r="Y394" s="94"/>
      <c r="Z394" s="463">
        <f t="shared" si="100"/>
        <v>0</v>
      </c>
      <c r="AA394" s="463">
        <f t="shared" si="101"/>
        <v>0</v>
      </c>
      <c r="AB394" s="94"/>
      <c r="AC394" s="94"/>
      <c r="AD394" s="94"/>
      <c r="AE394" s="94"/>
      <c r="AF394" s="94"/>
      <c r="AG394" s="94"/>
      <c r="AH394" s="94"/>
      <c r="AI394" s="94"/>
      <c r="AJ394" s="183">
        <f t="shared" si="82"/>
        <v>0</v>
      </c>
      <c r="AK394" s="116"/>
      <c r="AL394" s="1181"/>
      <c r="AM394" s="31"/>
      <c r="AN394" s="1282"/>
      <c r="AO394" s="13">
        <v>278</v>
      </c>
      <c r="AP394" s="74"/>
      <c r="AQ394" s="75"/>
    </row>
    <row r="395" spans="1:43" s="61" customFormat="1" ht="78.75" x14ac:dyDescent="0.4">
      <c r="A395" s="1247"/>
      <c r="B395" s="2" t="s">
        <v>1271</v>
      </c>
      <c r="C395" s="526" t="s">
        <v>547</v>
      </c>
      <c r="D395" s="223"/>
      <c r="E395" s="79"/>
      <c r="F395" s="79"/>
      <c r="G395" s="79"/>
      <c r="H395" s="79"/>
      <c r="I395" s="79"/>
      <c r="J395" s="79"/>
      <c r="K395" s="79"/>
      <c r="L395" s="79"/>
      <c r="M395" s="79"/>
      <c r="N395" s="79"/>
      <c r="O395" s="79"/>
      <c r="P395" s="79"/>
      <c r="Q395" s="79"/>
      <c r="R395" s="79"/>
      <c r="S395" s="79"/>
      <c r="T395" s="79"/>
      <c r="U395" s="79"/>
      <c r="V395" s="79"/>
      <c r="W395" s="79"/>
      <c r="X395" s="79"/>
      <c r="Y395" s="79"/>
      <c r="Z395" s="463">
        <f t="shared" si="100"/>
        <v>0</v>
      </c>
      <c r="AA395" s="463">
        <f t="shared" si="101"/>
        <v>0</v>
      </c>
      <c r="AB395" s="79"/>
      <c r="AC395" s="79"/>
      <c r="AD395" s="79"/>
      <c r="AE395" s="79"/>
      <c r="AF395" s="79"/>
      <c r="AG395" s="79"/>
      <c r="AH395" s="79"/>
      <c r="AI395" s="79"/>
      <c r="AJ395" s="171">
        <f t="shared" si="82"/>
        <v>0</v>
      </c>
      <c r="AK395" s="116"/>
      <c r="AL395" s="1181"/>
      <c r="AM395" s="60"/>
      <c r="AN395" s="1282"/>
      <c r="AO395" s="13">
        <v>279</v>
      </c>
      <c r="AP395" s="80"/>
      <c r="AQ395" s="75"/>
    </row>
    <row r="396" spans="1:43" ht="59.25" customHeight="1" x14ac:dyDescent="0.4">
      <c r="A396" s="1247"/>
      <c r="B396" s="2" t="s">
        <v>1275</v>
      </c>
      <c r="C396" s="526" t="s">
        <v>548</v>
      </c>
      <c r="D396" s="223"/>
      <c r="E396" s="79"/>
      <c r="F396" s="79"/>
      <c r="G396" s="79"/>
      <c r="H396" s="79"/>
      <c r="I396" s="79"/>
      <c r="J396" s="79"/>
      <c r="K396" s="79"/>
      <c r="L396" s="79"/>
      <c r="M396" s="79"/>
      <c r="N396" s="79"/>
      <c r="O396" s="79"/>
      <c r="P396" s="79"/>
      <c r="Q396" s="79"/>
      <c r="R396" s="79"/>
      <c r="S396" s="79"/>
      <c r="T396" s="79"/>
      <c r="U396" s="79"/>
      <c r="V396" s="79"/>
      <c r="W396" s="79"/>
      <c r="X396" s="79"/>
      <c r="Y396" s="79"/>
      <c r="Z396" s="463">
        <f t="shared" si="100"/>
        <v>0</v>
      </c>
      <c r="AA396" s="463">
        <f t="shared" si="101"/>
        <v>0</v>
      </c>
      <c r="AB396" s="79"/>
      <c r="AC396" s="79"/>
      <c r="AD396" s="79"/>
      <c r="AE396" s="79"/>
      <c r="AF396" s="79"/>
      <c r="AG396" s="79"/>
      <c r="AH396" s="79"/>
      <c r="AI396" s="79"/>
      <c r="AJ396" s="171">
        <f t="shared" si="82"/>
        <v>0</v>
      </c>
      <c r="AK396" s="116"/>
      <c r="AL396" s="1181"/>
      <c r="AM396" s="31"/>
      <c r="AN396" s="1282"/>
      <c r="AO396" s="13">
        <v>280</v>
      </c>
      <c r="AP396" s="74"/>
      <c r="AQ396" s="75"/>
    </row>
    <row r="397" spans="1:43" ht="32.25" customHeight="1" thickBot="1" x14ac:dyDescent="0.45">
      <c r="A397" s="1247"/>
      <c r="B397" s="228" t="s">
        <v>1276</v>
      </c>
      <c r="C397" s="527" t="s">
        <v>554</v>
      </c>
      <c r="D397" s="231">
        <f t="shared" ref="D397:Y397" si="108">SUM(D394:D396)</f>
        <v>0</v>
      </c>
      <c r="E397" s="231">
        <f t="shared" si="108"/>
        <v>0</v>
      </c>
      <c r="F397" s="231">
        <f t="shared" si="108"/>
        <v>0</v>
      </c>
      <c r="G397" s="231">
        <f t="shared" si="108"/>
        <v>0</v>
      </c>
      <c r="H397" s="231">
        <f t="shared" si="108"/>
        <v>0</v>
      </c>
      <c r="I397" s="231">
        <f t="shared" si="108"/>
        <v>0</v>
      </c>
      <c r="J397" s="231">
        <f t="shared" si="108"/>
        <v>0</v>
      </c>
      <c r="K397" s="231">
        <f t="shared" si="108"/>
        <v>0</v>
      </c>
      <c r="L397" s="231">
        <f t="shared" si="108"/>
        <v>0</v>
      </c>
      <c r="M397" s="231">
        <f t="shared" si="108"/>
        <v>0</v>
      </c>
      <c r="N397" s="231">
        <f t="shared" si="108"/>
        <v>0</v>
      </c>
      <c r="O397" s="231">
        <f t="shared" si="108"/>
        <v>0</v>
      </c>
      <c r="P397" s="231">
        <f t="shared" si="108"/>
        <v>0</v>
      </c>
      <c r="Q397" s="231">
        <f t="shared" si="108"/>
        <v>0</v>
      </c>
      <c r="R397" s="231">
        <f t="shared" si="108"/>
        <v>0</v>
      </c>
      <c r="S397" s="231">
        <f t="shared" si="108"/>
        <v>0</v>
      </c>
      <c r="T397" s="231">
        <f t="shared" si="108"/>
        <v>0</v>
      </c>
      <c r="U397" s="231">
        <f t="shared" si="108"/>
        <v>0</v>
      </c>
      <c r="V397" s="231">
        <f t="shared" si="108"/>
        <v>0</v>
      </c>
      <c r="W397" s="231">
        <f t="shared" si="108"/>
        <v>0</v>
      </c>
      <c r="X397" s="231">
        <f t="shared" si="108"/>
        <v>0</v>
      </c>
      <c r="Y397" s="231">
        <f t="shared" si="108"/>
        <v>0</v>
      </c>
      <c r="Z397" s="463">
        <f t="shared" si="100"/>
        <v>0</v>
      </c>
      <c r="AA397" s="463">
        <f t="shared" si="101"/>
        <v>0</v>
      </c>
      <c r="AB397" s="231">
        <f t="shared" ref="AB397:AI397" si="109">SUM(AB394:AB396)</f>
        <v>0</v>
      </c>
      <c r="AC397" s="231">
        <f t="shared" si="109"/>
        <v>0</v>
      </c>
      <c r="AD397" s="231">
        <f t="shared" si="109"/>
        <v>0</v>
      </c>
      <c r="AE397" s="231">
        <f t="shared" si="109"/>
        <v>0</v>
      </c>
      <c r="AF397" s="231">
        <f t="shared" si="109"/>
        <v>0</v>
      </c>
      <c r="AG397" s="231">
        <f t="shared" si="109"/>
        <v>0</v>
      </c>
      <c r="AH397" s="231">
        <f t="shared" si="109"/>
        <v>0</v>
      </c>
      <c r="AI397" s="231">
        <f t="shared" si="109"/>
        <v>0</v>
      </c>
      <c r="AJ397" s="184">
        <f t="shared" si="82"/>
        <v>0</v>
      </c>
      <c r="AK397" s="30" t="str">
        <f>CONCATENATE(IF(D398&gt;D397," *  Positive Result Returned For bacteriologic diagnosis "&amp;$D$20&amp;" "&amp;$D$21&amp;" is more than Total Patients whose specimens were sent"&amp;CHAR(10),""),IF(E398&gt;E397," *  Positive Result Returned For bacteriologic diagnosis "&amp;$D$20&amp;" "&amp;$E$21&amp;" is more than Total Patients whose specimens were sent"&amp;CHAR(10),""),IF(F398&gt;F397," *  Positive Result Returned For bacteriologic diagnosis "&amp;$F$20&amp;" "&amp;$F$21&amp;" is more than Total Patients whose specimens were sent"&amp;CHAR(10),""),IF(G398&gt;G397," *  Positive Result Returned For bacteriologic diagnosis "&amp;$F$20&amp;" "&amp;$G$21&amp;" is more than Total Patients whose specimens were sent"&amp;CHAR(10),""),IF(H398&gt;H397," *  Positive Result Returned For bacteriologic diagnosis "&amp;$H$20&amp;" "&amp;$H$21&amp;" is more than Total Patients whose specimens were sent"&amp;CHAR(10),""),IF(I398&gt;I397," *  Positive Result Returned For bacteriologic diagnosis "&amp;$H$20&amp;" "&amp;$I$21&amp;" is more than Total Patients whose specimens were sent"&amp;CHAR(10),""),IF(J398&gt;J397," *  Positive Result Returned For bacteriologic diagnosis "&amp;$J$20&amp;" "&amp;$J$21&amp;" is more than Total Patients whose specimens were sent"&amp;CHAR(10),""),IF(K398&gt;K397," *  Positive Result Returned For bacteriologic diagnosis "&amp;$J$20&amp;" "&amp;$K$21&amp;" is more than Total Patients whose specimens were sent"&amp;CHAR(10),""),IF(L398&gt;L397," *  Positive Result Returned For bacteriologic diagnosis "&amp;$L$20&amp;" "&amp;$L$21&amp;" is more than Total Patients whose specimens were sent"&amp;CHAR(10),""),IF(M398&gt;M397," *  Positive Result Returned For bacteriologic diagnosis "&amp;$L$20&amp;" "&amp;$M$21&amp;" is more than Total Patients whose specimens were sent"&amp;CHAR(10),""),IF(N398&gt;N397," *  Positive Result Returned For bacteriologic diagnosis "&amp;$N$20&amp;" "&amp;$N$21&amp;" is more than Total Patients whose specimens were sent"&amp;CHAR(10),""),IF(O398&gt;O397," *  Positive Result Returned For bacteriologic diagnosis "&amp;$N$20&amp;" "&amp;$O$21&amp;" is more than Total Patients whose specimens were sent"&amp;CHAR(10),""),IF(P398&gt;P397," *  Positive Result Returned For bacteriologic diagnosis "&amp;$P$20&amp;" "&amp;$P$21&amp;" is more than Total Patients whose specimens were sent"&amp;CHAR(10),""),IF(Q398&gt;Q397," *  Positive Result Returned For bacteriologic diagnosis "&amp;$P$20&amp;" "&amp;$Q$21&amp;" is more than Total Patients whose specimens were sent"&amp;CHAR(10),""),IF(R398&gt;R397," *  Positive Result Returned For bacteriologic diagnosis "&amp;$R$20&amp;" "&amp;$R$21&amp;" is more than Total Patients whose specimens were sent"&amp;CHAR(10),""),IF(S398&gt;S397," *  Positive Result Returned For bacteriologic diagnosis "&amp;$R$20&amp;" "&amp;$S$21&amp;" is more than Total Patients whose specimens were sent"&amp;CHAR(10),""),IF(T398&gt;T397," *  Positive Result Returned For bacteriologic diagnosis "&amp;$T$20&amp;" "&amp;$T$21&amp;" is more than Total Patients whose specimens were sent"&amp;CHAR(10),""),IF(U398&gt;U397," *  Positive Result Returned For bacteriologic diagnosis "&amp;$T$20&amp;" "&amp;$U$21&amp;" is more than Total Patients whose specimens were sent"&amp;CHAR(10),""),IF(V398&gt;V397," *  Positive Result Returned For bacteriologic diagnosis "&amp;$V$20&amp;" "&amp;$V$21&amp;" is more than Total Patients whose specimens were sent"&amp;CHAR(10),""),IF(W398&gt;W397," *  Positive Result Returned For bacteriologic diagnosis "&amp;$V$20&amp;" "&amp;$W$21&amp;" is more than Total Patients whose specimens were sent"&amp;CHAR(10),""),IF(X398&gt;X397," *  Positive Result Returned For bacteriologic diagnosis "&amp;$X$20&amp;" "&amp;$X$21&amp;" is more than Total Patients whose specimens were sent"&amp;CHAR(10),""),IF(Y398&gt;Y397," *  Positive Result Returned For bacteriologic diagnosis "&amp;$X$20&amp;" "&amp;$Y$21&amp;" is more than Total Patients whose specimens were sent"&amp;CHAR(10),""),IF(Z398&gt;Z397," *  Positive Result Returned For bacteriologic diagnosis "&amp;$Z$20&amp;" "&amp;$Z$21&amp;" is more than Total Patients whose specimens were sent"&amp;CHAR(10),""),IF(AA398&gt;AA397," *  Positive Result Returned For bacteriologic diagnosis "&amp;$Z$20&amp;" "&amp;$AA$21&amp;" is more than Total Patients whose specimens were sent"&amp;CHAR(10),""))</f>
        <v/>
      </c>
      <c r="AL397" s="1181"/>
      <c r="AM397" s="31"/>
      <c r="AN397" s="1282"/>
      <c r="AO397" s="13">
        <v>281</v>
      </c>
      <c r="AP397" s="74"/>
      <c r="AQ397" s="75"/>
    </row>
    <row r="398" spans="1:43" ht="53.25" thickBot="1" x14ac:dyDescent="0.45">
      <c r="A398" s="1248"/>
      <c r="B398" s="874" t="s">
        <v>553</v>
      </c>
      <c r="C398" s="521" t="s">
        <v>555</v>
      </c>
      <c r="D398" s="859"/>
      <c r="E398" s="859"/>
      <c r="F398" s="859"/>
      <c r="G398" s="859"/>
      <c r="H398" s="859"/>
      <c r="I398" s="859"/>
      <c r="J398" s="859"/>
      <c r="K398" s="859"/>
      <c r="L398" s="859"/>
      <c r="M398" s="859"/>
      <c r="N398" s="859"/>
      <c r="O398" s="859"/>
      <c r="P398" s="859"/>
      <c r="Q398" s="859"/>
      <c r="R398" s="859"/>
      <c r="S398" s="859"/>
      <c r="T398" s="859"/>
      <c r="U398" s="859"/>
      <c r="V398" s="859"/>
      <c r="W398" s="859"/>
      <c r="X398" s="859"/>
      <c r="Y398" s="859"/>
      <c r="Z398" s="489">
        <f t="shared" ref="Z398:AA403" si="110">SUM(AB398,AD398,AF398,AH398)</f>
        <v>0</v>
      </c>
      <c r="AA398" s="489">
        <f t="shared" si="110"/>
        <v>0</v>
      </c>
      <c r="AB398" s="859"/>
      <c r="AC398" s="859"/>
      <c r="AD398" s="859"/>
      <c r="AE398" s="859"/>
      <c r="AF398" s="859"/>
      <c r="AG398" s="859"/>
      <c r="AH398" s="859"/>
      <c r="AI398" s="859"/>
      <c r="AJ398" s="357">
        <f t="shared" si="82"/>
        <v>0</v>
      </c>
      <c r="AK398" s="30" t="str">
        <f>CONCATENATE(IF(D390&lt;D397," *  Total Screening positive for TB ( Presumptive TB Clients ) "&amp;$D$20&amp;" "&amp;$D$21&amp;" is less than Total Patients whose specimens were sent"&amp;CHAR(10),""),IF(E390&lt;E397," *  Total Screening positive for TB ( Presumptive TB Clients ) "&amp;$D$20&amp;" "&amp;$E$21&amp;" is less than Total Patients whose specimens were sent"&amp;CHAR(10),""),IF(F390&lt;F397," *  Total Screening positive for TB ( Presumptive TB Clients ) "&amp;$F$20&amp;" "&amp;$F$21&amp;" is less than Total Patients whose specimens were sent"&amp;CHAR(10),""),IF(G390&lt;G397," *  Total Screening positive for TB ( Presumptive TB Clients ) "&amp;$F$20&amp;" "&amp;$G$21&amp;" is less than Total Patients whose specimens were sent"&amp;CHAR(10),""),IF(H390&lt;H397," *  Total Screening positive for TB ( Presumptive TB Clients ) "&amp;$H$20&amp;" "&amp;$H$21&amp;" is less than Total Patients whose specimens were sent"&amp;CHAR(10),""),IF(I390&lt;I397," *  Total Screening positive for TB ( Presumptive TB Clients ) "&amp;$H$20&amp;" "&amp;$I$21&amp;" is less than Total Patients whose specimens were sent"&amp;CHAR(10),""),IF(J390&lt;J397," *  Total Screening positive for TB ( Presumptive TB Clients ) "&amp;$J$20&amp;" "&amp;$J$21&amp;" is less than Total Patients whose specimens were sent"&amp;CHAR(10),""),IF(K390&lt;K397," *  Total Screening positive for TB ( Presumptive TB Clients ) "&amp;$J$20&amp;" "&amp;$K$21&amp;" is less than Total Patients whose specimens were sent"&amp;CHAR(10),""),IF(L390&lt;L397," *  Total Screening positive for TB ( Presumptive TB Clients ) "&amp;$L$20&amp;" "&amp;$L$21&amp;" is less than Total Patients whose specimens were sent"&amp;CHAR(10),""),IF(M390&lt;M397," *  Total Screening positive for TB ( Presumptive TB Clients ) "&amp;$L$20&amp;" "&amp;$M$21&amp;" is less than Total Patients whose specimens were sent"&amp;CHAR(10),""),IF(N390&lt;N397," *  Total Screening positive for TB ( Presumptive TB Clients ) "&amp;$N$20&amp;" "&amp;$N$21&amp;" is less than Total Patients whose specimens were sent"&amp;CHAR(10),""),IF(O390&lt;O397," *  Total Screening positive for TB ( Presumptive TB Clients ) "&amp;$N$20&amp;" "&amp;$O$21&amp;" is less than Total Patients whose specimens were sent"&amp;CHAR(10),""),IF(P390&lt;P397," *  Total Screening positive for TB ( Presumptive TB Clients ) "&amp;$P$20&amp;" "&amp;$P$21&amp;" is less than Total Patients whose specimens were sent"&amp;CHAR(10),""),IF(Q390&lt;Q397," *  Total Screening positive for TB ( Presumptive TB Clients ) "&amp;$P$20&amp;" "&amp;$Q$21&amp;" is less than Total Patients whose specimens were sent"&amp;CHAR(10),""),IF(R390&lt;R397," *  Total Screening positive for TB ( Presumptive TB Clients ) "&amp;$R$20&amp;" "&amp;$R$21&amp;" is less than Total Patients whose specimens were sent"&amp;CHAR(10),""),IF(S390&lt;S397," *  Total Screening positive for TB ( Presumptive TB Clients ) "&amp;$R$20&amp;" "&amp;$S$21&amp;" is less than Total Patients whose specimens were sent"&amp;CHAR(10),""),IF(T390&lt;T397," *  Total Screening positive for TB ( Presumptive TB Clients ) "&amp;$T$20&amp;" "&amp;$T$21&amp;" is less than Total Patients whose specimens were sent"&amp;CHAR(10),""),IF(U390&lt;U397," *  Total Screening positive for TB ( Presumptive TB Clients ) "&amp;$T$20&amp;" "&amp;$U$21&amp;" is less than Total Patients whose specimens were sent"&amp;CHAR(10),""),IF(V390&lt;V397," *  Total Screening positive for TB ( Presumptive TB Clients ) "&amp;$V$20&amp;" "&amp;$V$21&amp;" is less than Total Patients whose specimens were sent"&amp;CHAR(10),""),IF(W390&lt;W397," *  Total Screening positive for TB ( Presumptive TB Clients ) "&amp;$V$20&amp;" "&amp;$W$21&amp;" is less than Total Patients whose specimens were sent"&amp;CHAR(10),""),IF(X390&lt;X397," *  Total Screening positive for TB ( Presumptive TB Clients ) "&amp;$X$20&amp;" "&amp;$X$21&amp;" is less than Total Patients whose specimens were sent"&amp;CHAR(10),""),IF(Y390&lt;Y397," *  Total Screening positive for TB ( Presumptive TB Clients ) "&amp;$X$20&amp;" "&amp;$Y$21&amp;" is less than Total Patients whose specimens were sent"&amp;CHAR(10),""),IF(Z390&lt;Z397," *  Total Screening positive for TB ( Presumptive TB Clients ) "&amp;$Z$20&amp;" "&amp;$Z$21&amp;" is less than Total Patients whose specimens were sent"&amp;CHAR(10),""),IF(AA390&lt;AA397," *  Total Screening positive for TB ( Presumptive TB Clients ) "&amp;$Z$20&amp;" "&amp;$AA$21&amp;" is less than Total Patients whose specimens were sent"&amp;CHAR(10),""))</f>
        <v/>
      </c>
      <c r="AL398" s="1181"/>
      <c r="AM398" s="31"/>
      <c r="AN398" s="1282"/>
      <c r="AO398" s="13">
        <v>282</v>
      </c>
      <c r="AP398" s="74"/>
      <c r="AQ398" s="75"/>
    </row>
    <row r="399" spans="1:43" ht="47.25" customHeight="1" x14ac:dyDescent="0.4">
      <c r="A399" s="1203" t="s">
        <v>1225</v>
      </c>
      <c r="B399" s="937" t="s">
        <v>1226</v>
      </c>
      <c r="C399" s="934" t="s">
        <v>1229</v>
      </c>
      <c r="D399" s="580"/>
      <c r="E399" s="580"/>
      <c r="F399" s="580"/>
      <c r="G399" s="580"/>
      <c r="H399" s="580"/>
      <c r="I399" s="580"/>
      <c r="J399" s="580"/>
      <c r="K399" s="580"/>
      <c r="L399" s="580"/>
      <c r="M399" s="580"/>
      <c r="N399" s="580"/>
      <c r="O399" s="580"/>
      <c r="P399" s="580"/>
      <c r="Q399" s="580"/>
      <c r="R399" s="580"/>
      <c r="S399" s="580"/>
      <c r="T399" s="580"/>
      <c r="U399" s="580"/>
      <c r="V399" s="580"/>
      <c r="W399" s="580"/>
      <c r="X399" s="580"/>
      <c r="Y399" s="580"/>
      <c r="Z399" s="494">
        <f t="shared" si="110"/>
        <v>0</v>
      </c>
      <c r="AA399" s="494">
        <f t="shared" si="110"/>
        <v>0</v>
      </c>
      <c r="AB399" s="580"/>
      <c r="AC399" s="580"/>
      <c r="AD399" s="580"/>
      <c r="AE399" s="580"/>
      <c r="AF399" s="580"/>
      <c r="AG399" s="580"/>
      <c r="AH399" s="580"/>
      <c r="AI399" s="580"/>
      <c r="AJ399" s="640">
        <f t="shared" si="82"/>
        <v>0</v>
      </c>
      <c r="AK399" s="30" t="str">
        <f>CONCATENATE(IF(D393&lt;&gt;(D399+D400+D401)," * Total "&amp;A399&amp;" "&amp;$D$20&amp;" "&amp;$D$21&amp;" should be equal to "&amp;B393&amp;""&amp;CHAR(10),""),IF(E393&lt;&gt;(E399+E400+E401)," * Total "&amp;A399&amp;" "&amp;$D$20&amp;" "&amp;$E$21&amp;" should be equal to  "&amp;B393&amp;""&amp;CHAR(10),""),IF(F393&lt;&gt;(F399+F400+F401)," * Total "&amp;A399&amp;" "&amp;$F$20&amp;" "&amp;$F$21&amp;" should be equal to  "&amp;B393&amp;""&amp;CHAR(10),""),IF(G393&lt;&gt;(G399+G400+G401)," * Total "&amp;A399&amp;" "&amp;$F$20&amp;" "&amp;$G$21&amp;" should be equal to  "&amp;B393&amp;""&amp;CHAR(10),""),IF(H393&lt;&gt;(H399+H400+H401)," * Total "&amp;A399&amp;" "&amp;$H$20&amp;" "&amp;$H$21&amp;" should be equal to  "&amp;B393&amp;""&amp;CHAR(10),""),IF(I393&lt;&gt;(I399+I400+I401)," * Total "&amp;A399&amp;" "&amp;$H$20&amp;" "&amp;$I$21&amp;" should be equal to  "&amp;B393&amp;""&amp;CHAR(10),""),IF(J393&lt;&gt;(J399+J400+J401)," * Total "&amp;A399&amp;" "&amp;$J$20&amp;" "&amp;$J$21&amp;" should be equal to  "&amp;B393&amp;""&amp;CHAR(10),""),IF(K393&lt;&gt;(K399+K400+K401)," * Total "&amp;A399&amp;" "&amp;$J$20&amp;" "&amp;$K$21&amp;" should be equal to  "&amp;B393&amp;""&amp;CHAR(10),""),IF(L393&lt;&gt;(L399+L400+L401)," * Total "&amp;A399&amp;" "&amp;$L$20&amp;" "&amp;$L$21&amp;" should be equal to  "&amp;B393&amp;""&amp;CHAR(10),""),IF(M393&lt;&gt;(M399+M400+M401)," * Total "&amp;A399&amp;" "&amp;$L$20&amp;" "&amp;$M$21&amp;" should be equal to  "&amp;B393&amp;""&amp;CHAR(10),""),IF(N393&lt;&gt;(N399+N400+N401)," * Total "&amp;A399&amp;" "&amp;$N$20&amp;" "&amp;$N$21&amp;" should be equal to  "&amp;B393&amp;""&amp;CHAR(10),""),IF(O393&lt;&gt;(O399+O400+O401)," * Total "&amp;A399&amp;" "&amp;$N$20&amp;" "&amp;$O$21&amp;" should be equal to  "&amp;B393&amp;""&amp;CHAR(10),""),IF(P393&lt;&gt;(P399+P400+P401)," * Total "&amp;A399&amp;" "&amp;$P$20&amp;" "&amp;$P$21&amp;" should be equal to  "&amp;B393&amp;""&amp;CHAR(10),""),IF(Q393&lt;&gt;(Q399+Q400+Q401)," * Total "&amp;A399&amp;" "&amp;$P$20&amp;" "&amp;$Q$21&amp;" should be equal to  "&amp;B393&amp;""&amp;CHAR(10),""),IF(R393&lt;&gt;(R399+R400+R401)," * Total "&amp;A399&amp;" "&amp;$R$20&amp;" "&amp;$R$21&amp;" should be equal to  "&amp;B393&amp;""&amp;CHAR(10),""),IF(S393&lt;&gt;(S399+S400+S401)," * Total "&amp;A399&amp;" "&amp;$R$20&amp;" "&amp;$S$21&amp;" should be equal to  "&amp;B393&amp;""&amp;CHAR(10),""),IF(T393&lt;&gt;(T399+T400+T401)," * Total "&amp;A399&amp;" "&amp;$T$20&amp;" "&amp;$T$21&amp;" should be equal to  "&amp;B393&amp;""&amp;CHAR(10),""),IF(U393&lt;&gt;(U399+U400+U401)," * Total "&amp;A399&amp;" "&amp;$T$20&amp;" "&amp;$U$21&amp;" should be equal to  "&amp;B393&amp;""&amp;CHAR(10),""),IF(V393&lt;&gt;(V399+V400+V401)," * Total "&amp;A399&amp;" "&amp;$V$20&amp;" "&amp;$V$21&amp;" should be equal to  "&amp;B393&amp;""&amp;CHAR(10),""),IF(W393&lt;&gt;(W399+W400+W401)," * Total "&amp;A399&amp;" "&amp;$V$20&amp;" "&amp;$W$21&amp;" should be equal to  "&amp;B393&amp;""&amp;CHAR(10),""),IF(X393&lt;&gt;(X399+X400+X401)," * Total "&amp;A399&amp;" "&amp;$X$20&amp;" "&amp;$X$21&amp;" should be equal to  "&amp;B393&amp;""&amp;CHAR(10),""),IF(Y393&lt;&gt;(Y399+Y400+Y401)," * Total "&amp;A399&amp;" "&amp;$X$20&amp;" "&amp;$Y$21&amp;" should be equal to  "&amp;B393&amp;""&amp;CHAR(10),""),IF(Z393&lt;&gt;(Z399+Z400+Z401)," * Total "&amp;A399&amp;" "&amp;$Z$20&amp;" "&amp;$Z$21&amp;" should be equal to  "&amp;B393&amp;""&amp;CHAR(10),""),IF(AA393&lt;&gt;(AA399+AA400+AA401)," * Total "&amp;A399&amp;" "&amp;$Z$20&amp;" "&amp;$AA$21&amp;" should be equal to  "&amp;B393&amp;""&amp;CHAR(10),""))</f>
        <v/>
      </c>
      <c r="AL399" s="1181"/>
      <c r="AM399" s="31"/>
      <c r="AN399" s="1282"/>
      <c r="AO399" s="13"/>
      <c r="AP399" s="74"/>
      <c r="AQ399" s="75"/>
    </row>
    <row r="400" spans="1:43" ht="36" customHeight="1" x14ac:dyDescent="0.4">
      <c r="A400" s="1204"/>
      <c r="B400" s="938" t="s">
        <v>1242</v>
      </c>
      <c r="C400" s="935" t="s">
        <v>1230</v>
      </c>
      <c r="D400" s="613"/>
      <c r="E400" s="613"/>
      <c r="F400" s="613"/>
      <c r="G400" s="613"/>
      <c r="H400" s="613"/>
      <c r="I400" s="613"/>
      <c r="J400" s="613"/>
      <c r="K400" s="613"/>
      <c r="L400" s="613"/>
      <c r="M400" s="613"/>
      <c r="N400" s="613"/>
      <c r="O400" s="613"/>
      <c r="P400" s="613"/>
      <c r="Q400" s="613"/>
      <c r="R400" s="613"/>
      <c r="S400" s="613"/>
      <c r="T400" s="613"/>
      <c r="U400" s="613"/>
      <c r="V400" s="613"/>
      <c r="W400" s="613"/>
      <c r="X400" s="613"/>
      <c r="Y400" s="613"/>
      <c r="Z400" s="494">
        <f t="shared" si="110"/>
        <v>0</v>
      </c>
      <c r="AA400" s="494">
        <f t="shared" si="110"/>
        <v>0</v>
      </c>
      <c r="AB400" s="613"/>
      <c r="AC400" s="613"/>
      <c r="AD400" s="613"/>
      <c r="AE400" s="613"/>
      <c r="AF400" s="613"/>
      <c r="AG400" s="613"/>
      <c r="AH400" s="613"/>
      <c r="AI400" s="613"/>
      <c r="AJ400" s="662">
        <f t="shared" si="82"/>
        <v>0</v>
      </c>
      <c r="AK400" s="30"/>
      <c r="AL400" s="1181"/>
      <c r="AM400" s="31"/>
      <c r="AN400" s="1282"/>
      <c r="AO400" s="13"/>
      <c r="AP400" s="74"/>
      <c r="AQ400" s="75"/>
    </row>
    <row r="401" spans="1:43" ht="53.25" thickBot="1" x14ac:dyDescent="0.45">
      <c r="A401" s="1205"/>
      <c r="B401" s="939" t="s">
        <v>1264</v>
      </c>
      <c r="C401" s="936" t="s">
        <v>1231</v>
      </c>
      <c r="D401" s="629"/>
      <c r="E401" s="629"/>
      <c r="F401" s="629"/>
      <c r="G401" s="629"/>
      <c r="H401" s="629"/>
      <c r="I401" s="629"/>
      <c r="J401" s="629"/>
      <c r="K401" s="629"/>
      <c r="L401" s="629"/>
      <c r="M401" s="629"/>
      <c r="N401" s="629"/>
      <c r="O401" s="629"/>
      <c r="P401" s="629"/>
      <c r="Q401" s="629"/>
      <c r="R401" s="629"/>
      <c r="S401" s="629"/>
      <c r="T401" s="629"/>
      <c r="U401" s="629"/>
      <c r="V401" s="629"/>
      <c r="W401" s="629"/>
      <c r="X401" s="629"/>
      <c r="Y401" s="629"/>
      <c r="Z401" s="494">
        <f t="shared" si="110"/>
        <v>0</v>
      </c>
      <c r="AA401" s="494">
        <f t="shared" si="110"/>
        <v>0</v>
      </c>
      <c r="AB401" s="629"/>
      <c r="AC401" s="629"/>
      <c r="AD401" s="629"/>
      <c r="AE401" s="629"/>
      <c r="AF401" s="629"/>
      <c r="AG401" s="629"/>
      <c r="AH401" s="629"/>
      <c r="AI401" s="629"/>
      <c r="AJ401" s="641">
        <f t="shared" si="82"/>
        <v>0</v>
      </c>
      <c r="AK401" s="30"/>
      <c r="AL401" s="1181"/>
      <c r="AM401" s="31"/>
      <c r="AN401" s="1282"/>
      <c r="AO401" s="13"/>
      <c r="AP401" s="74"/>
      <c r="AQ401" s="75"/>
    </row>
    <row r="402" spans="1:43" ht="66" customHeight="1" x14ac:dyDescent="0.4">
      <c r="A402" s="1187" t="s">
        <v>746</v>
      </c>
      <c r="B402" s="69" t="s">
        <v>1189</v>
      </c>
      <c r="C402" s="810" t="s">
        <v>558</v>
      </c>
      <c r="D402" s="136"/>
      <c r="E402" s="136"/>
      <c r="F402" s="136"/>
      <c r="G402" s="136"/>
      <c r="H402" s="136"/>
      <c r="I402" s="136"/>
      <c r="J402" s="136"/>
      <c r="K402" s="136"/>
      <c r="L402" s="136"/>
      <c r="M402" s="136"/>
      <c r="N402" s="136"/>
      <c r="O402" s="136"/>
      <c r="P402" s="136"/>
      <c r="Q402" s="136"/>
      <c r="R402" s="136"/>
      <c r="S402" s="136"/>
      <c r="T402" s="136"/>
      <c r="U402" s="136"/>
      <c r="V402" s="136"/>
      <c r="W402" s="136"/>
      <c r="X402" s="136"/>
      <c r="Y402" s="136"/>
      <c r="Z402" s="494">
        <f t="shared" si="110"/>
        <v>0</v>
      </c>
      <c r="AA402" s="494">
        <f t="shared" si="110"/>
        <v>0</v>
      </c>
      <c r="AB402" s="136"/>
      <c r="AC402" s="136"/>
      <c r="AD402" s="136"/>
      <c r="AE402" s="136"/>
      <c r="AF402" s="136"/>
      <c r="AG402" s="136"/>
      <c r="AH402" s="136"/>
      <c r="AI402" s="502"/>
      <c r="AJ402" s="880">
        <f>SUM(D402:AA402)</f>
        <v>0</v>
      </c>
      <c r="AK402" s="116"/>
      <c r="AL402" s="1181"/>
      <c r="AM402" s="31"/>
      <c r="AN402" s="1282"/>
      <c r="AO402" s="13">
        <v>283</v>
      </c>
      <c r="AP402" s="74"/>
      <c r="AQ402" s="75"/>
    </row>
    <row r="403" spans="1:43" ht="57" customHeight="1" x14ac:dyDescent="0.4">
      <c r="A403" s="1188"/>
      <c r="B403" s="76" t="s">
        <v>1190</v>
      </c>
      <c r="C403" s="526" t="s">
        <v>559</v>
      </c>
      <c r="D403" s="79"/>
      <c r="E403" s="79"/>
      <c r="F403" s="79"/>
      <c r="G403" s="79"/>
      <c r="H403" s="79"/>
      <c r="I403" s="79"/>
      <c r="J403" s="79"/>
      <c r="K403" s="79"/>
      <c r="L403" s="79"/>
      <c r="M403" s="79"/>
      <c r="N403" s="79"/>
      <c r="O403" s="79"/>
      <c r="P403" s="79"/>
      <c r="Q403" s="79"/>
      <c r="R403" s="79"/>
      <c r="S403" s="79"/>
      <c r="T403" s="79"/>
      <c r="U403" s="79"/>
      <c r="V403" s="79"/>
      <c r="W403" s="79"/>
      <c r="X403" s="79"/>
      <c r="Y403" s="79"/>
      <c r="Z403" s="463">
        <f t="shared" si="110"/>
        <v>0</v>
      </c>
      <c r="AA403" s="463">
        <f t="shared" si="110"/>
        <v>0</v>
      </c>
      <c r="AB403" s="79"/>
      <c r="AC403" s="79"/>
      <c r="AD403" s="79"/>
      <c r="AE403" s="79"/>
      <c r="AF403" s="79"/>
      <c r="AG403" s="79"/>
      <c r="AH403" s="79"/>
      <c r="AI403" s="290"/>
      <c r="AJ403" s="562">
        <f>SUM(D403:AA403)</f>
        <v>0</v>
      </c>
      <c r="AK403" s="116" t="str">
        <f>CONCATENATE(IF(D404&gt;D398," *  Confirmed ART Patients TB positive and started on TB treatment "&amp;$D$20&amp;" "&amp;$D$21&amp;" is less than  ART patients who had a positive result returned F07-50"&amp;CHAR(10),""),IF(E404&gt;E398," *  Confirmed ART Patients TB positive and started on TB treatment "&amp;$D$20&amp;" "&amp;$E$21&amp;" is less than  ART patients who had a positive result returned F07-50"&amp;CHAR(10),""),IF(F404&gt;F398," *  Confirmed ART Patients TB positive and started on TB treatment "&amp;$F$20&amp;" "&amp;$F$21&amp;" is less than  ART patients who had a positive result returned F07-50"&amp;CHAR(10),""),IF(G404&gt;G398," *  Confirmed ART Patients TB positive and started on TB treatment "&amp;$F$20&amp;" "&amp;$G$21&amp;" is less than  ART patients who had a positive result returned F07-50"&amp;CHAR(10),""),IF(H404&gt;H398," *  Confirmed ART Patients TB positive and started on TB treatment "&amp;$H$20&amp;" "&amp;$H$21&amp;" is less than  ART patients who had a positive result returned F07-50"&amp;CHAR(10),""),IF(I404&gt;I398," *  Confirmed ART Patients TB positive and started on TB treatment "&amp;$H$20&amp;" "&amp;$I$21&amp;" is less than  ART patients who had a positive result returned F07-50"&amp;CHAR(10),""),IF(J404&gt;J398," *  Confirmed ART Patients TB positive and started on TB treatment "&amp;$J$20&amp;" "&amp;$J$21&amp;" is less than  ART patients who had a positive result returned F07-50"&amp;CHAR(10),""),IF(K404&gt;K398," *  Confirmed ART Patients TB positive and started on TB treatment "&amp;$J$20&amp;" "&amp;$K$21&amp;" is less than  ART patients who had a positive result returned F07-50"&amp;CHAR(10),""),IF(L404&gt;L398," *  Confirmed ART Patients TB positive and started on TB treatment "&amp;$L$20&amp;" "&amp;$L$21&amp;" is less than  ART patients who had a positive result returned F07-50"&amp;CHAR(10),""),IF(M404&gt;M398," *  Confirmed ART Patients TB positive and started on TB treatment "&amp;$L$20&amp;" "&amp;$M$21&amp;" is less than  ART patients who had a positive result returned F07-50"&amp;CHAR(10),""),IF(N404&gt;N398," *  Confirmed ART Patients TB positive and started on TB treatment "&amp;$N$20&amp;" "&amp;$N$21&amp;" is less than  ART patients who had a positive result returned F07-50"&amp;CHAR(10),""),IF(O404&gt;O398," *  Confirmed ART Patients TB positive and started on TB treatment "&amp;$N$20&amp;" "&amp;$O$21&amp;" is less than  ART patients who had a positive result returned F07-50"&amp;CHAR(10),""),IF(P404&gt;P398," *  Confirmed ART Patients TB positive and started on TB treatment "&amp;$P$20&amp;" "&amp;$P$21&amp;" is less than  ART patients who had a positive result returned F07-50"&amp;CHAR(10),""),IF(Q404&gt;Q398," *  Confirmed ART Patients TB positive and started on TB treatment "&amp;$P$20&amp;" "&amp;$Q$21&amp;" is less than  ART patients who had a positive result returned F07-50"&amp;CHAR(10),""),IF(R404&gt;R398," *  Confirmed ART Patients TB positive and started on TB treatment "&amp;$R$20&amp;" "&amp;$R$21&amp;" is less than  ART patients who had a positive result returned F07-50"&amp;CHAR(10),""),IF(S404&gt;S398," *  Confirmed ART Patients TB positive and started on TB treatment "&amp;$R$20&amp;" "&amp;$S$21&amp;" is less than  ART patients who had a positive result returned F07-50"&amp;CHAR(10),""),IF(T404&gt;T398," *  Confirmed ART Patients TB positive and started on TB treatment "&amp;$T$20&amp;" "&amp;$T$21&amp;" is less than  ART patients who had a positive result returned F07-50"&amp;CHAR(10),""),IF(U404&gt;U398," *  Confirmed ART Patients TB positive and started on TB treatment "&amp;$T$20&amp;" "&amp;$U$21&amp;" is less than  ART patients who had a positive result returned F07-50"&amp;CHAR(10),""),IF(V404&gt;V398," *  Confirmed ART Patients TB positive and started on TB treatment "&amp;$V$20&amp;" "&amp;$V$21&amp;" is less than  ART patients who had a positive result returned F07-50"&amp;CHAR(10),""),IF(W404&gt;W398," *  Confirmed ART Patients TB positive and started on TB treatment "&amp;$V$20&amp;" "&amp;$W$21&amp;" is less than  ART patients who had a positive result returned F07-50"&amp;CHAR(10),""),IF(X404&gt;X398," *  Confirmed ART Patients TB positive and started on TB treatment "&amp;$X$20&amp;" "&amp;$X$21&amp;" is less than  ART patients who had a positive result returned F07-50"&amp;CHAR(10),""),IF(Y404&gt;Y398," *  Confirmed ART Patients TB positive and started on TB treatment "&amp;$X$20&amp;" "&amp;$Y$21&amp;" is less than  ART patients who had a positive result returned F07-50"&amp;CHAR(10),""),IF(Z404&gt;Z398," *  Confirmed ART Patients TB positive and started on TB treatment "&amp;$Z$20&amp;" "&amp;$Z$21&amp;" is less than  ART patients who had a positive result returned F07-50"&amp;CHAR(10),""),IF(AA404&gt;AA398," *  Confirmed ART Patients TB positive and started on TB treatment "&amp;$Z$20&amp;" "&amp;$AA$21&amp;" is less than  ART patients who had a positive result returned F07-50"&amp;CHAR(10),""))</f>
        <v/>
      </c>
      <c r="AL403" s="1181"/>
      <c r="AM403" s="31"/>
      <c r="AN403" s="1282"/>
      <c r="AO403" s="13">
        <v>284</v>
      </c>
      <c r="AP403" s="74"/>
      <c r="AQ403" s="75"/>
    </row>
    <row r="404" spans="1:43" ht="43.5" customHeight="1" thickBot="1" x14ac:dyDescent="0.45">
      <c r="A404" s="1189"/>
      <c r="B404" s="226" t="s">
        <v>1191</v>
      </c>
      <c r="C404" s="527" t="s">
        <v>560</v>
      </c>
      <c r="D404" s="227">
        <f>D402+D403</f>
        <v>0</v>
      </c>
      <c r="E404" s="227">
        <f t="shared" ref="E404:Z404" si="111">E402+E403</f>
        <v>0</v>
      </c>
      <c r="F404" s="227">
        <f t="shared" si="111"/>
        <v>0</v>
      </c>
      <c r="G404" s="227">
        <f t="shared" si="111"/>
        <v>0</v>
      </c>
      <c r="H404" s="227">
        <f t="shared" si="111"/>
        <v>0</v>
      </c>
      <c r="I404" s="227">
        <f t="shared" si="111"/>
        <v>0</v>
      </c>
      <c r="J404" s="227">
        <f t="shared" si="111"/>
        <v>0</v>
      </c>
      <c r="K404" s="227">
        <f t="shared" si="111"/>
        <v>0</v>
      </c>
      <c r="L404" s="227">
        <f t="shared" si="111"/>
        <v>0</v>
      </c>
      <c r="M404" s="227">
        <f t="shared" si="111"/>
        <v>0</v>
      </c>
      <c r="N404" s="227">
        <f t="shared" si="111"/>
        <v>0</v>
      </c>
      <c r="O404" s="227">
        <f t="shared" si="111"/>
        <v>0</v>
      </c>
      <c r="P404" s="227">
        <f t="shared" si="111"/>
        <v>0</v>
      </c>
      <c r="Q404" s="227">
        <f t="shared" si="111"/>
        <v>0</v>
      </c>
      <c r="R404" s="227">
        <f t="shared" si="111"/>
        <v>0</v>
      </c>
      <c r="S404" s="227">
        <f t="shared" si="111"/>
        <v>0</v>
      </c>
      <c r="T404" s="227">
        <f t="shared" si="111"/>
        <v>0</v>
      </c>
      <c r="U404" s="227">
        <f t="shared" si="111"/>
        <v>0</v>
      </c>
      <c r="V404" s="227">
        <f t="shared" si="111"/>
        <v>0</v>
      </c>
      <c r="W404" s="227">
        <f t="shared" si="111"/>
        <v>0</v>
      </c>
      <c r="X404" s="227">
        <f t="shared" si="111"/>
        <v>0</v>
      </c>
      <c r="Y404" s="227">
        <f t="shared" si="111"/>
        <v>0</v>
      </c>
      <c r="Z404" s="227">
        <f t="shared" si="111"/>
        <v>0</v>
      </c>
      <c r="AA404" s="227">
        <f t="shared" ref="AA404:AI404" si="112">AA402+AA403</f>
        <v>0</v>
      </c>
      <c r="AB404" s="227">
        <f t="shared" si="112"/>
        <v>0</v>
      </c>
      <c r="AC404" s="227">
        <f t="shared" si="112"/>
        <v>0</v>
      </c>
      <c r="AD404" s="227">
        <f t="shared" si="112"/>
        <v>0</v>
      </c>
      <c r="AE404" s="227">
        <f t="shared" si="112"/>
        <v>0</v>
      </c>
      <c r="AF404" s="227">
        <f t="shared" si="112"/>
        <v>0</v>
      </c>
      <c r="AG404" s="227">
        <f t="shared" si="112"/>
        <v>0</v>
      </c>
      <c r="AH404" s="227">
        <f t="shared" si="112"/>
        <v>0</v>
      </c>
      <c r="AI404" s="326">
        <f t="shared" si="112"/>
        <v>0</v>
      </c>
      <c r="AJ404" s="372">
        <f>SUM(D404:AA404)</f>
        <v>0</v>
      </c>
      <c r="AK404" s="116" t="str">
        <f>CONCATENATE(IF(D404&gt;D393," * ART Patients TB positive and started on TB Treatment  for Age "&amp;D20&amp;" "&amp;D21&amp;" is more than Total Screened for TB"&amp;CHAR(10),""),IF(E404&gt;E393," * ART Patients TB positive and started on TB Treatment  for Age "&amp;D20&amp;" "&amp;E21&amp;" is more than Total Screened for TB"&amp;CHAR(10),""),IF(F404&gt;F393," * ART Patients TB positive and started on TB Treatment  for Age "&amp;F20&amp;" "&amp;F21&amp;" is more than Total Screened for TB"&amp;CHAR(10),""),IF(G404&gt;G393," * ART Patients TB positive and started on TB Treatment  for Age "&amp;F20&amp;" "&amp;G21&amp;" is more than Total Screened for TB"&amp;CHAR(10),""),IF(H404&gt;H393," * ART Patients TB positive and started on TB Treatment  for Age "&amp;H20&amp;" "&amp;H21&amp;" is more than Total Screened for TB"&amp;CHAR(10),""),IF(I404&gt;I393," * ART Patients TB positive and started on TB Treatment  for Age "&amp;H20&amp;" "&amp;I21&amp;" is more than Total Screened for TB"&amp;CHAR(10),""),IF(J404&gt;J393," * ART Patients TB positive and started on TB Treatment  for Age "&amp;J20&amp;" "&amp;J21&amp;" is more than Total Screened for TB"&amp;CHAR(10),""),IF(K404&gt;K393," * ART Patients TB positive and started on TB Treatment  for Age "&amp;J20&amp;" "&amp;K21&amp;" is more than Total Screened for TB"&amp;CHAR(10),""),IF(L404&gt;L393," * ART Patients TB positive and started on TB Treatment  for Age "&amp;L20&amp;" "&amp;L21&amp;" is more than Total Screened for TB"&amp;CHAR(10),""),IF(M404&gt;M393," * ART Patients TB positive and started on TB Treatment  for Age "&amp;L20&amp;" "&amp;M21&amp;" is more than Total Screened for TB"&amp;CHAR(10),""),IF(N404&gt;N393," * ART Patients TB positive and started on TB Treatment  for Age "&amp;N20&amp;" "&amp;N21&amp;" is more than Total Screened for TB"&amp;CHAR(10),""),IF(O404&gt;O393," * ART Patients TB positive and started on TB Treatment  for Age "&amp;N20&amp;" "&amp;O21&amp;" is more than Total Screened for TB"&amp;CHAR(10),""),IF(P404&gt;P393," * ART Patients TB positive and started on TB Treatment  for Age "&amp;P20&amp;" "&amp;P21&amp;" is more than Total Screened for TB"&amp;CHAR(10),""),IF(Q404&gt;Q393," * ART Patients TB positive and started on TB Treatment  for Age "&amp;P20&amp;" "&amp;Q21&amp;" is more than Total Screened for TB"&amp;CHAR(10),""),IF(R404&gt;R393," * ART Patients TB positive and started on TB Treatment  for Age "&amp;R20&amp;" "&amp;R21&amp;" is more than Total Screened for TB"&amp;CHAR(10),""),IF(S404&gt;S393," * ART Patients TB positive and started on TB Treatment  for Age "&amp;R20&amp;" "&amp;S21&amp;" is more than Total Screened for TB"&amp;CHAR(10),""),IF(T404&gt;T393," * ART Patients TB positive and started on TB Treatment  for Age "&amp;T20&amp;" "&amp;T21&amp;" is more than Total Screened for TB"&amp;CHAR(10),""),IF(U404&gt;U393," * ART Patients TB positive and started on TB Treatment  for Age "&amp;T20&amp;" "&amp;U21&amp;" is more than Total Screened for TB"&amp;CHAR(10),""),IF(V404&gt;V393," * ART Patients TB positive and started on TB Treatment  for Age "&amp;V20&amp;" "&amp;V21&amp;" is more than Total Screened for TB"&amp;CHAR(10),""),IF(W404&gt;W393," * ART Patients TB positive and started on TB Treatment  for Age "&amp;V20&amp;" "&amp;W21&amp;" is more than Total Screened for TB"&amp;CHAR(10),""),IF(X404&gt;X393," * ART Patients TB positive and started on TB Treatment  for Age "&amp;X20&amp;" "&amp;X21&amp;" is more than Total Screened for TB"&amp;CHAR(10),""),IF(Y404&gt;Y393," * ART Patients TB positive and started on TB Treatment  for Age "&amp;X20&amp;" "&amp;Y21&amp;" is more than Total Screened for TB"&amp;CHAR(10),""),IF(Z404&gt;Z393," * ART Patients TB positive and started on TB Treatment  for Age "&amp;Z20&amp;" "&amp;Z21&amp;" is more than Total Screened for TB"&amp;CHAR(10),""),IF(AA404&gt;AA393," * ART Patients TB positive and started on TB Treatment  for Age "&amp;Z20&amp;" "&amp;AA21&amp;" is more than Total Screened for TB"&amp;CHAR(10),""))</f>
        <v/>
      </c>
      <c r="AL404" s="1182"/>
      <c r="AM404" s="31"/>
      <c r="AN404" s="1283"/>
      <c r="AO404" s="13">
        <v>285</v>
      </c>
      <c r="AP404" s="74"/>
      <c r="AQ404" s="75"/>
    </row>
    <row r="405" spans="1:43" ht="26.25" hidden="1" x14ac:dyDescent="0.4">
      <c r="A405" s="1187" t="s">
        <v>557</v>
      </c>
      <c r="B405" s="107" t="s">
        <v>850</v>
      </c>
      <c r="C405" s="525" t="s">
        <v>561</v>
      </c>
      <c r="D405" s="232">
        <f t="shared" ref="D405:AA405" si="113">D8+D11+D15</f>
        <v>0</v>
      </c>
      <c r="E405" s="232">
        <f t="shared" si="113"/>
        <v>0</v>
      </c>
      <c r="F405" s="232">
        <f t="shared" si="113"/>
        <v>0</v>
      </c>
      <c r="G405" s="232">
        <f t="shared" si="113"/>
        <v>0</v>
      </c>
      <c r="H405" s="232">
        <f t="shared" si="113"/>
        <v>0</v>
      </c>
      <c r="I405" s="232">
        <f t="shared" si="113"/>
        <v>0</v>
      </c>
      <c r="J405" s="232">
        <f t="shared" si="113"/>
        <v>0</v>
      </c>
      <c r="K405" s="232">
        <f t="shared" si="113"/>
        <v>0</v>
      </c>
      <c r="L405" s="232">
        <f t="shared" si="113"/>
        <v>0</v>
      </c>
      <c r="M405" s="232">
        <f t="shared" si="113"/>
        <v>0</v>
      </c>
      <c r="N405" s="232">
        <f t="shared" si="113"/>
        <v>0</v>
      </c>
      <c r="O405" s="232">
        <f t="shared" si="113"/>
        <v>0</v>
      </c>
      <c r="P405" s="232">
        <f t="shared" si="113"/>
        <v>0</v>
      </c>
      <c r="Q405" s="232">
        <f t="shared" si="113"/>
        <v>0</v>
      </c>
      <c r="R405" s="232">
        <f t="shared" si="113"/>
        <v>0</v>
      </c>
      <c r="S405" s="232">
        <f t="shared" si="113"/>
        <v>0</v>
      </c>
      <c r="T405" s="232">
        <f t="shared" si="113"/>
        <v>0</v>
      </c>
      <c r="U405" s="232">
        <f t="shared" si="113"/>
        <v>0</v>
      </c>
      <c r="V405" s="232">
        <f t="shared" si="113"/>
        <v>0</v>
      </c>
      <c r="W405" s="232">
        <f t="shared" si="113"/>
        <v>0</v>
      </c>
      <c r="X405" s="232">
        <f t="shared" si="113"/>
        <v>0</v>
      </c>
      <c r="Y405" s="232">
        <f t="shared" si="113"/>
        <v>0</v>
      </c>
      <c r="Z405" s="232">
        <f t="shared" si="113"/>
        <v>0</v>
      </c>
      <c r="AA405" s="437">
        <f t="shared" si="113"/>
        <v>0</v>
      </c>
      <c r="AB405" s="439"/>
      <c r="AC405" s="438"/>
      <c r="AD405" s="438"/>
      <c r="AE405" s="438"/>
      <c r="AF405" s="438"/>
      <c r="AG405" s="438"/>
      <c r="AH405" s="438"/>
      <c r="AI405" s="440"/>
      <c r="AJ405" s="232">
        <f>AJ8+AJ11+AJ15</f>
        <v>0</v>
      </c>
      <c r="AK405" s="116"/>
      <c r="AL405" s="1180" t="str">
        <f>CONCATENATE(AK405,AK406,AK407,AK408,AK409,AK410,AK411,AK412)</f>
        <v/>
      </c>
      <c r="AM405" s="31"/>
      <c r="AN405" s="1271" t="str">
        <f>CONCATENATE(AM405,AM406,AM407,AM408,AM409,AM410,AM411,AM412)</f>
        <v/>
      </c>
      <c r="AO405" s="13">
        <v>286</v>
      </c>
      <c r="AP405" s="74"/>
      <c r="AQ405" s="75"/>
    </row>
    <row r="406" spans="1:43" ht="45.75" customHeight="1" x14ac:dyDescent="0.4">
      <c r="A406" s="1188"/>
      <c r="B406" s="76" t="s">
        <v>862</v>
      </c>
      <c r="C406" s="526" t="s">
        <v>562</v>
      </c>
      <c r="D406" s="223"/>
      <c r="E406" s="79"/>
      <c r="F406" s="79"/>
      <c r="G406" s="79"/>
      <c r="H406" s="79"/>
      <c r="I406" s="79"/>
      <c r="J406" s="79"/>
      <c r="K406" s="79"/>
      <c r="L406" s="79"/>
      <c r="M406" s="79"/>
      <c r="N406" s="79"/>
      <c r="O406" s="79"/>
      <c r="P406" s="79"/>
      <c r="Q406" s="79"/>
      <c r="R406" s="79"/>
      <c r="S406" s="79"/>
      <c r="T406" s="79"/>
      <c r="U406" s="79"/>
      <c r="V406" s="79"/>
      <c r="W406" s="79"/>
      <c r="X406" s="79"/>
      <c r="Y406" s="79"/>
      <c r="Z406" s="79"/>
      <c r="AA406" s="290"/>
      <c r="AB406" s="354"/>
      <c r="AC406" s="325"/>
      <c r="AD406" s="325"/>
      <c r="AE406" s="325"/>
      <c r="AF406" s="325"/>
      <c r="AG406" s="325"/>
      <c r="AH406" s="325"/>
      <c r="AI406" s="285"/>
      <c r="AJ406" s="171">
        <f>SUM(D406:AA406)</f>
        <v>0</v>
      </c>
      <c r="AK406" s="899" t="str">
        <f>CONCATENATE(IF(D407&gt;D406," * "&amp;B407&amp;"   for Age "&amp;D$20&amp;" "&amp;D$21&amp;" is more than "&amp;B406&amp;" "&amp;CHAR(10),""),IF(E407&gt;E406," * "&amp;B407&amp;"   for Age "&amp;D$20&amp;" "&amp;E$21&amp;" is more than "&amp;B406&amp;" "&amp;CHAR(10),""),IF(F407&gt;F406," * "&amp;B407&amp;"   for Age "&amp;F$20&amp;" "&amp;F$21&amp;" is more than "&amp;B406&amp;" "&amp;CHAR(10),""),IF(G407&gt;G406," * "&amp;B407&amp;"   for Age "&amp;F$20&amp;" "&amp;G$21&amp;" is more than "&amp;B406&amp;" "&amp;CHAR(10),""),IF(H407&gt;H406," * "&amp;B407&amp;"   for Age "&amp;H$20&amp;" "&amp;H$21&amp;" is more than "&amp;B406&amp;" "&amp;CHAR(10),""),IF(I407&gt;I406," * "&amp;B407&amp;"   for Age "&amp;H$20&amp;" "&amp;I$21&amp;" is more than "&amp;B406&amp;" "&amp;CHAR(10),""),IF(J407&gt;J406," * "&amp;B407&amp;"   for Age "&amp;J$20&amp;" "&amp;J$21&amp;" is more than "&amp;B406&amp;" "&amp;CHAR(10),""),IF(K407&gt;K406," * "&amp;B407&amp;"   for Age "&amp;J$20&amp;" "&amp;K$21&amp;" is more than "&amp;B406&amp;" "&amp;CHAR(10),""),IF(L407&gt;L406," * "&amp;B407&amp;"   for Age "&amp;L$20&amp;" "&amp;L$21&amp;" is more than "&amp;B406&amp;" "&amp;CHAR(10),""),IF(M407&gt;M406," * "&amp;B407&amp;"   for Age "&amp;L$20&amp;" "&amp;M$21&amp;" is more than "&amp;B406&amp;" "&amp;CHAR(10),""),IF(N407&gt;N406," * "&amp;B407&amp;"   for Age "&amp;N$20&amp;" "&amp;N$21&amp;" is more than "&amp;B406&amp;" "&amp;CHAR(10),""),IF(O407&gt;O406," * "&amp;B407&amp;"   for Age "&amp;N$20&amp;" "&amp;O$21&amp;" is more than "&amp;B406&amp;" "&amp;CHAR(10),""),IF(P407&gt;P406," * "&amp;B407&amp;"   for Age "&amp;P$20&amp;" "&amp;P$21&amp;" is more than "&amp;B406&amp;" "&amp;CHAR(10),""),IF(Q407&gt;Q406," * "&amp;B407&amp;"   for Age "&amp;P$20&amp;" "&amp;Q$21&amp;" is more than "&amp;B406&amp;" "&amp;CHAR(10),""),IF(R407&gt;R406," * "&amp;B407&amp;"   for Age "&amp;R$20&amp;" "&amp;R$21&amp;" is more than "&amp;B406&amp;" "&amp;CHAR(10),""),IF(S407&gt;S406," * "&amp;B407&amp;"   for Age "&amp;R$20&amp;" "&amp;S$21&amp;" is more than "&amp;B406&amp;" "&amp;CHAR(10),""),IF(T407&gt;T406," * "&amp;B407&amp;"   for Age "&amp;T$20&amp;" "&amp;T$21&amp;" is more than "&amp;B406&amp;" "&amp;CHAR(10),""),IF(U407&gt;U406," * "&amp;B407&amp;"   for Age "&amp;T$20&amp;" "&amp;U$21&amp;" is more than "&amp;B406&amp;" "&amp;CHAR(10),""),IF(V407&gt;V406," * "&amp;B407&amp;"   for Age "&amp;V$20&amp;" "&amp;V$21&amp;" is more than "&amp;B406&amp;" "&amp;CHAR(10),""),IF(W407&gt;W406," * "&amp;B407&amp;"   for Age "&amp;V$20&amp;" "&amp;W$21&amp;" is more than "&amp;B406&amp;" "&amp;CHAR(10),""),IF(X407&gt;X406," * "&amp;B407&amp;"   for Age "&amp;X$20&amp;" "&amp;X$21&amp;" is more than "&amp;B406&amp;" "&amp;CHAR(10),""),IF(Y407&gt;Y406," * "&amp;B407&amp;"   for Age "&amp;X$20&amp;" "&amp;Y$21&amp;" is more than "&amp;B406&amp;" "&amp;CHAR(10),""),IF(Z407&gt;Z406," * "&amp;B407&amp;"   for Age "&amp;Z$20&amp;" "&amp;Z$21&amp;" is more than "&amp;B406&amp;" "&amp;CHAR(10),""),IF(AA407&gt;AA406," * "&amp;B407&amp;"   for Age "&amp;Z$20&amp;" "&amp;AA$21&amp;" is more than "&amp;B406&amp;" "&amp;CHAR(10),""))</f>
        <v/>
      </c>
      <c r="AL406" s="1181"/>
      <c r="AM406" s="31"/>
      <c r="AN406" s="1282"/>
      <c r="AO406" s="13">
        <v>287</v>
      </c>
      <c r="AP406" s="74"/>
      <c r="AQ406" s="75"/>
    </row>
    <row r="407" spans="1:43" ht="48" customHeight="1" thickBot="1" x14ac:dyDescent="0.45">
      <c r="A407" s="1188"/>
      <c r="B407" s="76" t="s">
        <v>544</v>
      </c>
      <c r="C407" s="526" t="s">
        <v>563</v>
      </c>
      <c r="D407" s="223"/>
      <c r="E407" s="223"/>
      <c r="F407" s="223"/>
      <c r="G407" s="223"/>
      <c r="H407" s="223"/>
      <c r="I407" s="223"/>
      <c r="J407" s="223"/>
      <c r="K407" s="223"/>
      <c r="L407" s="223"/>
      <c r="M407" s="223"/>
      <c r="N407" s="223"/>
      <c r="O407" s="223"/>
      <c r="P407" s="223"/>
      <c r="Q407" s="223"/>
      <c r="R407" s="223"/>
      <c r="S407" s="223"/>
      <c r="T407" s="223"/>
      <c r="U407" s="223"/>
      <c r="V407" s="223"/>
      <c r="W407" s="223"/>
      <c r="X407" s="223"/>
      <c r="Y407" s="223"/>
      <c r="Z407" s="223"/>
      <c r="AA407" s="328"/>
      <c r="AB407" s="354"/>
      <c r="AC407" s="325"/>
      <c r="AD407" s="325"/>
      <c r="AE407" s="325"/>
      <c r="AF407" s="325"/>
      <c r="AG407" s="325"/>
      <c r="AH407" s="325"/>
      <c r="AI407" s="285"/>
      <c r="AJ407" s="171">
        <f t="shared" ref="AJ407:AJ412" si="114">SUM(D407:AA407)</f>
        <v>0</v>
      </c>
      <c r="AK407" s="899" t="str">
        <f>CONCATENATE(IF(D408&gt;D407," * "&amp;B408&amp;"   for Age "&amp;D$20&amp;" "&amp;D$21&amp;" is more than "&amp;B407&amp;" "&amp;CHAR(10),""),IF(E408&gt;E407," * "&amp;B408&amp;"   for Age "&amp;D$20&amp;" "&amp;E$21&amp;" is more than "&amp;B407&amp;" "&amp;CHAR(10),""),IF(F408&gt;F407," * "&amp;B408&amp;"   for Age "&amp;F$20&amp;" "&amp;F$21&amp;" is more than "&amp;B407&amp;" "&amp;CHAR(10),""),IF(G408&gt;G407," * "&amp;B408&amp;"   for Age "&amp;F$20&amp;" "&amp;G$21&amp;" is more than "&amp;B407&amp;" "&amp;CHAR(10),""),IF(H408&gt;H407," * "&amp;B408&amp;"   for Age "&amp;H$20&amp;" "&amp;H$21&amp;" is more than "&amp;B407&amp;" "&amp;CHAR(10),""),IF(I408&gt;I407," * "&amp;B408&amp;"   for Age "&amp;H$20&amp;" "&amp;I$21&amp;" is more than "&amp;B407&amp;" "&amp;CHAR(10),""),IF(J408&gt;J407," * "&amp;B408&amp;"   for Age "&amp;J$20&amp;" "&amp;J$21&amp;" is more than "&amp;B407&amp;" "&amp;CHAR(10),""),IF(K408&gt;K407," * "&amp;B408&amp;"   for Age "&amp;J$20&amp;" "&amp;K$21&amp;" is more than "&amp;B407&amp;" "&amp;CHAR(10),""),IF(L408&gt;L407," * "&amp;B408&amp;"   for Age "&amp;L$20&amp;" "&amp;L$21&amp;" is more than "&amp;B407&amp;" "&amp;CHAR(10),""),IF(M408&gt;M407," * "&amp;B408&amp;"   for Age "&amp;L$20&amp;" "&amp;M$21&amp;" is more than "&amp;B407&amp;" "&amp;CHAR(10),""),IF(N408&gt;N407," * "&amp;B408&amp;"   for Age "&amp;N$20&amp;" "&amp;N$21&amp;" is more than "&amp;B407&amp;" "&amp;CHAR(10),""),IF(O408&gt;O407," * "&amp;B408&amp;"   for Age "&amp;N$20&amp;" "&amp;O$21&amp;" is more than "&amp;B407&amp;" "&amp;CHAR(10),""),IF(P408&gt;P407," * "&amp;B408&amp;"   for Age "&amp;P$20&amp;" "&amp;P$21&amp;" is more than "&amp;B407&amp;" "&amp;CHAR(10),""),IF(Q408&gt;Q407," * "&amp;B408&amp;"   for Age "&amp;P$20&amp;" "&amp;Q$21&amp;" is more than "&amp;B407&amp;" "&amp;CHAR(10),""),IF(R408&gt;R407," * "&amp;B408&amp;"   for Age "&amp;R$20&amp;" "&amp;R$21&amp;" is more than "&amp;B407&amp;" "&amp;CHAR(10),""),IF(S408&gt;S407," * "&amp;B408&amp;"   for Age "&amp;R$20&amp;" "&amp;S$21&amp;" is more than "&amp;B407&amp;" "&amp;CHAR(10),""),IF(T408&gt;T407," * "&amp;B408&amp;"   for Age "&amp;T$20&amp;" "&amp;T$21&amp;" is more than "&amp;B407&amp;" "&amp;CHAR(10),""),IF(U408&gt;U407," * "&amp;B408&amp;"   for Age "&amp;T$20&amp;" "&amp;U$21&amp;" is more than "&amp;B407&amp;" "&amp;CHAR(10),""),IF(V408&gt;V407," * "&amp;B408&amp;"   for Age "&amp;V$20&amp;" "&amp;V$21&amp;" is more than "&amp;B407&amp;" "&amp;CHAR(10),""),IF(W408&gt;W407," * "&amp;B408&amp;"   for Age "&amp;V$20&amp;" "&amp;W$21&amp;" is more than "&amp;B407&amp;" "&amp;CHAR(10),""),IF(X408&gt;X407," * "&amp;B408&amp;"   for Age "&amp;X$20&amp;" "&amp;X$21&amp;" is more than "&amp;B407&amp;" "&amp;CHAR(10),""),IF(Y408&gt;Y407," * "&amp;B408&amp;"   for Age "&amp;X$20&amp;" "&amp;Y$21&amp;" is more than "&amp;B407&amp;" "&amp;CHAR(10),""),IF(Z408&gt;Z407," * "&amp;B408&amp;"   for Age "&amp;Z$20&amp;" "&amp;Z$21&amp;" is more than "&amp;B407&amp;" "&amp;CHAR(10),""),IF(AA408&gt;AA407," * "&amp;B408&amp;"   for Age "&amp;Z$20&amp;" "&amp;AA$21&amp;" is more than "&amp;B407&amp;" "&amp;CHAR(10),""))</f>
        <v/>
      </c>
      <c r="AL407" s="1181"/>
      <c r="AM407" s="31"/>
      <c r="AN407" s="1282"/>
      <c r="AO407" s="13">
        <v>288</v>
      </c>
      <c r="AP407" s="74"/>
      <c r="AQ407" s="75"/>
    </row>
    <row r="408" spans="1:43" ht="47.25" customHeight="1" x14ac:dyDescent="0.4">
      <c r="A408" s="1188"/>
      <c r="B408" s="1" t="s">
        <v>1270</v>
      </c>
      <c r="C408" s="526" t="s">
        <v>564</v>
      </c>
      <c r="D408" s="223"/>
      <c r="E408" s="223"/>
      <c r="F408" s="223"/>
      <c r="G408" s="223"/>
      <c r="H408" s="223"/>
      <c r="I408" s="223"/>
      <c r="J408" s="223"/>
      <c r="K408" s="223"/>
      <c r="L408" s="223"/>
      <c r="M408" s="223"/>
      <c r="N408" s="223"/>
      <c r="O408" s="223"/>
      <c r="P408" s="223"/>
      <c r="Q408" s="223"/>
      <c r="R408" s="223"/>
      <c r="S408" s="223"/>
      <c r="T408" s="223"/>
      <c r="U408" s="223"/>
      <c r="V408" s="223"/>
      <c r="W408" s="223"/>
      <c r="X408" s="223"/>
      <c r="Y408" s="223"/>
      <c r="Z408" s="223"/>
      <c r="AA408" s="328"/>
      <c r="AB408" s="354"/>
      <c r="AC408" s="325"/>
      <c r="AD408" s="325"/>
      <c r="AE408" s="325"/>
      <c r="AF408" s="325"/>
      <c r="AG408" s="325"/>
      <c r="AH408" s="325"/>
      <c r="AI408" s="285"/>
      <c r="AJ408" s="171">
        <f t="shared" si="114"/>
        <v>0</v>
      </c>
      <c r="AK408" s="899"/>
      <c r="AL408" s="1181"/>
      <c r="AM408" s="31"/>
      <c r="AN408" s="1282"/>
      <c r="AO408" s="13">
        <v>289</v>
      </c>
      <c r="AP408" s="74"/>
      <c r="AQ408" s="75"/>
    </row>
    <row r="409" spans="1:43" ht="78.75" x14ac:dyDescent="0.4">
      <c r="A409" s="1188"/>
      <c r="B409" s="2" t="s">
        <v>1271</v>
      </c>
      <c r="C409" s="526" t="s">
        <v>565</v>
      </c>
      <c r="D409" s="223"/>
      <c r="E409" s="223"/>
      <c r="F409" s="223"/>
      <c r="G409" s="223"/>
      <c r="H409" s="223"/>
      <c r="I409" s="223"/>
      <c r="J409" s="223"/>
      <c r="K409" s="223"/>
      <c r="L409" s="223"/>
      <c r="M409" s="223"/>
      <c r="N409" s="223"/>
      <c r="O409" s="223"/>
      <c r="P409" s="223"/>
      <c r="Q409" s="223"/>
      <c r="R409" s="223"/>
      <c r="S409" s="223"/>
      <c r="T409" s="223"/>
      <c r="U409" s="223"/>
      <c r="V409" s="223"/>
      <c r="W409" s="223"/>
      <c r="X409" s="223"/>
      <c r="Y409" s="223"/>
      <c r="Z409" s="223"/>
      <c r="AA409" s="328"/>
      <c r="AB409" s="354"/>
      <c r="AC409" s="325"/>
      <c r="AD409" s="325"/>
      <c r="AE409" s="325"/>
      <c r="AF409" s="325"/>
      <c r="AG409" s="325"/>
      <c r="AH409" s="325"/>
      <c r="AI409" s="285"/>
      <c r="AJ409" s="171">
        <f t="shared" si="114"/>
        <v>0</v>
      </c>
      <c r="AK409" s="116"/>
      <c r="AL409" s="1181"/>
      <c r="AM409" s="31"/>
      <c r="AN409" s="1282"/>
      <c r="AO409" s="13">
        <v>290</v>
      </c>
      <c r="AP409" s="74"/>
      <c r="AQ409" s="75"/>
    </row>
    <row r="410" spans="1:43" ht="52.5" x14ac:dyDescent="0.4">
      <c r="A410" s="1188"/>
      <c r="B410" s="2" t="s">
        <v>1272</v>
      </c>
      <c r="C410" s="526" t="s">
        <v>566</v>
      </c>
      <c r="D410" s="223"/>
      <c r="E410" s="223"/>
      <c r="F410" s="223"/>
      <c r="G410" s="223"/>
      <c r="H410" s="223"/>
      <c r="I410" s="223"/>
      <c r="J410" s="223"/>
      <c r="K410" s="223"/>
      <c r="L410" s="223"/>
      <c r="M410" s="223"/>
      <c r="N410" s="223"/>
      <c r="O410" s="223"/>
      <c r="P410" s="223"/>
      <c r="Q410" s="223"/>
      <c r="R410" s="223"/>
      <c r="S410" s="223"/>
      <c r="T410" s="223"/>
      <c r="U410" s="223"/>
      <c r="V410" s="223"/>
      <c r="W410" s="223"/>
      <c r="X410" s="223"/>
      <c r="Y410" s="223"/>
      <c r="Z410" s="223"/>
      <c r="AA410" s="328"/>
      <c r="AB410" s="354"/>
      <c r="AC410" s="325"/>
      <c r="AD410" s="325"/>
      <c r="AE410" s="325"/>
      <c r="AF410" s="325"/>
      <c r="AG410" s="325"/>
      <c r="AH410" s="325"/>
      <c r="AI410" s="285"/>
      <c r="AJ410" s="171">
        <f t="shared" si="114"/>
        <v>0</v>
      </c>
      <c r="AK410" s="899" t="str">
        <f>CONCATENATE(IF(D411&gt;D407," * "&amp;B411&amp;"   for Age "&amp;D$20&amp;" "&amp;D$21&amp;" is more than "&amp;B407&amp;" "&amp;CHAR(10),""),IF(E411&gt;E407," * "&amp;B411&amp;"   for Age "&amp;D$20&amp;" "&amp;E$21&amp;" is more than "&amp;B407&amp;" "&amp;CHAR(10),""),IF(F411&gt;F407," * "&amp;B411&amp;"   for Age "&amp;F$20&amp;" "&amp;F$21&amp;" is more than "&amp;B407&amp;" "&amp;CHAR(10),""),IF(G411&gt;G407," * "&amp;B411&amp;"   for Age "&amp;F$20&amp;" "&amp;G$21&amp;" is more than "&amp;B407&amp;" "&amp;CHAR(10),""),IF(H411&gt;H407," * "&amp;B411&amp;"   for Age "&amp;H$20&amp;" "&amp;H$21&amp;" is more than "&amp;B407&amp;" "&amp;CHAR(10),""),IF(I411&gt;I407," * "&amp;B411&amp;"   for Age "&amp;H$20&amp;" "&amp;I$21&amp;" is more than "&amp;B407&amp;" "&amp;CHAR(10),""),IF(J411&gt;J407," * "&amp;B411&amp;"   for Age "&amp;J$20&amp;" "&amp;J$21&amp;" is more than "&amp;B407&amp;" "&amp;CHAR(10),""),IF(K411&gt;K407," * "&amp;B411&amp;"   for Age "&amp;J$20&amp;" "&amp;K$21&amp;" is more than "&amp;B407&amp;" "&amp;CHAR(10),""),IF(L411&gt;L407," * "&amp;B411&amp;"   for Age "&amp;L$20&amp;" "&amp;L$21&amp;" is more than "&amp;B407&amp;" "&amp;CHAR(10),""),IF(M411&gt;M407," * "&amp;B411&amp;"   for Age "&amp;L$20&amp;" "&amp;M$21&amp;" is more than "&amp;B407&amp;" "&amp;CHAR(10),""),IF(N411&gt;N407," * "&amp;B411&amp;"   for Age "&amp;N$20&amp;" "&amp;N$21&amp;" is more than "&amp;B407&amp;" "&amp;CHAR(10),""),IF(O411&gt;O407," * "&amp;B411&amp;"   for Age "&amp;N$20&amp;" "&amp;O$21&amp;" is more than "&amp;B407&amp;" "&amp;CHAR(10),""),IF(P411&gt;P407," * "&amp;B411&amp;"   for Age "&amp;P$20&amp;" "&amp;P$21&amp;" is more than "&amp;B407&amp;" "&amp;CHAR(10),""),IF(Q411&gt;Q407," * "&amp;B411&amp;"   for Age "&amp;P$20&amp;" "&amp;Q$21&amp;" is more than "&amp;B407&amp;" "&amp;CHAR(10),""),IF(R411&gt;R407," * "&amp;B411&amp;"   for Age "&amp;R$20&amp;" "&amp;R$21&amp;" is more than "&amp;B407&amp;" "&amp;CHAR(10),""),IF(S411&gt;S407," * "&amp;B411&amp;"   for Age "&amp;R$20&amp;" "&amp;S$21&amp;" is more than "&amp;B407&amp;" "&amp;CHAR(10),""),IF(T411&gt;T407," * "&amp;B411&amp;"   for Age "&amp;T$20&amp;" "&amp;T$21&amp;" is more than "&amp;B407&amp;" "&amp;CHAR(10),""),IF(U411&gt;U407," * "&amp;B411&amp;"   for Age "&amp;T$20&amp;" "&amp;U$21&amp;" is more than "&amp;B407&amp;" "&amp;CHAR(10),""),IF(V411&gt;V407," * "&amp;B411&amp;"   for Age "&amp;V$20&amp;" "&amp;V$21&amp;" is more than "&amp;B407&amp;" "&amp;CHAR(10),""),IF(W411&gt;W407," * "&amp;B411&amp;"   for Age "&amp;V$20&amp;" "&amp;W$21&amp;" is more than "&amp;B407&amp;" "&amp;CHAR(10),""),IF(X411&gt;X407," * "&amp;B411&amp;"   for Age "&amp;X$20&amp;" "&amp;X$21&amp;" is more than "&amp;B407&amp;" "&amp;CHAR(10),""),IF(Y411&gt;Y407," * "&amp;B411&amp;"   for Age "&amp;X$20&amp;" "&amp;Y$21&amp;" is more than "&amp;B407&amp;" "&amp;CHAR(10),""),IF(Z411&gt;Z407," * "&amp;B411&amp;"   for Age "&amp;Z$20&amp;" "&amp;Z$21&amp;" is more than "&amp;B407&amp;" "&amp;CHAR(10),""),IF(AA411&gt;AA407," * "&amp;B411&amp;"   for Age "&amp;Z$20&amp;" "&amp;AA$21&amp;" is more than "&amp;B407&amp;" "&amp;CHAR(10),""))</f>
        <v/>
      </c>
      <c r="AL410" s="1181"/>
      <c r="AM410" s="31"/>
      <c r="AN410" s="1282"/>
      <c r="AO410" s="13">
        <v>291</v>
      </c>
      <c r="AP410" s="74"/>
      <c r="AQ410" s="75"/>
    </row>
    <row r="411" spans="1:43" ht="52.5" x14ac:dyDescent="0.4">
      <c r="A411" s="1188"/>
      <c r="B411" s="76" t="s">
        <v>867</v>
      </c>
      <c r="C411" s="526" t="s">
        <v>567</v>
      </c>
      <c r="D411" s="223"/>
      <c r="E411" s="223"/>
      <c r="F411" s="223"/>
      <c r="G411" s="223"/>
      <c r="H411" s="223"/>
      <c r="I411" s="223"/>
      <c r="J411" s="223"/>
      <c r="K411" s="223"/>
      <c r="L411" s="223"/>
      <c r="M411" s="223"/>
      <c r="N411" s="223"/>
      <c r="O411" s="223"/>
      <c r="P411" s="223"/>
      <c r="Q411" s="223"/>
      <c r="R411" s="223"/>
      <c r="S411" s="223"/>
      <c r="T411" s="223"/>
      <c r="U411" s="223"/>
      <c r="V411" s="223"/>
      <c r="W411" s="223"/>
      <c r="X411" s="223"/>
      <c r="Y411" s="223"/>
      <c r="Z411" s="223"/>
      <c r="AA411" s="328"/>
      <c r="AB411" s="354"/>
      <c r="AC411" s="325"/>
      <c r="AD411" s="325"/>
      <c r="AE411" s="325"/>
      <c r="AF411" s="325"/>
      <c r="AG411" s="325"/>
      <c r="AH411" s="325"/>
      <c r="AI411" s="285"/>
      <c r="AJ411" s="171">
        <f t="shared" si="114"/>
        <v>0</v>
      </c>
      <c r="AK411" s="899" t="str">
        <f>CONCATENATE(IF(D412&gt;D411," * "&amp;B412&amp;"   for Age "&amp;D$20&amp;" "&amp;D$21&amp;" is more than "&amp;B411&amp;" "&amp;CHAR(10),""),IF(E412&gt;E411," * "&amp;B412&amp;"   for Age "&amp;D$20&amp;" "&amp;E$21&amp;" is more than "&amp;B411&amp;" "&amp;CHAR(10),""),IF(F412&gt;F411," * "&amp;B412&amp;"   for Age "&amp;F$20&amp;" "&amp;F$21&amp;" is more than "&amp;B411&amp;" "&amp;CHAR(10),""),IF(G412&gt;G411," * "&amp;B412&amp;"   for Age "&amp;F$20&amp;" "&amp;G$21&amp;" is more than "&amp;B411&amp;" "&amp;CHAR(10),""),IF(H412&gt;H411," * "&amp;B412&amp;"   for Age "&amp;H$20&amp;" "&amp;H$21&amp;" is more than "&amp;B411&amp;" "&amp;CHAR(10),""),IF(I412&gt;I411," * "&amp;B412&amp;"   for Age "&amp;H$20&amp;" "&amp;I$21&amp;" is more than "&amp;B411&amp;" "&amp;CHAR(10),""),IF(J412&gt;J411," * "&amp;B412&amp;"   for Age "&amp;J$20&amp;" "&amp;J$21&amp;" is more than "&amp;B411&amp;" "&amp;CHAR(10),""),IF(K412&gt;K411," * "&amp;B412&amp;"   for Age "&amp;J$20&amp;" "&amp;K$21&amp;" is more than "&amp;B411&amp;" "&amp;CHAR(10),""),IF(L412&gt;L411," * "&amp;B412&amp;"   for Age "&amp;L$20&amp;" "&amp;L$21&amp;" is more than "&amp;B411&amp;" "&amp;CHAR(10),""),IF(M412&gt;M411," * "&amp;B412&amp;"   for Age "&amp;L$20&amp;" "&amp;M$21&amp;" is more than "&amp;B411&amp;" "&amp;CHAR(10),""),IF(N412&gt;N411," * "&amp;B412&amp;"   for Age "&amp;N$20&amp;" "&amp;N$21&amp;" is more than "&amp;B411&amp;" "&amp;CHAR(10),""),IF(O412&gt;O411," * "&amp;B412&amp;"   for Age "&amp;N$20&amp;" "&amp;O$21&amp;" is more than "&amp;B411&amp;" "&amp;CHAR(10),""),IF(P412&gt;P411," * "&amp;B412&amp;"   for Age "&amp;P$20&amp;" "&amp;P$21&amp;" is more than "&amp;B411&amp;" "&amp;CHAR(10),""),IF(Q412&gt;Q411," * "&amp;B412&amp;"   for Age "&amp;P$20&amp;" "&amp;Q$21&amp;" is more than "&amp;B411&amp;" "&amp;CHAR(10),""),IF(R412&gt;R411," * "&amp;B412&amp;"   for Age "&amp;R$20&amp;" "&amp;R$21&amp;" is more than "&amp;B411&amp;" "&amp;CHAR(10),""),IF(S412&gt;S411," * "&amp;B412&amp;"   for Age "&amp;R$20&amp;" "&amp;S$21&amp;" is more than "&amp;B411&amp;" "&amp;CHAR(10),""),IF(T412&gt;T411," * "&amp;B412&amp;"   for Age "&amp;T$20&amp;" "&amp;T$21&amp;" is more than "&amp;B411&amp;" "&amp;CHAR(10),""),IF(U412&gt;U411," * "&amp;B412&amp;"   for Age "&amp;T$20&amp;" "&amp;U$21&amp;" is more than "&amp;B411&amp;" "&amp;CHAR(10),""),IF(V412&gt;V411," * "&amp;B412&amp;"   for Age "&amp;V$20&amp;" "&amp;V$21&amp;" is more than "&amp;B411&amp;" "&amp;CHAR(10),""),IF(W412&gt;W411," * "&amp;B412&amp;"   for Age "&amp;V$20&amp;" "&amp;W$21&amp;" is more than "&amp;B411&amp;" "&amp;CHAR(10),""),IF(X412&gt;X411," * "&amp;B412&amp;"   for Age "&amp;X$20&amp;" "&amp;X$21&amp;" is more than "&amp;B411&amp;" "&amp;CHAR(10),""),IF(Y412&gt;Y411," * "&amp;B412&amp;"   for Age "&amp;X$20&amp;" "&amp;Y$21&amp;" is more than "&amp;B411&amp;" "&amp;CHAR(10),""),IF(Z412&gt;Z411," * "&amp;B412&amp;"   for Age "&amp;Z$20&amp;" "&amp;Z$21&amp;" is more than "&amp;B411&amp;" "&amp;CHAR(10),""),IF(AA412&gt;AA411," * "&amp;B412&amp;"   for Age "&amp;Z$20&amp;" "&amp;AA$21&amp;" is more than "&amp;B411&amp;" "&amp;CHAR(10),""))</f>
        <v/>
      </c>
      <c r="AL411" s="1181"/>
      <c r="AM411" s="31"/>
      <c r="AN411" s="1282"/>
      <c r="AO411" s="13">
        <v>292</v>
      </c>
      <c r="AP411" s="74"/>
      <c r="AQ411" s="75"/>
    </row>
    <row r="412" spans="1:43" ht="60.75" customHeight="1" thickBot="1" x14ac:dyDescent="0.45">
      <c r="A412" s="1229"/>
      <c r="B412" s="118" t="s">
        <v>866</v>
      </c>
      <c r="C412" s="527" t="s">
        <v>747</v>
      </c>
      <c r="D412" s="233"/>
      <c r="E412" s="233"/>
      <c r="F412" s="233"/>
      <c r="G412" s="233"/>
      <c r="H412" s="233"/>
      <c r="I412" s="233"/>
      <c r="J412" s="233"/>
      <c r="K412" s="233"/>
      <c r="L412" s="233"/>
      <c r="M412" s="233"/>
      <c r="N412" s="233"/>
      <c r="O412" s="233"/>
      <c r="P412" s="233"/>
      <c r="Q412" s="233"/>
      <c r="R412" s="233"/>
      <c r="S412" s="233"/>
      <c r="T412" s="233"/>
      <c r="U412" s="233"/>
      <c r="V412" s="233"/>
      <c r="W412" s="233"/>
      <c r="X412" s="233"/>
      <c r="Y412" s="233"/>
      <c r="Z412" s="233"/>
      <c r="AA412" s="329"/>
      <c r="AB412" s="355"/>
      <c r="AC412" s="356"/>
      <c r="AD412" s="356"/>
      <c r="AE412" s="356"/>
      <c r="AF412" s="356"/>
      <c r="AG412" s="356"/>
      <c r="AH412" s="356"/>
      <c r="AI412" s="286"/>
      <c r="AJ412" s="171">
        <f t="shared" si="114"/>
        <v>0</v>
      </c>
      <c r="AK412" s="122"/>
      <c r="AL412" s="1238"/>
      <c r="AM412" s="123"/>
      <c r="AN412" s="1299"/>
      <c r="AO412" s="13">
        <v>293</v>
      </c>
      <c r="AP412" s="74"/>
      <c r="AQ412" s="75"/>
    </row>
    <row r="413" spans="1:43" ht="27" hidden="1" thickBot="1" x14ac:dyDescent="0.45">
      <c r="A413" s="1249" t="s">
        <v>108</v>
      </c>
      <c r="B413" s="1250"/>
      <c r="C413" s="1250"/>
      <c r="D413" s="1250"/>
      <c r="E413" s="1250"/>
      <c r="F413" s="1250"/>
      <c r="G413" s="1250"/>
      <c r="H413" s="1250"/>
      <c r="I413" s="1250"/>
      <c r="J413" s="1250"/>
      <c r="K413" s="1250"/>
      <c r="L413" s="1250"/>
      <c r="M413" s="1250"/>
      <c r="N413" s="1250"/>
      <c r="O413" s="1250"/>
      <c r="P413" s="1250"/>
      <c r="Q413" s="1250"/>
      <c r="R413" s="1250"/>
      <c r="S413" s="1250"/>
      <c r="T413" s="1250"/>
      <c r="U413" s="1250"/>
      <c r="V413" s="1250"/>
      <c r="W413" s="1250"/>
      <c r="X413" s="1250"/>
      <c r="Y413" s="1250"/>
      <c r="Z413" s="1250"/>
      <c r="AA413" s="1250"/>
      <c r="AB413" s="1251"/>
      <c r="AC413" s="1251"/>
      <c r="AD413" s="1251"/>
      <c r="AE413" s="1251"/>
      <c r="AF413" s="1251"/>
      <c r="AG413" s="1251"/>
      <c r="AH413" s="1251"/>
      <c r="AI413" s="1251"/>
      <c r="AJ413" s="1250"/>
      <c r="AK413" s="1250"/>
      <c r="AL413" s="1250"/>
      <c r="AM413" s="1250"/>
      <c r="AN413" s="1252"/>
      <c r="AO413" s="13">
        <v>294</v>
      </c>
      <c r="AP413" s="74"/>
      <c r="AQ413" s="75"/>
    </row>
    <row r="414" spans="1:43" ht="26.25" hidden="1" customHeight="1" x14ac:dyDescent="0.4">
      <c r="A414" s="1214" t="s">
        <v>35</v>
      </c>
      <c r="B414" s="1200" t="s">
        <v>307</v>
      </c>
      <c r="C414" s="1192" t="s">
        <v>291</v>
      </c>
      <c r="D414" s="1194" t="s">
        <v>0</v>
      </c>
      <c r="E414" s="1194"/>
      <c r="F414" s="1194" t="s">
        <v>1</v>
      </c>
      <c r="G414" s="1194"/>
      <c r="H414" s="1194" t="s">
        <v>2</v>
      </c>
      <c r="I414" s="1194"/>
      <c r="J414" s="1194" t="s">
        <v>3</v>
      </c>
      <c r="K414" s="1194"/>
      <c r="L414" s="1194" t="s">
        <v>4</v>
      </c>
      <c r="M414" s="1194"/>
      <c r="N414" s="1194" t="s">
        <v>5</v>
      </c>
      <c r="O414" s="1194"/>
      <c r="P414" s="1194" t="s">
        <v>6</v>
      </c>
      <c r="Q414" s="1194"/>
      <c r="R414" s="1194" t="s">
        <v>7</v>
      </c>
      <c r="S414" s="1194"/>
      <c r="T414" s="1194" t="s">
        <v>8</v>
      </c>
      <c r="U414" s="1194"/>
      <c r="V414" s="1194" t="s">
        <v>23</v>
      </c>
      <c r="W414" s="1194"/>
      <c r="X414" s="1194" t="s">
        <v>24</v>
      </c>
      <c r="Y414" s="1194"/>
      <c r="Z414" s="1194" t="s">
        <v>9</v>
      </c>
      <c r="AA414" s="1194"/>
      <c r="AB414" s="282"/>
      <c r="AC414" s="282"/>
      <c r="AD414" s="282"/>
      <c r="AE414" s="282"/>
      <c r="AF414" s="282"/>
      <c r="AG414" s="282"/>
      <c r="AH414" s="458"/>
      <c r="AI414" s="458"/>
      <c r="AJ414" s="1292" t="s">
        <v>19</v>
      </c>
      <c r="AK414" s="1294" t="s">
        <v>340</v>
      </c>
      <c r="AL414" s="1241" t="s">
        <v>346</v>
      </c>
      <c r="AM414" s="1236" t="s">
        <v>347</v>
      </c>
      <c r="AN414" s="1221" t="s">
        <v>347</v>
      </c>
      <c r="AO414" s="13">
        <v>295</v>
      </c>
      <c r="AP414" s="74"/>
      <c r="AQ414" s="75"/>
    </row>
    <row r="415" spans="1:43" ht="27" hidden="1" customHeight="1" thickBot="1" x14ac:dyDescent="0.45">
      <c r="A415" s="1215"/>
      <c r="B415" s="1210"/>
      <c r="C415" s="1193"/>
      <c r="D415" s="115" t="s">
        <v>10</v>
      </c>
      <c r="E415" s="115" t="s">
        <v>11</v>
      </c>
      <c r="F415" s="115" t="s">
        <v>10</v>
      </c>
      <c r="G415" s="115" t="s">
        <v>11</v>
      </c>
      <c r="H415" s="115" t="s">
        <v>10</v>
      </c>
      <c r="I415" s="115" t="s">
        <v>11</v>
      </c>
      <c r="J415" s="115" t="s">
        <v>10</v>
      </c>
      <c r="K415" s="115" t="s">
        <v>11</v>
      </c>
      <c r="L415" s="115" t="s">
        <v>10</v>
      </c>
      <c r="M415" s="115" t="s">
        <v>11</v>
      </c>
      <c r="N415" s="115" t="s">
        <v>10</v>
      </c>
      <c r="O415" s="115" t="s">
        <v>11</v>
      </c>
      <c r="P415" s="115" t="s">
        <v>10</v>
      </c>
      <c r="Q415" s="115" t="s">
        <v>11</v>
      </c>
      <c r="R415" s="115" t="s">
        <v>10</v>
      </c>
      <c r="S415" s="115" t="s">
        <v>11</v>
      </c>
      <c r="T415" s="115" t="s">
        <v>10</v>
      </c>
      <c r="U415" s="115" t="s">
        <v>11</v>
      </c>
      <c r="V415" s="115" t="s">
        <v>10</v>
      </c>
      <c r="W415" s="115" t="s">
        <v>11</v>
      </c>
      <c r="X415" s="115" t="s">
        <v>10</v>
      </c>
      <c r="Y415" s="115" t="s">
        <v>11</v>
      </c>
      <c r="Z415" s="115" t="s">
        <v>10</v>
      </c>
      <c r="AA415" s="115" t="s">
        <v>11</v>
      </c>
      <c r="AB415" s="115"/>
      <c r="AC415" s="115"/>
      <c r="AD415" s="115"/>
      <c r="AE415" s="115"/>
      <c r="AF415" s="115"/>
      <c r="AG415" s="115"/>
      <c r="AH415" s="115"/>
      <c r="AI415" s="115"/>
      <c r="AJ415" s="1293"/>
      <c r="AK415" s="1295"/>
      <c r="AL415" s="1242"/>
      <c r="AM415" s="1237"/>
      <c r="AN415" s="1222"/>
      <c r="AO415" s="13">
        <v>296</v>
      </c>
      <c r="AP415" s="74"/>
      <c r="AQ415" s="75"/>
    </row>
    <row r="416" spans="1:43" ht="26.25" hidden="1" x14ac:dyDescent="0.4">
      <c r="A416" s="1262" t="s">
        <v>349</v>
      </c>
      <c r="B416" s="91" t="s">
        <v>355</v>
      </c>
      <c r="C416" s="525" t="s">
        <v>356</v>
      </c>
      <c r="D416" s="234"/>
      <c r="E416" s="235"/>
      <c r="F416" s="235"/>
      <c r="G416" s="235"/>
      <c r="H416" s="235"/>
      <c r="I416" s="235"/>
      <c r="J416" s="235"/>
      <c r="K416" s="235"/>
      <c r="L416" s="235"/>
      <c r="M416" s="235"/>
      <c r="N416" s="235"/>
      <c r="O416" s="235"/>
      <c r="P416" s="235"/>
      <c r="Q416" s="235"/>
      <c r="R416" s="235"/>
      <c r="S416" s="235"/>
      <c r="T416" s="235"/>
      <c r="U416" s="235"/>
      <c r="V416" s="235"/>
      <c r="W416" s="235"/>
      <c r="X416" s="235"/>
      <c r="Y416" s="235"/>
      <c r="Z416" s="235"/>
      <c r="AA416" s="235"/>
      <c r="AB416" s="330"/>
      <c r="AC416" s="330"/>
      <c r="AD416" s="330"/>
      <c r="AE416" s="330"/>
      <c r="AF416" s="330"/>
      <c r="AG416" s="330"/>
      <c r="AH416" s="330"/>
      <c r="AI416" s="330"/>
      <c r="AJ416" s="65">
        <f t="shared" ref="AJ416:AJ426" si="115">SUM(D416:AA416)</f>
        <v>0</v>
      </c>
      <c r="AK416" s="236"/>
      <c r="AL416" s="1272" t="str">
        <f>CONCATENATE(AK422,AK425,AK427,AK428,AK429,AK430,AK431,AK432,AK433,AK434)</f>
        <v/>
      </c>
      <c r="AM416" s="237"/>
      <c r="AN416" s="1269" t="str">
        <f>CONCATENATE(AM422,AM425,AM427,AM428,AM429,AM430,AM431,AM432,AM433,AM434)</f>
        <v/>
      </c>
      <c r="AO416" s="13">
        <v>297</v>
      </c>
      <c r="AP416" s="74"/>
      <c r="AQ416" s="75"/>
    </row>
    <row r="417" spans="1:43" ht="26.25" hidden="1" x14ac:dyDescent="0.4">
      <c r="A417" s="1263"/>
      <c r="B417" s="76" t="s">
        <v>350</v>
      </c>
      <c r="C417" s="526" t="s">
        <v>357</v>
      </c>
      <c r="D417" s="238"/>
      <c r="E417" s="239"/>
      <c r="F417" s="239"/>
      <c r="G417" s="239"/>
      <c r="H417" s="239"/>
      <c r="I417" s="239"/>
      <c r="J417" s="239"/>
      <c r="K417" s="239"/>
      <c r="L417" s="239"/>
      <c r="M417" s="239"/>
      <c r="N417" s="239"/>
      <c r="O417" s="239"/>
      <c r="P417" s="239"/>
      <c r="Q417" s="239"/>
      <c r="R417" s="239"/>
      <c r="S417" s="239"/>
      <c r="T417" s="239"/>
      <c r="U417" s="239"/>
      <c r="V417" s="239"/>
      <c r="W417" s="239"/>
      <c r="X417" s="239"/>
      <c r="Y417" s="239"/>
      <c r="Z417" s="239"/>
      <c r="AA417" s="239"/>
      <c r="AB417" s="331"/>
      <c r="AC417" s="331"/>
      <c r="AD417" s="331"/>
      <c r="AE417" s="331"/>
      <c r="AF417" s="331"/>
      <c r="AG417" s="331"/>
      <c r="AH417" s="331"/>
      <c r="AI417" s="331"/>
      <c r="AJ417" s="29">
        <f t="shared" si="115"/>
        <v>0</v>
      </c>
      <c r="AK417" s="236"/>
      <c r="AL417" s="1273"/>
      <c r="AM417" s="237"/>
      <c r="AN417" s="1270"/>
      <c r="AO417" s="13">
        <v>298</v>
      </c>
      <c r="AP417" s="74"/>
      <c r="AQ417" s="75"/>
    </row>
    <row r="418" spans="1:43" ht="26.25" hidden="1" x14ac:dyDescent="0.4">
      <c r="A418" s="1263"/>
      <c r="B418" s="76" t="s">
        <v>351</v>
      </c>
      <c r="C418" s="526" t="s">
        <v>358</v>
      </c>
      <c r="D418" s="238"/>
      <c r="E418" s="239"/>
      <c r="F418" s="239"/>
      <c r="G418" s="239"/>
      <c r="H418" s="239"/>
      <c r="I418" s="239"/>
      <c r="J418" s="239"/>
      <c r="K418" s="239"/>
      <c r="L418" s="239"/>
      <c r="M418" s="239"/>
      <c r="N418" s="239"/>
      <c r="O418" s="239"/>
      <c r="P418" s="239"/>
      <c r="Q418" s="239"/>
      <c r="R418" s="239"/>
      <c r="S418" s="239"/>
      <c r="T418" s="239"/>
      <c r="U418" s="239"/>
      <c r="V418" s="239"/>
      <c r="W418" s="239"/>
      <c r="X418" s="239"/>
      <c r="Y418" s="239"/>
      <c r="Z418" s="239"/>
      <c r="AA418" s="239"/>
      <c r="AB418" s="331"/>
      <c r="AC418" s="331"/>
      <c r="AD418" s="331"/>
      <c r="AE418" s="331"/>
      <c r="AF418" s="331"/>
      <c r="AG418" s="331"/>
      <c r="AH418" s="331"/>
      <c r="AI418" s="331"/>
      <c r="AJ418" s="29">
        <f t="shared" si="115"/>
        <v>0</v>
      </c>
      <c r="AK418" s="236"/>
      <c r="AL418" s="1273"/>
      <c r="AM418" s="237"/>
      <c r="AN418" s="1270"/>
      <c r="AO418" s="13">
        <v>299</v>
      </c>
      <c r="AP418" s="74"/>
      <c r="AQ418" s="75"/>
    </row>
    <row r="419" spans="1:43" ht="26.25" hidden="1" x14ac:dyDescent="0.4">
      <c r="A419" s="1263"/>
      <c r="B419" s="76" t="s">
        <v>352</v>
      </c>
      <c r="C419" s="526" t="s">
        <v>359</v>
      </c>
      <c r="D419" s="238"/>
      <c r="E419" s="239"/>
      <c r="F419" s="239"/>
      <c r="G419" s="239"/>
      <c r="H419" s="239"/>
      <c r="I419" s="239"/>
      <c r="J419" s="239"/>
      <c r="K419" s="239"/>
      <c r="L419" s="239"/>
      <c r="M419" s="239"/>
      <c r="N419" s="239"/>
      <c r="O419" s="239"/>
      <c r="P419" s="239"/>
      <c r="Q419" s="239"/>
      <c r="R419" s="239"/>
      <c r="S419" s="239"/>
      <c r="T419" s="239"/>
      <c r="U419" s="239"/>
      <c r="V419" s="239"/>
      <c r="W419" s="239"/>
      <c r="X419" s="239"/>
      <c r="Y419" s="239"/>
      <c r="Z419" s="239"/>
      <c r="AA419" s="239"/>
      <c r="AB419" s="331"/>
      <c r="AC419" s="331"/>
      <c r="AD419" s="331"/>
      <c r="AE419" s="331"/>
      <c r="AF419" s="331"/>
      <c r="AG419" s="331"/>
      <c r="AH419" s="331"/>
      <c r="AI419" s="331"/>
      <c r="AJ419" s="29">
        <f t="shared" si="115"/>
        <v>0</v>
      </c>
      <c r="AK419" s="236"/>
      <c r="AL419" s="1273"/>
      <c r="AM419" s="237"/>
      <c r="AN419" s="1270"/>
      <c r="AO419" s="13">
        <v>300</v>
      </c>
      <c r="AP419" s="74"/>
      <c r="AQ419" s="75"/>
    </row>
    <row r="420" spans="1:43" ht="26.25" hidden="1" x14ac:dyDescent="0.4">
      <c r="A420" s="1263"/>
      <c r="B420" s="76" t="s">
        <v>353</v>
      </c>
      <c r="C420" s="526" t="s">
        <v>360</v>
      </c>
      <c r="D420" s="238"/>
      <c r="E420" s="239"/>
      <c r="F420" s="239"/>
      <c r="G420" s="239"/>
      <c r="H420" s="239"/>
      <c r="I420" s="239"/>
      <c r="J420" s="239"/>
      <c r="K420" s="239"/>
      <c r="L420" s="239"/>
      <c r="M420" s="239"/>
      <c r="N420" s="239"/>
      <c r="O420" s="239"/>
      <c r="P420" s="239"/>
      <c r="Q420" s="239"/>
      <c r="R420" s="239"/>
      <c r="S420" s="239"/>
      <c r="T420" s="239"/>
      <c r="U420" s="239"/>
      <c r="V420" s="239"/>
      <c r="W420" s="239"/>
      <c r="X420" s="239"/>
      <c r="Y420" s="239"/>
      <c r="Z420" s="239"/>
      <c r="AA420" s="239"/>
      <c r="AB420" s="331"/>
      <c r="AC420" s="331"/>
      <c r="AD420" s="331"/>
      <c r="AE420" s="331"/>
      <c r="AF420" s="331"/>
      <c r="AG420" s="331"/>
      <c r="AH420" s="331"/>
      <c r="AI420" s="331"/>
      <c r="AJ420" s="29">
        <f t="shared" si="115"/>
        <v>0</v>
      </c>
      <c r="AK420" s="236"/>
      <c r="AL420" s="1273"/>
      <c r="AM420" s="237"/>
      <c r="AN420" s="1270"/>
      <c r="AO420" s="13">
        <v>301</v>
      </c>
      <c r="AP420" s="74"/>
      <c r="AQ420" s="75"/>
    </row>
    <row r="421" spans="1:43" ht="27" hidden="1" thickBot="1" x14ac:dyDescent="0.45">
      <c r="A421" s="1264"/>
      <c r="B421" s="87" t="s">
        <v>354</v>
      </c>
      <c r="C421" s="527" t="s">
        <v>361</v>
      </c>
      <c r="D421" s="240"/>
      <c r="E421" s="241"/>
      <c r="F421" s="241"/>
      <c r="G421" s="241"/>
      <c r="H421" s="241"/>
      <c r="I421" s="241"/>
      <c r="J421" s="241"/>
      <c r="K421" s="241"/>
      <c r="L421" s="241"/>
      <c r="M421" s="241"/>
      <c r="N421" s="241"/>
      <c r="O421" s="241"/>
      <c r="P421" s="241"/>
      <c r="Q421" s="241"/>
      <c r="R421" s="241"/>
      <c r="S421" s="241"/>
      <c r="T421" s="241"/>
      <c r="U421" s="241"/>
      <c r="V421" s="241"/>
      <c r="W421" s="241"/>
      <c r="X421" s="241"/>
      <c r="Y421" s="241"/>
      <c r="Z421" s="241"/>
      <c r="AA421" s="241"/>
      <c r="AB421" s="332"/>
      <c r="AC421" s="332"/>
      <c r="AD421" s="332"/>
      <c r="AE421" s="332"/>
      <c r="AF421" s="332"/>
      <c r="AG421" s="332"/>
      <c r="AH421" s="332"/>
      <c r="AI421" s="332"/>
      <c r="AJ421" s="90">
        <f t="shared" si="115"/>
        <v>0</v>
      </c>
      <c r="AK421" s="236"/>
      <c r="AL421" s="1273"/>
      <c r="AM421" s="237"/>
      <c r="AN421" s="1270"/>
      <c r="AO421" s="13">
        <v>302</v>
      </c>
      <c r="AP421" s="74"/>
      <c r="AQ421" s="75"/>
    </row>
    <row r="422" spans="1:43" ht="26.25" hidden="1" x14ac:dyDescent="0.4">
      <c r="A422" s="1244" t="s">
        <v>26</v>
      </c>
      <c r="B422" s="91" t="s">
        <v>647</v>
      </c>
      <c r="C422" s="525" t="s">
        <v>268</v>
      </c>
      <c r="D422" s="222"/>
      <c r="E422" s="94"/>
      <c r="F422" s="94"/>
      <c r="G422" s="94"/>
      <c r="H422" s="94"/>
      <c r="I422" s="94"/>
      <c r="J422" s="94"/>
      <c r="K422" s="94"/>
      <c r="L422" s="94"/>
      <c r="M422" s="94"/>
      <c r="N422" s="94"/>
      <c r="O422" s="94"/>
      <c r="P422" s="94"/>
      <c r="Q422" s="94"/>
      <c r="R422" s="94"/>
      <c r="S422" s="94"/>
      <c r="T422" s="94"/>
      <c r="U422" s="94"/>
      <c r="V422" s="94"/>
      <c r="W422" s="94"/>
      <c r="X422" s="94"/>
      <c r="Y422" s="94"/>
      <c r="Z422" s="94"/>
      <c r="AA422" s="94"/>
      <c r="AB422" s="293"/>
      <c r="AC422" s="293"/>
      <c r="AD422" s="293"/>
      <c r="AE422" s="293"/>
      <c r="AF422" s="293"/>
      <c r="AG422" s="293"/>
      <c r="AH422" s="293"/>
      <c r="AI422" s="293"/>
      <c r="AJ422" s="65">
        <f t="shared" si="115"/>
        <v>0</v>
      </c>
      <c r="AK422" s="116" t="str">
        <f>CONCATENATE(IF(D422&lt;SUM(D428,D429,D430,D431,D432,D433,D434)," * Total Died  for Age "&amp;D20&amp;" "&amp;D21&amp;" is less than sum of Total Causes of Death F08-05 to F08-11"&amp;CHAR(10),""),IF(E422&lt;SUM(E428,E429,E430,E431,E432,E433,E434)," * Total Died  for Age "&amp;D20&amp;" "&amp;E21&amp;" is less than sum of Total Causes of Death F08-05 to F08-11"&amp;CHAR(10),""),IF(F422&lt;SUM(F428,F429,F430,F431,F432,F433,F434)," * Total Died  for Age "&amp;F20&amp;" "&amp;F21&amp;" is less than sum of Total Causes of Death F08-05 to F08-11"&amp;CHAR(10),""),IF(G422&lt;SUM(G428,G429,G430,G431,G432,G433,G434)," * Total Died  for Age "&amp;F20&amp;" "&amp;G21&amp;" is less than sum of Total Causes of Death F08-05 to F08-11"&amp;CHAR(10),""),IF(H422&lt;SUM(H428,H429,H430,H431,H432,H433,H434)," * Total Died  for Age "&amp;H20&amp;" "&amp;H21&amp;" is less than sum of Total Causes of Death F08-05 to F08-11"&amp;CHAR(10),""),IF(I422&lt;SUM(I428,I429,I430,I431,I432,I433,I434)," * Total Died  for Age "&amp;H20&amp;" "&amp;I21&amp;" is less than sum of Total Causes of Death F08-05 to F08-11"&amp;CHAR(10),""),IF(J422&lt;SUM(J428,J429,J430,J431,J432,J433,J434)," * Total Died  for Age "&amp;J20&amp;" "&amp;J21&amp;" is less than sum of Total Causes of Death F08-05 to F08-11"&amp;CHAR(10),""),IF(K422&lt;SUM(K428,K429,K430,K431,K432,K433,K434)," * Total Died  for Age "&amp;J20&amp;" "&amp;K21&amp;" is less than sum of Total Causes of Death F08-05 to F08-11"&amp;CHAR(10),""),IF(L422&lt;SUM(L428,L429,L430,L431,L432,L433,L434)," * Total Died  for Age "&amp;L20&amp;" "&amp;L21&amp;" is less than sum of Total Causes of Death F08-05 to F08-11"&amp;CHAR(10),""),IF(M422&lt;SUM(M428,M429,M430,M431,M432,M433,M434)," * Total Died  for Age "&amp;L20&amp;" "&amp;M21&amp;" is less than sum of Total Causes of Death F08-05 to F08-11"&amp;CHAR(10),""),IF(N422&lt;SUM(N428,N429,N430,N431,N432,N433,N434)," * Total Died  for Age "&amp;N20&amp;" "&amp;N21&amp;" is less than sum of Total Causes of Death F08-05 to F08-11"&amp;CHAR(10),""),IF(O422&lt;SUM(O428,O429,O430,O431,O432,O433,O434)," * Total Died  for Age "&amp;N20&amp;" "&amp;O21&amp;" is less than sum of Total Causes of Death F08-05 to F08-11"&amp;CHAR(10),""),IF(P422&lt;SUM(P428,P429,P430,P431,P432,P433,P434)," * Total Died  for Age "&amp;P20&amp;" "&amp;P21&amp;" is less than sum of Total Causes of Death F08-05 to F08-11"&amp;CHAR(10),""),IF(Q422&lt;SUM(Q428,Q429,Q430,Q431,Q432,Q433,Q434)," * Total Died  for Age "&amp;P20&amp;" "&amp;Q21&amp;" is less than sum of Total Causes of Death F08-05 to F08-11"&amp;CHAR(10),""),IF(R422&lt;SUM(R428,R429,R430,R431,R432,R433,R434)," * Total Died  for Age "&amp;R20&amp;" "&amp;R21&amp;" is less than sum of Total Causes of Death F08-05 to F08-11"&amp;CHAR(10),""),IF(S422&lt;SUM(S428,S429,S430,S431,S432,S433,S434)," * Total Died  for Age "&amp;R20&amp;" "&amp;S21&amp;" is less than sum of Total Causes of Death F08-05 to F08-11"&amp;CHAR(10),""),IF(T422&lt;SUM(T428,T429,T430,T431,T432,T433,T434)," * Total Died  for Age "&amp;T20&amp;" "&amp;T21&amp;" is less than sum of Total Causes of Death F08-05 to F08-11"&amp;CHAR(10),""),IF(U422&lt;SUM(U428,U429,U430,U431,U432,U433,U434)," * Total Died  for Age "&amp;T20&amp;" "&amp;U21&amp;" is less than sum of Total Causes of Death F08-05 to F08-11"&amp;CHAR(10),""),IF(V422&lt;SUM(V428,V429,V430,V431,V432,V433,V434)," * Total Died  for Age "&amp;V20&amp;" "&amp;V21&amp;" is less than sum of Total Causes of Death F08-05 to F08-11"&amp;CHAR(10),""),IF(W422&lt;SUM(W428,W429,W430,W431,W432,W433,W434)," * Total Died  for Age "&amp;V20&amp;" "&amp;W21&amp;" is less than sum of Total Causes of Death F08-05 to F08-11"&amp;CHAR(10),""),IF(X422&lt;SUM(X428,X429,X430,X431,X432,X433,X434)," * Total Died  for Age "&amp;X20&amp;" "&amp;X21&amp;" is less than sum of Total Causes of Death F08-05 to F08-11"&amp;CHAR(10),""),IF(Y422&lt;SUM(Y428,Y429,Y430,Y431,Y432,Y433,Y434)," * Total Died  for Age "&amp;X20&amp;" "&amp;Y21&amp;" is less than sum of Total Causes of Death F08-05 to F08-11"&amp;CHAR(10),""),IF(Z422&lt;SUM(Z428,Z429,Z430,Z431,Z432,Z433,Z434)," * Total Died  for Age "&amp;Z20&amp;" "&amp;Z21&amp;" is less than sum of Total Causes of Death F08-05 to F08-11"&amp;CHAR(10),""),IF(AA422&lt;SUM(AA428,AA429,AA430,AA431,AA432,AA433,AA434)," * Total Died  for Age "&amp;Z20&amp;" "&amp;AA21&amp;" is less than sum of Total Causes of Death F08-05 to F08-11"&amp;CHAR(10),""))</f>
        <v/>
      </c>
      <c r="AL422" s="1273"/>
      <c r="AM422" s="31"/>
      <c r="AN422" s="1270"/>
      <c r="AO422" s="13">
        <v>303</v>
      </c>
      <c r="AP422" s="74"/>
      <c r="AQ422" s="75"/>
    </row>
    <row r="423" spans="1:43" s="61" customFormat="1" ht="52.5" hidden="1" x14ac:dyDescent="0.4">
      <c r="A423" s="1275"/>
      <c r="B423" s="76" t="s">
        <v>543</v>
      </c>
      <c r="C423" s="526" t="s">
        <v>409</v>
      </c>
      <c r="D423" s="223"/>
      <c r="E423" s="79"/>
      <c r="F423" s="79"/>
      <c r="G423" s="79"/>
      <c r="H423" s="79"/>
      <c r="I423" s="79"/>
      <c r="J423" s="79"/>
      <c r="K423" s="79"/>
      <c r="L423" s="79"/>
      <c r="M423" s="79"/>
      <c r="N423" s="79"/>
      <c r="O423" s="79"/>
      <c r="P423" s="79"/>
      <c r="Q423" s="79"/>
      <c r="R423" s="79"/>
      <c r="S423" s="79"/>
      <c r="T423" s="79"/>
      <c r="U423" s="79"/>
      <c r="V423" s="79"/>
      <c r="W423" s="79"/>
      <c r="X423" s="79"/>
      <c r="Y423" s="79"/>
      <c r="Z423" s="79"/>
      <c r="AA423" s="79"/>
      <c r="AB423" s="290"/>
      <c r="AC423" s="290"/>
      <c r="AD423" s="290"/>
      <c r="AE423" s="290"/>
      <c r="AF423" s="290"/>
      <c r="AG423" s="290"/>
      <c r="AH423" s="290"/>
      <c r="AI423" s="290"/>
      <c r="AJ423" s="29">
        <f t="shared" si="115"/>
        <v>0</v>
      </c>
      <c r="AK423" s="116"/>
      <c r="AL423" s="1273"/>
      <c r="AM423" s="60"/>
      <c r="AN423" s="1270"/>
      <c r="AO423" s="13">
        <v>304</v>
      </c>
      <c r="AP423" s="80"/>
      <c r="AQ423" s="75"/>
    </row>
    <row r="424" spans="1:43" ht="52.5" hidden="1" x14ac:dyDescent="0.4">
      <c r="A424" s="1275"/>
      <c r="B424" s="76" t="s">
        <v>413</v>
      </c>
      <c r="C424" s="526" t="s">
        <v>410</v>
      </c>
      <c r="D424" s="223"/>
      <c r="E424" s="79"/>
      <c r="F424" s="79"/>
      <c r="G424" s="79"/>
      <c r="H424" s="79"/>
      <c r="I424" s="79"/>
      <c r="J424" s="79"/>
      <c r="K424" s="79"/>
      <c r="L424" s="79"/>
      <c r="M424" s="79"/>
      <c r="N424" s="79"/>
      <c r="O424" s="79"/>
      <c r="P424" s="79"/>
      <c r="Q424" s="79"/>
      <c r="R424" s="79"/>
      <c r="S424" s="79"/>
      <c r="T424" s="79"/>
      <c r="U424" s="79"/>
      <c r="V424" s="79"/>
      <c r="W424" s="79"/>
      <c r="X424" s="79"/>
      <c r="Y424" s="79"/>
      <c r="Z424" s="79"/>
      <c r="AA424" s="79"/>
      <c r="AB424" s="290"/>
      <c r="AC424" s="290"/>
      <c r="AD424" s="290"/>
      <c r="AE424" s="290"/>
      <c r="AF424" s="290"/>
      <c r="AG424" s="290"/>
      <c r="AH424" s="290"/>
      <c r="AI424" s="290"/>
      <c r="AJ424" s="29">
        <f t="shared" si="115"/>
        <v>0</v>
      </c>
      <c r="AK424" s="116"/>
      <c r="AL424" s="1273"/>
      <c r="AM424" s="31"/>
      <c r="AN424" s="1270"/>
      <c r="AO424" s="13">
        <v>305</v>
      </c>
      <c r="AP424" s="74"/>
      <c r="AQ424" s="75"/>
    </row>
    <row r="425" spans="1:43" ht="26.25" hidden="1" x14ac:dyDescent="0.4">
      <c r="A425" s="1275"/>
      <c r="B425" s="76" t="s">
        <v>648</v>
      </c>
      <c r="C425" s="526" t="s">
        <v>411</v>
      </c>
      <c r="D425" s="223"/>
      <c r="E425" s="79"/>
      <c r="F425" s="79"/>
      <c r="G425" s="79"/>
      <c r="H425" s="79"/>
      <c r="I425" s="79"/>
      <c r="J425" s="79"/>
      <c r="K425" s="79"/>
      <c r="L425" s="79"/>
      <c r="M425" s="79"/>
      <c r="N425" s="79"/>
      <c r="O425" s="79"/>
      <c r="P425" s="79"/>
      <c r="Q425" s="79"/>
      <c r="R425" s="79"/>
      <c r="S425" s="79"/>
      <c r="T425" s="79"/>
      <c r="U425" s="79"/>
      <c r="V425" s="79"/>
      <c r="W425" s="79"/>
      <c r="X425" s="79"/>
      <c r="Y425" s="79"/>
      <c r="Z425" s="79"/>
      <c r="AA425" s="79"/>
      <c r="AB425" s="290"/>
      <c r="AC425" s="290"/>
      <c r="AD425" s="290"/>
      <c r="AE425" s="290"/>
      <c r="AF425" s="290"/>
      <c r="AG425" s="290"/>
      <c r="AH425" s="290"/>
      <c r="AI425" s="290"/>
      <c r="AJ425" s="29">
        <f t="shared" si="115"/>
        <v>0</v>
      </c>
      <c r="AK425" s="116"/>
      <c r="AL425" s="1273"/>
      <c r="AM425" s="31"/>
      <c r="AN425" s="1270"/>
      <c r="AO425" s="13">
        <v>306</v>
      </c>
      <c r="AP425" s="74"/>
      <c r="AQ425" s="75"/>
    </row>
    <row r="426" spans="1:43" ht="26.25" hidden="1" x14ac:dyDescent="0.4">
      <c r="A426" s="1275"/>
      <c r="B426" s="76" t="s">
        <v>408</v>
      </c>
      <c r="C426" s="526" t="s">
        <v>412</v>
      </c>
      <c r="D426" s="223"/>
      <c r="E426" s="79"/>
      <c r="F426" s="79"/>
      <c r="G426" s="79"/>
      <c r="H426" s="79"/>
      <c r="I426" s="79"/>
      <c r="J426" s="79"/>
      <c r="K426" s="79"/>
      <c r="L426" s="79"/>
      <c r="M426" s="79"/>
      <c r="N426" s="79"/>
      <c r="O426" s="79"/>
      <c r="P426" s="79"/>
      <c r="Q426" s="79"/>
      <c r="R426" s="79"/>
      <c r="S426" s="79"/>
      <c r="T426" s="79"/>
      <c r="U426" s="79"/>
      <c r="V426" s="79"/>
      <c r="W426" s="79"/>
      <c r="X426" s="79"/>
      <c r="Y426" s="79"/>
      <c r="Z426" s="79"/>
      <c r="AA426" s="79"/>
      <c r="AB426" s="290"/>
      <c r="AC426" s="290"/>
      <c r="AD426" s="290"/>
      <c r="AE426" s="290"/>
      <c r="AF426" s="290"/>
      <c r="AG426" s="290"/>
      <c r="AH426" s="290"/>
      <c r="AI426" s="290"/>
      <c r="AJ426" s="29">
        <f t="shared" si="115"/>
        <v>0</v>
      </c>
      <c r="AK426" s="116"/>
      <c r="AL426" s="1273"/>
      <c r="AM426" s="31"/>
      <c r="AN426" s="1270"/>
      <c r="AO426" s="13">
        <v>307</v>
      </c>
      <c r="AP426" s="74"/>
      <c r="AQ426" s="75"/>
    </row>
    <row r="427" spans="1:43" ht="27" hidden="1" thickBot="1" x14ac:dyDescent="0.45">
      <c r="A427" s="1245"/>
      <c r="B427" s="242" t="s">
        <v>419</v>
      </c>
      <c r="C427" s="545" t="s">
        <v>270</v>
      </c>
      <c r="D427" s="243">
        <f>SUM(D422:D426)</f>
        <v>0</v>
      </c>
      <c r="E427" s="244">
        <f t="shared" ref="E427:AJ427" si="116">SUM(E422:E426)</f>
        <v>0</v>
      </c>
      <c r="F427" s="244">
        <f t="shared" si="116"/>
        <v>0</v>
      </c>
      <c r="G427" s="244">
        <f t="shared" si="116"/>
        <v>0</v>
      </c>
      <c r="H427" s="244">
        <f t="shared" si="116"/>
        <v>0</v>
      </c>
      <c r="I427" s="244">
        <f t="shared" si="116"/>
        <v>0</v>
      </c>
      <c r="J427" s="244">
        <f t="shared" si="116"/>
        <v>0</v>
      </c>
      <c r="K427" s="244">
        <f t="shared" si="116"/>
        <v>0</v>
      </c>
      <c r="L427" s="244">
        <f t="shared" si="116"/>
        <v>0</v>
      </c>
      <c r="M427" s="244">
        <f t="shared" si="116"/>
        <v>0</v>
      </c>
      <c r="N427" s="244">
        <f t="shared" si="116"/>
        <v>0</v>
      </c>
      <c r="O427" s="244">
        <f t="shared" si="116"/>
        <v>0</v>
      </c>
      <c r="P427" s="244">
        <f t="shared" si="116"/>
        <v>0</v>
      </c>
      <c r="Q427" s="244">
        <f t="shared" si="116"/>
        <v>0</v>
      </c>
      <c r="R427" s="244">
        <f t="shared" si="116"/>
        <v>0</v>
      </c>
      <c r="S427" s="244">
        <f t="shared" si="116"/>
        <v>0</v>
      </c>
      <c r="T427" s="244">
        <f t="shared" si="116"/>
        <v>0</v>
      </c>
      <c r="U427" s="244">
        <f t="shared" si="116"/>
        <v>0</v>
      </c>
      <c r="V427" s="244">
        <f t="shared" si="116"/>
        <v>0</v>
      </c>
      <c r="W427" s="244">
        <f t="shared" si="116"/>
        <v>0</v>
      </c>
      <c r="X427" s="244">
        <f t="shared" si="116"/>
        <v>0</v>
      </c>
      <c r="Y427" s="244">
        <f t="shared" si="116"/>
        <v>0</v>
      </c>
      <c r="Z427" s="244">
        <f t="shared" si="116"/>
        <v>0</v>
      </c>
      <c r="AA427" s="244">
        <f t="shared" si="116"/>
        <v>0</v>
      </c>
      <c r="AB427" s="333"/>
      <c r="AC427" s="333"/>
      <c r="AD427" s="333"/>
      <c r="AE427" s="333"/>
      <c r="AF427" s="333"/>
      <c r="AG427" s="333"/>
      <c r="AH427" s="333"/>
      <c r="AI427" s="333"/>
      <c r="AJ427" s="245">
        <f t="shared" si="116"/>
        <v>0</v>
      </c>
      <c r="AK427" s="116"/>
      <c r="AL427" s="1273"/>
      <c r="AM427" s="31"/>
      <c r="AN427" s="1270"/>
      <c r="AO427" s="13">
        <v>308</v>
      </c>
      <c r="AP427" s="74"/>
      <c r="AQ427" s="75"/>
    </row>
    <row r="428" spans="1:43" ht="26.25" hidden="1" x14ac:dyDescent="0.4">
      <c r="A428" s="1244" t="s">
        <v>906</v>
      </c>
      <c r="B428" s="91" t="s">
        <v>280</v>
      </c>
      <c r="C428" s="525" t="s">
        <v>271</v>
      </c>
      <c r="D428" s="222"/>
      <c r="E428" s="94"/>
      <c r="F428" s="94"/>
      <c r="G428" s="94"/>
      <c r="H428" s="94"/>
      <c r="I428" s="94"/>
      <c r="J428" s="94"/>
      <c r="K428" s="94"/>
      <c r="L428" s="94"/>
      <c r="M428" s="94"/>
      <c r="N428" s="94"/>
      <c r="O428" s="94"/>
      <c r="P428" s="94"/>
      <c r="Q428" s="94"/>
      <c r="R428" s="94"/>
      <c r="S428" s="94"/>
      <c r="T428" s="94"/>
      <c r="U428" s="94"/>
      <c r="V428" s="94"/>
      <c r="W428" s="94"/>
      <c r="X428" s="94"/>
      <c r="Y428" s="94"/>
      <c r="Z428" s="94"/>
      <c r="AA428" s="94"/>
      <c r="AB428" s="293"/>
      <c r="AC428" s="293"/>
      <c r="AD428" s="293"/>
      <c r="AE428" s="293"/>
      <c r="AF428" s="293"/>
      <c r="AG428" s="293"/>
      <c r="AH428" s="293"/>
      <c r="AI428" s="293"/>
      <c r="AJ428" s="65">
        <f t="shared" ref="AJ428:AJ434" si="117">SUM(D428:AA428)</f>
        <v>0</v>
      </c>
      <c r="AK428" s="116"/>
      <c r="AL428" s="1273"/>
      <c r="AM428" s="31"/>
      <c r="AN428" s="1270"/>
      <c r="AO428" s="13">
        <v>309</v>
      </c>
      <c r="AP428" s="74"/>
      <c r="AQ428" s="75"/>
    </row>
    <row r="429" spans="1:43" ht="26.25" hidden="1" x14ac:dyDescent="0.4">
      <c r="A429" s="1275"/>
      <c r="B429" s="76" t="s">
        <v>506</v>
      </c>
      <c r="C429" s="526" t="s">
        <v>272</v>
      </c>
      <c r="D429" s="223"/>
      <c r="E429" s="79"/>
      <c r="F429" s="79"/>
      <c r="G429" s="79"/>
      <c r="H429" s="79"/>
      <c r="I429" s="79"/>
      <c r="J429" s="79"/>
      <c r="K429" s="79"/>
      <c r="L429" s="79"/>
      <c r="M429" s="79"/>
      <c r="N429" s="79"/>
      <c r="O429" s="79"/>
      <c r="P429" s="79"/>
      <c r="Q429" s="79"/>
      <c r="R429" s="79"/>
      <c r="S429" s="79"/>
      <c r="T429" s="79"/>
      <c r="U429" s="79"/>
      <c r="V429" s="79"/>
      <c r="W429" s="79"/>
      <c r="X429" s="79"/>
      <c r="Y429" s="79"/>
      <c r="Z429" s="79"/>
      <c r="AA429" s="79"/>
      <c r="AB429" s="290"/>
      <c r="AC429" s="290"/>
      <c r="AD429" s="290"/>
      <c r="AE429" s="290"/>
      <c r="AF429" s="290"/>
      <c r="AG429" s="290"/>
      <c r="AH429" s="290"/>
      <c r="AI429" s="290"/>
      <c r="AJ429" s="29">
        <f t="shared" si="117"/>
        <v>0</v>
      </c>
      <c r="AK429" s="116"/>
      <c r="AL429" s="1273"/>
      <c r="AM429" s="31"/>
      <c r="AN429" s="1270"/>
      <c r="AO429" s="13">
        <v>310</v>
      </c>
      <c r="AP429" s="74"/>
      <c r="AQ429" s="75"/>
    </row>
    <row r="430" spans="1:43" ht="26.25" hidden="1" x14ac:dyDescent="0.4">
      <c r="A430" s="1275"/>
      <c r="B430" s="76" t="s">
        <v>649</v>
      </c>
      <c r="C430" s="526" t="s">
        <v>273</v>
      </c>
      <c r="D430" s="223"/>
      <c r="E430" s="79"/>
      <c r="F430" s="79"/>
      <c r="G430" s="79"/>
      <c r="H430" s="79"/>
      <c r="I430" s="79"/>
      <c r="J430" s="79"/>
      <c r="K430" s="79"/>
      <c r="L430" s="79"/>
      <c r="M430" s="79"/>
      <c r="N430" s="79"/>
      <c r="O430" s="79"/>
      <c r="P430" s="79"/>
      <c r="Q430" s="79"/>
      <c r="R430" s="79"/>
      <c r="S430" s="79"/>
      <c r="T430" s="79"/>
      <c r="U430" s="79"/>
      <c r="V430" s="79"/>
      <c r="W430" s="79"/>
      <c r="X430" s="79"/>
      <c r="Y430" s="79"/>
      <c r="Z430" s="79"/>
      <c r="AA430" s="79"/>
      <c r="AB430" s="290"/>
      <c r="AC430" s="290"/>
      <c r="AD430" s="290"/>
      <c r="AE430" s="290"/>
      <c r="AF430" s="290"/>
      <c r="AG430" s="290"/>
      <c r="AH430" s="290"/>
      <c r="AI430" s="290"/>
      <c r="AJ430" s="29">
        <f t="shared" si="117"/>
        <v>0</v>
      </c>
      <c r="AK430" s="116"/>
      <c r="AL430" s="1273"/>
      <c r="AM430" s="31"/>
      <c r="AN430" s="1270"/>
      <c r="AO430" s="13">
        <v>311</v>
      </c>
      <c r="AP430" s="74"/>
      <c r="AQ430" s="75"/>
    </row>
    <row r="431" spans="1:43" s="61" customFormat="1" ht="52.5" hidden="1" x14ac:dyDescent="0.4">
      <c r="A431" s="1275"/>
      <c r="B431" s="76" t="s">
        <v>281</v>
      </c>
      <c r="C431" s="526" t="s">
        <v>274</v>
      </c>
      <c r="D431" s="223"/>
      <c r="E431" s="79"/>
      <c r="F431" s="79"/>
      <c r="G431" s="79"/>
      <c r="H431" s="79"/>
      <c r="I431" s="79"/>
      <c r="J431" s="79"/>
      <c r="K431" s="79"/>
      <c r="L431" s="79"/>
      <c r="M431" s="79"/>
      <c r="N431" s="79"/>
      <c r="O431" s="79"/>
      <c r="P431" s="79"/>
      <c r="Q431" s="79"/>
      <c r="R431" s="79"/>
      <c r="S431" s="79"/>
      <c r="T431" s="79"/>
      <c r="U431" s="79"/>
      <c r="V431" s="79"/>
      <c r="W431" s="79"/>
      <c r="X431" s="79"/>
      <c r="Y431" s="79"/>
      <c r="Z431" s="79"/>
      <c r="AA431" s="79"/>
      <c r="AB431" s="290"/>
      <c r="AC431" s="290"/>
      <c r="AD431" s="290"/>
      <c r="AE431" s="290"/>
      <c r="AF431" s="290"/>
      <c r="AG431" s="290"/>
      <c r="AH431" s="290"/>
      <c r="AI431" s="290"/>
      <c r="AJ431" s="29">
        <f t="shared" si="117"/>
        <v>0</v>
      </c>
      <c r="AK431" s="116"/>
      <c r="AL431" s="1273"/>
      <c r="AM431" s="60"/>
      <c r="AN431" s="1270"/>
      <c r="AO431" s="13">
        <v>312</v>
      </c>
      <c r="AP431" s="80"/>
      <c r="AQ431" s="75"/>
    </row>
    <row r="432" spans="1:43" ht="26.25" hidden="1" x14ac:dyDescent="0.4">
      <c r="A432" s="1275"/>
      <c r="B432" s="76" t="s">
        <v>507</v>
      </c>
      <c r="C432" s="526" t="s">
        <v>275</v>
      </c>
      <c r="D432" s="223"/>
      <c r="E432" s="79"/>
      <c r="F432" s="79"/>
      <c r="G432" s="79"/>
      <c r="H432" s="79"/>
      <c r="I432" s="79"/>
      <c r="J432" s="79"/>
      <c r="K432" s="79"/>
      <c r="L432" s="79"/>
      <c r="M432" s="79"/>
      <c r="N432" s="79"/>
      <c r="O432" s="79"/>
      <c r="P432" s="79"/>
      <c r="Q432" s="79"/>
      <c r="R432" s="79"/>
      <c r="S432" s="79"/>
      <c r="T432" s="79"/>
      <c r="U432" s="79"/>
      <c r="V432" s="79"/>
      <c r="W432" s="79"/>
      <c r="X432" s="79"/>
      <c r="Y432" s="79"/>
      <c r="Z432" s="79"/>
      <c r="AA432" s="79"/>
      <c r="AB432" s="290"/>
      <c r="AC432" s="290"/>
      <c r="AD432" s="290"/>
      <c r="AE432" s="290"/>
      <c r="AF432" s="290"/>
      <c r="AG432" s="290"/>
      <c r="AH432" s="290"/>
      <c r="AI432" s="290"/>
      <c r="AJ432" s="29">
        <f t="shared" si="117"/>
        <v>0</v>
      </c>
      <c r="AK432" s="116"/>
      <c r="AL432" s="1273"/>
      <c r="AM432" s="31"/>
      <c r="AN432" s="1270"/>
      <c r="AO432" s="13">
        <v>313</v>
      </c>
      <c r="AP432" s="74"/>
      <c r="AQ432" s="75"/>
    </row>
    <row r="433" spans="1:43" ht="26.25" hidden="1" x14ac:dyDescent="0.4">
      <c r="A433" s="1275"/>
      <c r="B433" s="76" t="s">
        <v>282</v>
      </c>
      <c r="C433" s="526" t="s">
        <v>276</v>
      </c>
      <c r="D433" s="223"/>
      <c r="E433" s="79"/>
      <c r="F433" s="79"/>
      <c r="G433" s="79"/>
      <c r="H433" s="79"/>
      <c r="I433" s="79"/>
      <c r="J433" s="79"/>
      <c r="K433" s="79"/>
      <c r="L433" s="79"/>
      <c r="M433" s="79"/>
      <c r="N433" s="79"/>
      <c r="O433" s="79"/>
      <c r="P433" s="79"/>
      <c r="Q433" s="79"/>
      <c r="R433" s="79"/>
      <c r="S433" s="79"/>
      <c r="T433" s="79"/>
      <c r="U433" s="79"/>
      <c r="V433" s="79"/>
      <c r="W433" s="79"/>
      <c r="X433" s="79"/>
      <c r="Y433" s="79"/>
      <c r="Z433" s="79"/>
      <c r="AA433" s="79"/>
      <c r="AB433" s="290"/>
      <c r="AC433" s="290"/>
      <c r="AD433" s="290"/>
      <c r="AE433" s="290"/>
      <c r="AF433" s="290"/>
      <c r="AG433" s="290"/>
      <c r="AH433" s="290"/>
      <c r="AI433" s="290"/>
      <c r="AJ433" s="29">
        <f t="shared" si="117"/>
        <v>0</v>
      </c>
      <c r="AK433" s="116"/>
      <c r="AL433" s="1273"/>
      <c r="AM433" s="31"/>
      <c r="AN433" s="1270"/>
      <c r="AO433" s="13">
        <v>314</v>
      </c>
      <c r="AP433" s="74"/>
      <c r="AQ433" s="75"/>
    </row>
    <row r="434" spans="1:43" ht="26.25" hidden="1" x14ac:dyDescent="0.4">
      <c r="A434" s="1280"/>
      <c r="B434" s="118" t="s">
        <v>283</v>
      </c>
      <c r="C434" s="552" t="s">
        <v>277</v>
      </c>
      <c r="D434" s="233"/>
      <c r="E434" s="121"/>
      <c r="F434" s="121"/>
      <c r="G434" s="121"/>
      <c r="H434" s="121"/>
      <c r="I434" s="121"/>
      <c r="J434" s="121"/>
      <c r="K434" s="121"/>
      <c r="L434" s="121"/>
      <c r="M434" s="121"/>
      <c r="N434" s="121"/>
      <c r="O434" s="121"/>
      <c r="P434" s="121"/>
      <c r="Q434" s="121"/>
      <c r="R434" s="121"/>
      <c r="S434" s="121"/>
      <c r="T434" s="121"/>
      <c r="U434" s="121"/>
      <c r="V434" s="121"/>
      <c r="W434" s="121"/>
      <c r="X434" s="121"/>
      <c r="Y434" s="121"/>
      <c r="Z434" s="121"/>
      <c r="AA434" s="121"/>
      <c r="AB434" s="301"/>
      <c r="AC434" s="301"/>
      <c r="AD434" s="301"/>
      <c r="AE434" s="301"/>
      <c r="AF434" s="301"/>
      <c r="AG434" s="301"/>
      <c r="AH434" s="301"/>
      <c r="AI434" s="301"/>
      <c r="AJ434" s="491">
        <f t="shared" si="117"/>
        <v>0</v>
      </c>
      <c r="AK434" s="122"/>
      <c r="AL434" s="1274"/>
      <c r="AM434" s="123"/>
      <c r="AN434" s="1271"/>
      <c r="AO434" s="13">
        <v>315</v>
      </c>
      <c r="AP434" s="74"/>
      <c r="AQ434" s="75"/>
    </row>
    <row r="435" spans="1:43" ht="27" thickBot="1" x14ac:dyDescent="0.45">
      <c r="A435" s="1257" t="s">
        <v>527</v>
      </c>
      <c r="B435" s="1258"/>
      <c r="C435" s="1258"/>
      <c r="D435" s="1258"/>
      <c r="E435" s="1258"/>
      <c r="F435" s="1258"/>
      <c r="G435" s="1258"/>
      <c r="H435" s="1258"/>
      <c r="I435" s="1258"/>
      <c r="J435" s="1258"/>
      <c r="K435" s="1258"/>
      <c r="L435" s="1258"/>
      <c r="M435" s="1258"/>
      <c r="N435" s="1258"/>
      <c r="O435" s="1258"/>
      <c r="P435" s="1258"/>
      <c r="Q435" s="1258"/>
      <c r="R435" s="1258"/>
      <c r="S435" s="1258"/>
      <c r="T435" s="1258"/>
      <c r="U435" s="1258"/>
      <c r="V435" s="1258"/>
      <c r="W435" s="1258"/>
      <c r="X435" s="1258"/>
      <c r="Y435" s="1258"/>
      <c r="Z435" s="1258"/>
      <c r="AA435" s="1258"/>
      <c r="AB435" s="1258"/>
      <c r="AC435" s="1258"/>
      <c r="AD435" s="1258"/>
      <c r="AE435" s="1258"/>
      <c r="AF435" s="1258"/>
      <c r="AG435" s="1258"/>
      <c r="AH435" s="1258"/>
      <c r="AI435" s="1258"/>
      <c r="AJ435" s="1258"/>
      <c r="AK435" s="1258"/>
      <c r="AL435" s="1258"/>
      <c r="AM435" s="1258"/>
      <c r="AN435" s="1259"/>
      <c r="AO435" s="13">
        <v>316</v>
      </c>
      <c r="AP435" s="74"/>
      <c r="AQ435" s="75"/>
    </row>
    <row r="436" spans="1:43" s="61" customFormat="1" ht="50.25" customHeight="1" x14ac:dyDescent="0.4">
      <c r="A436" s="1260" t="s">
        <v>478</v>
      </c>
      <c r="B436" s="823" t="s">
        <v>479</v>
      </c>
      <c r="C436" s="824" t="s">
        <v>482</v>
      </c>
      <c r="D436" s="825"/>
      <c r="E436" s="825"/>
      <c r="F436" s="825"/>
      <c r="G436" s="825"/>
      <c r="H436" s="825"/>
      <c r="I436" s="825"/>
      <c r="J436" s="825"/>
      <c r="K436" s="825"/>
      <c r="L436" s="825"/>
      <c r="M436" s="825"/>
      <c r="N436" s="825"/>
      <c r="O436" s="825"/>
      <c r="P436" s="825"/>
      <c r="Q436" s="825"/>
      <c r="R436" s="825"/>
      <c r="S436" s="825"/>
      <c r="T436" s="825"/>
      <c r="U436" s="825"/>
      <c r="V436" s="825"/>
      <c r="W436" s="825"/>
      <c r="X436" s="825"/>
      <c r="Y436" s="825"/>
      <c r="Z436" s="826">
        <f t="shared" ref="Z436:AA438" si="118">SUM(AB436,AD436,AF436,AH436)</f>
        <v>0</v>
      </c>
      <c r="AA436" s="826">
        <f t="shared" si="118"/>
        <v>0</v>
      </c>
      <c r="AB436" s="825"/>
      <c r="AC436" s="825"/>
      <c r="AD436" s="825"/>
      <c r="AE436" s="825"/>
      <c r="AF436" s="825"/>
      <c r="AG436" s="825"/>
      <c r="AH436" s="825"/>
      <c r="AI436" s="825"/>
      <c r="AJ436" s="827">
        <f>SUM(D436:AA436)</f>
        <v>0</v>
      </c>
      <c r="AK436" s="828" t="str">
        <f>CONCATENATE(IF(D437&gt;D436," * TB Cases with Known HIV Positive status "&amp;$D$20&amp;" "&amp;$D$21&amp;" is more than Total TB Cases New and relapsed"&amp;CHAR(10),""),IF(E437&gt;E436," * TB Cases with Known HIV Positive status "&amp;$D$20&amp;" "&amp;$E$21&amp;" is more than Total TB Cases New and relapsed"&amp;CHAR(10),""),IF(F437&gt;F436," * TB Cases with Known HIV Positive status "&amp;$F$20&amp;" "&amp;$F$21&amp;" is more than Total TB Cases New and relapsed"&amp;CHAR(10),""),IF(G437&gt;G436," * TB Cases with Known HIV Positive status "&amp;$F$20&amp;" "&amp;$G$21&amp;" is more than Total TB Cases New and relapsed"&amp;CHAR(10),""),IF(H437&gt;H436," * TB Cases with Known HIV Positive status "&amp;$H$20&amp;" "&amp;$H$21&amp;" is more than Total TB Cases New and relapsed"&amp;CHAR(10),""),IF(I437&gt;I436," * TB Cases with Known HIV Positive status "&amp;$H$20&amp;" "&amp;$I$21&amp;" is more than Total TB Cases New and relapsed"&amp;CHAR(10),""),IF(J437&gt;J436," * TB Cases with Known HIV Positive status "&amp;$J$20&amp;" "&amp;$J$21&amp;" is more than Total TB Cases New and relapsed"&amp;CHAR(10),""),IF(K437&gt;K436," * TB Cases with Known HIV Positive status "&amp;$J$20&amp;" "&amp;$K$21&amp;" is more than Total TB Cases New and relapsed"&amp;CHAR(10),""),IF(L437&gt;L436," * TB Cases with Known HIV Positive status "&amp;$L$20&amp;" "&amp;$L$21&amp;" is more than Total TB Cases New and relapsed"&amp;CHAR(10),""),IF(M437&gt;M436," * TB Cases with Known HIV Positive status "&amp;$L$20&amp;" "&amp;$M$21&amp;" is more than Total TB Cases New and relapsed"&amp;CHAR(10),""),IF(N437&gt;N436," * TB Cases with Known HIV Positive status "&amp;$N$20&amp;" "&amp;$N$21&amp;" is more than Total TB Cases New and relapsed"&amp;CHAR(10),""),IF(O437&gt;O436," * TB Cases with Known HIV Positive status "&amp;$N$20&amp;" "&amp;$O$21&amp;" is more than Total TB Cases New and relapsed"&amp;CHAR(10),""),IF(P437&gt;P436," * TB Cases with Known HIV Positive status "&amp;$P$20&amp;" "&amp;$P$21&amp;" is more than Total TB Cases New and relapsed"&amp;CHAR(10),""),IF(Q437&gt;Q436," * TB Cases with Known HIV Positive status "&amp;$P$20&amp;" "&amp;$Q$21&amp;" is more than Total TB Cases New and relapsed"&amp;CHAR(10),""),IF(R437&gt;R436," * TB Cases with Known HIV Positive status "&amp;$R$20&amp;" "&amp;$R$21&amp;" is more than Total TB Cases New and relapsed"&amp;CHAR(10),""),IF(S437&gt;S436," * TB Cases with Known HIV Positive status "&amp;$R$20&amp;" "&amp;$S$21&amp;" is more than Total TB Cases New and relapsed"&amp;CHAR(10),""),IF(T437&gt;T436," * TB Cases with Known HIV Positive status "&amp;$T$20&amp;" "&amp;$T$21&amp;" is more than Total TB Cases New and relapsed"&amp;CHAR(10),""),IF(U437&gt;U436," * TB Cases with Known HIV Positive status "&amp;$T$20&amp;" "&amp;$U$21&amp;" is more than Total TB Cases New and relapsed"&amp;CHAR(10),""),IF(V437&gt;V436," * TB Cases with Known HIV Positive status "&amp;$V$20&amp;" "&amp;$V$21&amp;" is more than Total TB Cases New and relapsed"&amp;CHAR(10),""),IF(W437&gt;W436," * TB Cases with Known HIV Positive status "&amp;$V$20&amp;" "&amp;$W$21&amp;" is more than Total TB Cases New and relapsed"&amp;CHAR(10),""),IF(X437&gt;X436," * TB Cases with Known HIV Positive status "&amp;$X$20&amp;" "&amp;$X$21&amp;" is more than Total TB Cases New and relapsed"&amp;CHAR(10),""),IF(Y437&gt;Y436," * TB Cases with Known HIV Positive status "&amp;$X$20&amp;" "&amp;$Y$21&amp;" is more than Total TB Cases New and relapsed"&amp;CHAR(10),""),IF(Z437&gt;Z436," * TB Cases with Known HIV Positive status "&amp;$Z$20&amp;" "&amp;$Z$21&amp;" is more than Total TB Cases New and relapsed"&amp;CHAR(10),""),IF(AA437&gt;AA436," * TB Cases with Known HIV Positive status "&amp;$Z$20&amp;" "&amp;$AA$21&amp;" is more than Total TB Cases New and relapsed"&amp;CHAR(10),""))</f>
        <v/>
      </c>
      <c r="AL436" s="1287" t="str">
        <f>CONCATENATE(AK436,AK437,AK440,AK441,AK442,AK443,AK444,AK445,AK446,AK438,AK439)</f>
        <v/>
      </c>
      <c r="AM436" s="829"/>
      <c r="AN436" s="1289" t="str">
        <f>CONCATENATE(AM436,AM437,AM439,AM440,AM441,AM442,AM443,AM444,AM445,AM446)</f>
        <v/>
      </c>
      <c r="AO436" s="13">
        <v>317</v>
      </c>
      <c r="AP436" s="80"/>
      <c r="AQ436" s="75"/>
    </row>
    <row r="437" spans="1:43" s="246" customFormat="1" ht="52.5" x14ac:dyDescent="0.4">
      <c r="A437" s="1260"/>
      <c r="B437" s="830" t="s">
        <v>907</v>
      </c>
      <c r="C437" s="831" t="s">
        <v>492</v>
      </c>
      <c r="D437" s="832"/>
      <c r="E437" s="832"/>
      <c r="F437" s="832"/>
      <c r="G437" s="832"/>
      <c r="H437" s="832"/>
      <c r="I437" s="832"/>
      <c r="J437" s="832"/>
      <c r="K437" s="832"/>
      <c r="L437" s="832"/>
      <c r="M437" s="832"/>
      <c r="N437" s="832"/>
      <c r="O437" s="832"/>
      <c r="P437" s="832"/>
      <c r="Q437" s="832"/>
      <c r="R437" s="832"/>
      <c r="S437" s="832"/>
      <c r="T437" s="832"/>
      <c r="U437" s="832"/>
      <c r="V437" s="832"/>
      <c r="W437" s="832"/>
      <c r="X437" s="832"/>
      <c r="Y437" s="832"/>
      <c r="Z437" s="826">
        <f t="shared" si="118"/>
        <v>0</v>
      </c>
      <c r="AA437" s="826">
        <f t="shared" si="118"/>
        <v>0</v>
      </c>
      <c r="AB437" s="832"/>
      <c r="AC437" s="832"/>
      <c r="AD437" s="832"/>
      <c r="AE437" s="832"/>
      <c r="AF437" s="832"/>
      <c r="AG437" s="832"/>
      <c r="AH437" s="832"/>
      <c r="AI437" s="832"/>
      <c r="AJ437" s="833">
        <f t="shared" ref="AJ437:AJ446" si="119">SUM(D437:AA437)</f>
        <v>0</v>
      </c>
      <c r="AK437" s="834"/>
      <c r="AL437" s="1287"/>
      <c r="AM437" s="835"/>
      <c r="AN437" s="1289"/>
      <c r="AO437" s="13">
        <v>318</v>
      </c>
      <c r="AP437" s="80"/>
      <c r="AQ437" s="147"/>
    </row>
    <row r="438" spans="1:43" s="246" customFormat="1" ht="26.25" x14ac:dyDescent="0.4">
      <c r="A438" s="1260"/>
      <c r="B438" s="940" t="s">
        <v>1238</v>
      </c>
      <c r="C438" s="831" t="s">
        <v>895</v>
      </c>
      <c r="D438" s="837"/>
      <c r="E438" s="838"/>
      <c r="F438" s="832"/>
      <c r="G438" s="832"/>
      <c r="H438" s="832"/>
      <c r="I438" s="832"/>
      <c r="J438" s="832"/>
      <c r="K438" s="832"/>
      <c r="L438" s="832"/>
      <c r="M438" s="832"/>
      <c r="N438" s="832"/>
      <c r="O438" s="832"/>
      <c r="P438" s="832"/>
      <c r="Q438" s="832"/>
      <c r="R438" s="832"/>
      <c r="S438" s="832"/>
      <c r="T438" s="832"/>
      <c r="U438" s="832"/>
      <c r="V438" s="832"/>
      <c r="W438" s="832"/>
      <c r="X438" s="832"/>
      <c r="Y438" s="832"/>
      <c r="Z438" s="826">
        <f t="shared" si="118"/>
        <v>0</v>
      </c>
      <c r="AA438" s="826">
        <f t="shared" si="118"/>
        <v>0</v>
      </c>
      <c r="AB438" s="832"/>
      <c r="AC438" s="832"/>
      <c r="AD438" s="832"/>
      <c r="AE438" s="832"/>
      <c r="AF438" s="832"/>
      <c r="AG438" s="832"/>
      <c r="AH438" s="832"/>
      <c r="AI438" s="832"/>
      <c r="AJ438" s="833">
        <f t="shared" si="119"/>
        <v>0</v>
      </c>
      <c r="AK438" s="834"/>
      <c r="AL438" s="1287"/>
      <c r="AM438" s="835"/>
      <c r="AN438" s="1289"/>
      <c r="AO438" s="13"/>
      <c r="AP438" s="80"/>
      <c r="AQ438" s="147"/>
    </row>
    <row r="439" spans="1:43" s="246" customFormat="1" ht="26.25" x14ac:dyDescent="0.4">
      <c r="A439" s="1260"/>
      <c r="B439" s="836" t="s">
        <v>480</v>
      </c>
      <c r="C439" s="831" t="s">
        <v>493</v>
      </c>
      <c r="D439" s="837"/>
      <c r="E439" s="838"/>
      <c r="F439" s="839">
        <f>F436-(F437+F438)</f>
        <v>0</v>
      </c>
      <c r="G439" s="839">
        <f t="shared" ref="G439:Y439" si="120">G436-(G437+G438)</f>
        <v>0</v>
      </c>
      <c r="H439" s="839">
        <f t="shared" si="120"/>
        <v>0</v>
      </c>
      <c r="I439" s="839">
        <f t="shared" si="120"/>
        <v>0</v>
      </c>
      <c r="J439" s="839">
        <f t="shared" si="120"/>
        <v>0</v>
      </c>
      <c r="K439" s="839">
        <f t="shared" si="120"/>
        <v>0</v>
      </c>
      <c r="L439" s="839">
        <f t="shared" si="120"/>
        <v>0</v>
      </c>
      <c r="M439" s="839">
        <f t="shared" si="120"/>
        <v>0</v>
      </c>
      <c r="N439" s="839">
        <f t="shared" si="120"/>
        <v>0</v>
      </c>
      <c r="O439" s="839">
        <f t="shared" si="120"/>
        <v>0</v>
      </c>
      <c r="P439" s="839">
        <f t="shared" si="120"/>
        <v>0</v>
      </c>
      <c r="Q439" s="839">
        <f t="shared" si="120"/>
        <v>0</v>
      </c>
      <c r="R439" s="839">
        <f t="shared" si="120"/>
        <v>0</v>
      </c>
      <c r="S439" s="839">
        <f t="shared" si="120"/>
        <v>0</v>
      </c>
      <c r="T439" s="839">
        <f t="shared" si="120"/>
        <v>0</v>
      </c>
      <c r="U439" s="839">
        <f t="shared" si="120"/>
        <v>0</v>
      </c>
      <c r="V439" s="839">
        <f t="shared" si="120"/>
        <v>0</v>
      </c>
      <c r="W439" s="839">
        <f t="shared" si="120"/>
        <v>0</v>
      </c>
      <c r="X439" s="839">
        <f t="shared" si="120"/>
        <v>0</v>
      </c>
      <c r="Y439" s="839">
        <f t="shared" si="120"/>
        <v>0</v>
      </c>
      <c r="Z439" s="826">
        <f t="shared" ref="Z439:Z444" si="121">SUM(AB439,AD439,AF439,AH439)</f>
        <v>0</v>
      </c>
      <c r="AA439" s="826">
        <f t="shared" ref="AA439:AA444" si="122">SUM(AC439,AE439,AG439,AI439)</f>
        <v>0</v>
      </c>
      <c r="AB439" s="839">
        <f t="shared" ref="AB439:AI439" si="123">AB436-(AB437+AB438)</f>
        <v>0</v>
      </c>
      <c r="AC439" s="839">
        <f t="shared" si="123"/>
        <v>0</v>
      </c>
      <c r="AD439" s="839">
        <f t="shared" si="123"/>
        <v>0</v>
      </c>
      <c r="AE439" s="839">
        <f t="shared" si="123"/>
        <v>0</v>
      </c>
      <c r="AF439" s="839">
        <f t="shared" si="123"/>
        <v>0</v>
      </c>
      <c r="AG439" s="839">
        <f t="shared" si="123"/>
        <v>0</v>
      </c>
      <c r="AH439" s="839">
        <f t="shared" si="123"/>
        <v>0</v>
      </c>
      <c r="AI439" s="839">
        <f t="shared" si="123"/>
        <v>0</v>
      </c>
      <c r="AJ439" s="833">
        <f t="shared" si="119"/>
        <v>0</v>
      </c>
      <c r="AK439" s="834"/>
      <c r="AL439" s="1287"/>
      <c r="AM439" s="835" t="str">
        <f>CONCATENATE(IF(D439&gt;D440," * TB Cases newly tested for HIV "&amp;$D$20&amp;" "&amp;$D$21&amp;" is less than TB Cases eligible for Testing"&amp;CHAR(10),""),IF(E439&gt;E440," * TB Cases newly tested for HIV "&amp;$D$20&amp;" "&amp;$E$21&amp;" is less than TB Cases eligible for Testing"&amp;CHAR(10),""),IF(F439&gt;F440," * TB Cases newly tested for HIV "&amp;$F$20&amp;" "&amp;$F$21&amp;" is less than TB Cases eligible for Testing"&amp;CHAR(10),""),IF(G439&gt;G440," * TB Cases newly tested for HIV "&amp;$F$20&amp;" "&amp;$G$21&amp;" is less than TB Cases eligible for Testing"&amp;CHAR(10),""),IF(H439&gt;H440," * TB Cases newly tested for HIV "&amp;$H$20&amp;" "&amp;$H$21&amp;" is less than TB Cases eligible for Testing"&amp;CHAR(10),""),IF(I439&gt;I440," * TB Cases newly tested for HIV "&amp;$H$20&amp;" "&amp;$I$21&amp;" is less than TB Cases eligible for Testing"&amp;CHAR(10),""),IF(J439&gt;J440," * TB Cases newly tested for HIV "&amp;$J$20&amp;" "&amp;$J$21&amp;" is less than TB Cases eligible for Testing"&amp;CHAR(10),""),IF(K439&gt;K440," * TB Cases newly tested for HIV "&amp;$J$20&amp;" "&amp;$K$21&amp;" is less than TB Cases eligible for Testing"&amp;CHAR(10),""),IF(L439&gt;L440," * TB Cases newly tested for HIV "&amp;$L$20&amp;" "&amp;$L$21&amp;" is less than TB Cases eligible for Testing"&amp;CHAR(10),""),IF(M439&gt;M440," * TB Cases newly tested for HIV "&amp;$L$20&amp;" "&amp;$M$21&amp;" is less than TB Cases eligible for Testing"&amp;CHAR(10),""),IF(N439&gt;N440," * TB Cases newly tested for HIV "&amp;$N$20&amp;" "&amp;$N$21&amp;" is less than TB Cases eligible for Testing"&amp;CHAR(10),""),IF(O439&gt;O440," * TB Cases newly tested for HIV "&amp;$N$20&amp;" "&amp;$O$21&amp;" is less than TB Cases eligible for Testing"&amp;CHAR(10),""),IF(P439&gt;P440," * TB Cases newly tested for HIV "&amp;$P$20&amp;" "&amp;$P$21&amp;" is less than TB Cases eligible for Testing"&amp;CHAR(10),""),IF(Q439&gt;Q440," * TB Cases newly tested for HIV "&amp;$P$20&amp;" "&amp;$Q$21&amp;" is less than TB Cases eligible for Testing"&amp;CHAR(10),""),IF(R439&gt;R440," * TB Cases newly tested for HIV "&amp;$R$20&amp;" "&amp;$R$21&amp;" is less than TB Cases eligible for Testing"&amp;CHAR(10),""),IF(S439&gt;S440," * TB Cases newly tested for HIV "&amp;$R$20&amp;" "&amp;$S$21&amp;" is less than TB Cases eligible for Testing"&amp;CHAR(10),""),IF(T439&gt;T440," * TB Cases newly tested for HIV "&amp;$T$20&amp;" "&amp;$T$21&amp;" is less than TB Cases eligible for Testing"&amp;CHAR(10),""),IF(U439&gt;U440," * TB Cases newly tested for HIV "&amp;$T$20&amp;" "&amp;$U$21&amp;" is less than TB Cases eligible for Testing"&amp;CHAR(10),""),IF(V439&gt;V440," * TB Cases newly tested for HIV "&amp;$V$20&amp;" "&amp;$V$21&amp;" is less than TB Cases eligible for Testing"&amp;CHAR(10),""),IF(W439&gt;W440," * TB Cases newly tested for HIV "&amp;$V$20&amp;" "&amp;$W$21&amp;" is less than TB Cases eligible for Testing"&amp;CHAR(10),""),IF(X439&gt;X440," * TB Cases newly tested for HIV "&amp;$X$20&amp;" "&amp;$X$21&amp;" is less than TB Cases eligible for Testing"&amp;CHAR(10),""),IF(Y439&gt;Y440," * TB Cases newly tested for HIV "&amp;$X$20&amp;" "&amp;$Y$21&amp;" is less than TB Cases eligible for Testing"&amp;CHAR(10),""),IF(Z439&gt;Z440," * TB Cases newly tested for HIV "&amp;$Z$20&amp;" "&amp;$Z$21&amp;" is less than TB Cases eligible for Testing"&amp;CHAR(10),""),IF(AA439&gt;AA440," * TB Cases newly tested for HIV "&amp;$Z$20&amp;" "&amp;$AA$21&amp;" is less than TB Cases eligible for Testing"&amp;CHAR(10),""))</f>
        <v/>
      </c>
      <c r="AN439" s="1289"/>
      <c r="AO439" s="13">
        <v>319</v>
      </c>
      <c r="AP439" s="80"/>
      <c r="AQ439" s="147"/>
    </row>
    <row r="440" spans="1:43" s="246" customFormat="1" ht="26.25" x14ac:dyDescent="0.4">
      <c r="A440" s="1260"/>
      <c r="B440" s="830" t="s">
        <v>502</v>
      </c>
      <c r="C440" s="831" t="s">
        <v>494</v>
      </c>
      <c r="D440" s="837"/>
      <c r="E440" s="838"/>
      <c r="F440" s="840"/>
      <c r="G440" s="840"/>
      <c r="H440" s="840"/>
      <c r="I440" s="840"/>
      <c r="J440" s="840"/>
      <c r="K440" s="840"/>
      <c r="L440" s="840"/>
      <c r="M440" s="840"/>
      <c r="N440" s="840"/>
      <c r="O440" s="840"/>
      <c r="P440" s="840"/>
      <c r="Q440" s="840"/>
      <c r="R440" s="840"/>
      <c r="S440" s="840"/>
      <c r="T440" s="840"/>
      <c r="U440" s="840"/>
      <c r="V440" s="840"/>
      <c r="W440" s="840"/>
      <c r="X440" s="840"/>
      <c r="Y440" s="840"/>
      <c r="Z440" s="826">
        <f t="shared" si="121"/>
        <v>0</v>
      </c>
      <c r="AA440" s="826">
        <f t="shared" si="122"/>
        <v>0</v>
      </c>
      <c r="AB440" s="840"/>
      <c r="AC440" s="840"/>
      <c r="AD440" s="840"/>
      <c r="AE440" s="840"/>
      <c r="AF440" s="840"/>
      <c r="AG440" s="840"/>
      <c r="AH440" s="840"/>
      <c r="AI440" s="840"/>
      <c r="AJ440" s="833">
        <f t="shared" si="119"/>
        <v>0</v>
      </c>
      <c r="AK440" s="841" t="str">
        <f>CONCATENATE(IF(D436&lt;D440," * TB Cases newly tested for HIV "&amp;$D$20&amp;" "&amp;$D$21&amp;" is more than Total TB Cases New and relapsed"&amp;CHAR(10),""),IF(E436&lt;E440," * TB Cases newly tested for HIV "&amp;$D$20&amp;" "&amp;$E$21&amp;" is more than Total TB Cases New and relapsed"&amp;CHAR(10),""),IF(F436&lt;F440," * TB Cases newly tested for HIV "&amp;$F$20&amp;" "&amp;$F$21&amp;" is more than Total TB Cases New and relapsed"&amp;CHAR(10),""),IF(G436&lt;G440," * TB Cases newly tested for HIV "&amp;$F$20&amp;" "&amp;$G$21&amp;" is more than Total TB Cases New and relapsed"&amp;CHAR(10),""),IF(H436&lt;H440," * TB Cases newly tested for HIV "&amp;$H$20&amp;" "&amp;$H$21&amp;" is more than Total TB Cases New and relapsed"&amp;CHAR(10),""),IF(I436&lt;I440," * TB Cases newly tested for HIV "&amp;$H$20&amp;" "&amp;$I$21&amp;" is more than Total TB Cases New and relapsed"&amp;CHAR(10),""),IF(J436&lt;J440," * TB Cases newly tested for HIV "&amp;$J$20&amp;" "&amp;$J$21&amp;" is more than Total TB Cases New and relapsed"&amp;CHAR(10),""),IF(K436&lt;K440," * TB Cases newly tested for HIV "&amp;$J$20&amp;" "&amp;$K$21&amp;" is more than Total TB Cases New and relapsed"&amp;CHAR(10),""),IF(L436&lt;L440," * TB Cases newly tested for HIV "&amp;$L$20&amp;" "&amp;$L$21&amp;" is more than Total TB Cases New and relapsed"&amp;CHAR(10),""),IF(M436&lt;M440," * TB Cases newly tested for HIV "&amp;$L$20&amp;" "&amp;$M$21&amp;" is more than Total TB Cases New and relapsed"&amp;CHAR(10),""),IF(N436&lt;N440," * TB Cases newly tested for HIV "&amp;$N$20&amp;" "&amp;$N$21&amp;" is more than Total TB Cases New and relapsed"&amp;CHAR(10),""),IF(O436&lt;O440," * TB Cases newly tested for HIV "&amp;$N$20&amp;" "&amp;$O$21&amp;" is more than Total TB Cases New and relapsed"&amp;CHAR(10),""),IF(P436&lt;P440," * TB Cases newly tested for HIV "&amp;$P$20&amp;" "&amp;$P$21&amp;" is more than Total TB Cases New and relapsed"&amp;CHAR(10),""),IF(Q436&lt;Q440," * TB Cases newly tested for HIV "&amp;$P$20&amp;" "&amp;$Q$21&amp;" is more than Total TB Cases New and relapsed"&amp;CHAR(10),""),IF(R436&lt;R440," * TB Cases newly tested for HIV "&amp;$R$20&amp;" "&amp;$R$21&amp;" is more than Total TB Cases New and relapsed"&amp;CHAR(10),""),IF(S436&lt;S440," * TB Cases newly tested for HIV "&amp;$R$20&amp;" "&amp;$S$21&amp;" is more than Total TB Cases New and relapsed"&amp;CHAR(10),""),IF(T436&lt;T440," * TB Cases newly tested for HIV "&amp;$T$20&amp;" "&amp;$T$21&amp;" is more than Total TB Cases New and relapsed"&amp;CHAR(10),""),IF(U436&lt;U440," * TB Cases newly tested for HIV "&amp;$T$20&amp;" "&amp;$U$21&amp;" is more than Total TB Cases New and relapsed"&amp;CHAR(10),""),IF(V436&lt;V440," * TB Cases newly tested for HIV "&amp;$V$20&amp;" "&amp;$V$21&amp;" is more than Total TB Cases New and relapsed"&amp;CHAR(10),""),IF(W436&lt;W440," * TB Cases newly tested for HIV "&amp;$V$20&amp;" "&amp;$W$21&amp;" is more than Total TB Cases New and relapsed"&amp;CHAR(10),""),IF(X436&lt;X440," * TB Cases newly tested for HIV "&amp;$X$20&amp;" "&amp;$X$21&amp;" is more than Total TB Cases New and relapsed"&amp;CHAR(10),""),IF(Y436&lt;Y440," * TB Cases newly tested for HIV "&amp;$X$20&amp;" "&amp;$Y$21&amp;" is more than Total TB Cases New and relapsed"&amp;CHAR(10),""),IF(Z436&lt;Z440," * TB Cases newly tested for HIV "&amp;$Z$20&amp;" "&amp;$Z$21&amp;" is more than Total TB Cases New and relapsed"&amp;CHAR(10),""),IF(AA436&lt;AA440," * TB Cases newly tested for HIV "&amp;$Z$20&amp;" "&amp;$AA$21&amp;" is more than Total TB Cases New and relapsed"&amp;CHAR(10),""))</f>
        <v/>
      </c>
      <c r="AL440" s="1287"/>
      <c r="AM440" s="842"/>
      <c r="AN440" s="1289"/>
      <c r="AO440" s="13">
        <v>320</v>
      </c>
      <c r="AP440" s="80"/>
      <c r="AQ440" s="147"/>
    </row>
    <row r="441" spans="1:43" s="246" customFormat="1" ht="26.25" x14ac:dyDescent="0.4">
      <c r="A441" s="1260"/>
      <c r="B441" s="836" t="s">
        <v>481</v>
      </c>
      <c r="C441" s="831" t="s">
        <v>495</v>
      </c>
      <c r="D441" s="839">
        <f>D440+D437+D438</f>
        <v>0</v>
      </c>
      <c r="E441" s="839">
        <f>E440+E437+E438</f>
        <v>0</v>
      </c>
      <c r="F441" s="839">
        <f>F440+F437+F438</f>
        <v>0</v>
      </c>
      <c r="G441" s="839">
        <f t="shared" ref="G441:Y441" si="124">G440+G437+G438</f>
        <v>0</v>
      </c>
      <c r="H441" s="839">
        <f t="shared" si="124"/>
        <v>0</v>
      </c>
      <c r="I441" s="839">
        <f t="shared" si="124"/>
        <v>0</v>
      </c>
      <c r="J441" s="839">
        <f t="shared" si="124"/>
        <v>0</v>
      </c>
      <c r="K441" s="839">
        <f t="shared" si="124"/>
        <v>0</v>
      </c>
      <c r="L441" s="839">
        <f t="shared" si="124"/>
        <v>0</v>
      </c>
      <c r="M441" s="839">
        <f t="shared" si="124"/>
        <v>0</v>
      </c>
      <c r="N441" s="839">
        <f t="shared" si="124"/>
        <v>0</v>
      </c>
      <c r="O441" s="839">
        <f t="shared" si="124"/>
        <v>0</v>
      </c>
      <c r="P441" s="839">
        <f t="shared" si="124"/>
        <v>0</v>
      </c>
      <c r="Q441" s="839">
        <f t="shared" si="124"/>
        <v>0</v>
      </c>
      <c r="R441" s="839">
        <f t="shared" si="124"/>
        <v>0</v>
      </c>
      <c r="S441" s="839">
        <f t="shared" si="124"/>
        <v>0</v>
      </c>
      <c r="T441" s="839">
        <f t="shared" si="124"/>
        <v>0</v>
      </c>
      <c r="U441" s="839">
        <f t="shared" si="124"/>
        <v>0</v>
      </c>
      <c r="V441" s="839">
        <f t="shared" si="124"/>
        <v>0</v>
      </c>
      <c r="W441" s="839">
        <f t="shared" si="124"/>
        <v>0</v>
      </c>
      <c r="X441" s="839">
        <f t="shared" si="124"/>
        <v>0</v>
      </c>
      <c r="Y441" s="839">
        <f t="shared" si="124"/>
        <v>0</v>
      </c>
      <c r="Z441" s="839">
        <f>Z440+Z437+Z438</f>
        <v>0</v>
      </c>
      <c r="AA441" s="839">
        <f>AA440+AA437+AA438</f>
        <v>0</v>
      </c>
      <c r="AB441" s="839">
        <f>AB440+AB437+AB438</f>
        <v>0</v>
      </c>
      <c r="AC441" s="839">
        <f>AC440+AC437+AC438</f>
        <v>0</v>
      </c>
      <c r="AD441" s="839">
        <f t="shared" ref="AD441:AI441" si="125">AD440+AD437+AD438</f>
        <v>0</v>
      </c>
      <c r="AE441" s="839">
        <f t="shared" si="125"/>
        <v>0</v>
      </c>
      <c r="AF441" s="839">
        <f t="shared" si="125"/>
        <v>0</v>
      </c>
      <c r="AG441" s="839">
        <f t="shared" si="125"/>
        <v>0</v>
      </c>
      <c r="AH441" s="839">
        <f>AH440+AH437+AH438</f>
        <v>0</v>
      </c>
      <c r="AI441" s="839">
        <f t="shared" si="125"/>
        <v>0</v>
      </c>
      <c r="AJ441" s="833">
        <f>SUM(D441:AA441)</f>
        <v>0</v>
      </c>
      <c r="AK441" s="841" t="str">
        <f>CONCATENATE(IF(D436&lt;D441," * TB cases with documented HIV status "&amp;$D$20&amp;" "&amp;$D$21&amp;" is more than Total TB Cases New and relapsed"&amp;CHAR(10),""),IF(E436&lt;E441," * TB cases with documented HIV status "&amp;$D$20&amp;" "&amp;$E$21&amp;" is more than Total TB Cases New and relapsed"&amp;CHAR(10),""),IF(F436&lt;F441," * TB cases with documented HIV status "&amp;$F$20&amp;" "&amp;$F$21&amp;" is more than Total TB Cases New and relapsed"&amp;CHAR(10),""),IF(G436&lt;G441," * TB cases with documented HIV status "&amp;$F$20&amp;" "&amp;$G$21&amp;" is more than Total TB Cases New and relapsed"&amp;CHAR(10),""),IF(H436&lt;H441," * TB cases with documented HIV status "&amp;$H$20&amp;" "&amp;$H$21&amp;" is more than Total TB Cases New and relapsed"&amp;CHAR(10),""),IF(I436&lt;I441," * TB cases with documented HIV status "&amp;$H$20&amp;" "&amp;$I$21&amp;" is more than Total TB Cases New and relapsed"&amp;CHAR(10),""),IF(J436&lt;J441," * TB cases with documented HIV status "&amp;$J$20&amp;" "&amp;$J$21&amp;" is more than Total TB Cases New and relapsed"&amp;CHAR(10),""),IF(K436&lt;K441," * TB cases with documented HIV status "&amp;$J$20&amp;" "&amp;$K$21&amp;" is more than Total TB Cases New and relapsed"&amp;CHAR(10),""),IF(L436&lt;L441," * TB cases with documented HIV status "&amp;$L$20&amp;" "&amp;$L$21&amp;" is more than Total TB Cases New and relapsed"&amp;CHAR(10),""),IF(M436&lt;M441," * TB cases with documented HIV status "&amp;$L$20&amp;" "&amp;$M$21&amp;" is more than Total TB Cases New and relapsed"&amp;CHAR(10),""),IF(N436&lt;N441," * TB cases with documented HIV status "&amp;$N$20&amp;" "&amp;$N$21&amp;" is more than Total TB Cases New and relapsed"&amp;CHAR(10),""),IF(O436&lt;O441," * TB cases with documented HIV status "&amp;$N$20&amp;" "&amp;$O$21&amp;" is more than Total TB Cases New and relapsed"&amp;CHAR(10),""),IF(P436&lt;P441," * TB cases with documented HIV status "&amp;$P$20&amp;" "&amp;$P$21&amp;" is more than Total TB Cases New and relapsed"&amp;CHAR(10),""),IF(Q436&lt;Q441," * TB cases with documented HIV status "&amp;$P$20&amp;" "&amp;$Q$21&amp;" is more than Total TB Cases New and relapsed"&amp;CHAR(10),""),IF(R436&lt;R441," * TB cases with documented HIV status "&amp;$R$20&amp;" "&amp;$R$21&amp;" is more than Total TB Cases New and relapsed"&amp;CHAR(10),""),IF(S436&lt;S441," * TB cases with documented HIV status "&amp;$R$20&amp;" "&amp;$S$21&amp;" is more than Total TB Cases New and relapsed"&amp;CHAR(10),""),IF(T436&lt;T441," * TB cases with documented HIV status "&amp;$T$20&amp;" "&amp;$T$21&amp;" is more than Total TB Cases New and relapsed"&amp;CHAR(10),""),IF(U436&lt;U441," * TB cases with documented HIV status "&amp;$T$20&amp;" "&amp;$U$21&amp;" is more than Total TB Cases New and relapsed"&amp;CHAR(10),""),IF(V436&lt;V441," * TB cases with documented HIV status "&amp;$V$20&amp;" "&amp;$V$21&amp;" is more than Total TB Cases New and relapsed"&amp;CHAR(10),""),IF(W436&lt;W441," * TB cases with documented HIV status "&amp;$V$20&amp;" "&amp;$W$21&amp;" is more than Total TB Cases New and relapsed"&amp;CHAR(10),""),IF(X436&lt;X441," * TB cases with documented HIV status "&amp;$X$20&amp;" "&amp;$X$21&amp;" is more than Total TB Cases New and relapsed"&amp;CHAR(10),""),IF(Y436&lt;Y441," * TB cases with documented HIV status "&amp;$X$20&amp;" "&amp;$Y$21&amp;" is more than Total TB Cases New and relapsed"&amp;CHAR(10),""),IF(Z436&lt;Z441," * TB cases with documented HIV status "&amp;$Z$20&amp;" "&amp;$Z$21&amp;" is more than Total TB Cases New and relapsed"&amp;CHAR(10),""),IF(AA436&lt;AA441," * TB cases with documented HIV status "&amp;$Z$20&amp;" "&amp;$AA$21&amp;" is more than Total TB Cases New and relapsed"&amp;CHAR(10),""))</f>
        <v/>
      </c>
      <c r="AL441" s="1287"/>
      <c r="AM441" s="835"/>
      <c r="AN441" s="1289"/>
      <c r="AO441" s="13">
        <v>321</v>
      </c>
      <c r="AP441" s="80"/>
      <c r="AQ441" s="147"/>
    </row>
    <row r="442" spans="1:43" s="61" customFormat="1" ht="26.25" x14ac:dyDescent="0.4">
      <c r="A442" s="1260"/>
      <c r="B442" s="830" t="s">
        <v>504</v>
      </c>
      <c r="C442" s="831" t="s">
        <v>496</v>
      </c>
      <c r="D442" s="837"/>
      <c r="E442" s="838"/>
      <c r="F442" s="843"/>
      <c r="G442" s="843"/>
      <c r="H442" s="843"/>
      <c r="I442" s="843"/>
      <c r="J442" s="843"/>
      <c r="K442" s="843"/>
      <c r="L442" s="843"/>
      <c r="M442" s="843"/>
      <c r="N442" s="843"/>
      <c r="O442" s="843"/>
      <c r="P442" s="843"/>
      <c r="Q442" s="843"/>
      <c r="R442" s="843"/>
      <c r="S442" s="843"/>
      <c r="T442" s="843"/>
      <c r="U442" s="843"/>
      <c r="V442" s="843"/>
      <c r="W442" s="843"/>
      <c r="X442" s="843"/>
      <c r="Y442" s="843"/>
      <c r="Z442" s="826">
        <f t="shared" si="121"/>
        <v>0</v>
      </c>
      <c r="AA442" s="826">
        <f t="shared" si="122"/>
        <v>0</v>
      </c>
      <c r="AB442" s="843"/>
      <c r="AC442" s="843"/>
      <c r="AD442" s="843"/>
      <c r="AE442" s="843"/>
      <c r="AF442" s="843"/>
      <c r="AG442" s="843"/>
      <c r="AH442" s="843"/>
      <c r="AI442" s="843"/>
      <c r="AJ442" s="833">
        <f t="shared" si="119"/>
        <v>0</v>
      </c>
      <c r="AK442" s="841" t="str">
        <f>CONCATENATE(IF(D440&lt;D442," * Newly Tested Positives "&amp;$D$20&amp;" "&amp;$D$21&amp;" is more than TB Cases newly tested for HIV"&amp;CHAR(10),""),IF(E440&lt;E442," * Newly Tested Positives "&amp;$D$20&amp;" "&amp;$E$21&amp;" is more than TB Cases newly tested for HIV"&amp;CHAR(10),""),IF(F440&lt;F442," * Newly Tested Positives "&amp;$F$20&amp;" "&amp;$F$21&amp;" is more than TB Cases newly tested for HIV"&amp;CHAR(10),""),IF(G440&lt;G442," * Newly Tested Positives "&amp;$F$20&amp;" "&amp;$G$21&amp;" is more than TB Cases newly tested for HIV"&amp;CHAR(10),""),IF(H440&lt;H442," * Newly Tested Positives "&amp;$H$20&amp;" "&amp;$H$21&amp;" is more than TB Cases newly tested for HIV"&amp;CHAR(10),""),IF(I440&lt;I442," * Newly Tested Positives "&amp;$H$20&amp;" "&amp;$I$21&amp;" is more than TB Cases newly tested for HIV"&amp;CHAR(10),""),IF(J440&lt;J442," * Newly Tested Positives "&amp;$J$20&amp;" "&amp;$J$21&amp;" is more than TB Cases newly tested for HIV"&amp;CHAR(10),""),IF(K440&lt;K442," * Newly Tested Positives "&amp;$J$20&amp;" "&amp;$K$21&amp;" is more than TB Cases newly tested for HIV"&amp;CHAR(10),""),IF(L440&lt;L442," * Newly Tested Positives "&amp;$L$20&amp;" "&amp;$L$21&amp;" is more than TB Cases newly tested for HIV"&amp;CHAR(10),""),IF(M440&lt;M442," * Newly Tested Positives "&amp;$L$20&amp;" "&amp;$M$21&amp;" is more than TB Cases newly tested for HIV"&amp;CHAR(10),""),IF(N440&lt;N442," * Newly Tested Positives "&amp;$N$20&amp;" "&amp;$N$21&amp;" is more than TB Cases newly tested for HIV"&amp;CHAR(10),""),IF(O440&lt;O442," * Newly Tested Positives "&amp;$N$20&amp;" "&amp;$O$21&amp;" is more than TB Cases newly tested for HIV"&amp;CHAR(10),""),IF(P440&lt;P442," * Newly Tested Positives "&amp;$P$20&amp;" "&amp;$P$21&amp;" is more than TB Cases newly tested for HIV"&amp;CHAR(10),""),IF(Q440&lt;Q442," * Newly Tested Positives "&amp;$P$20&amp;" "&amp;$Q$21&amp;" is more than TB Cases newly tested for HIV"&amp;CHAR(10),""),IF(R440&lt;R442," * Newly Tested Positives "&amp;$R$20&amp;" "&amp;$R$21&amp;" is more than TB Cases newly tested for HIV"&amp;CHAR(10),""),IF(S440&lt;S442," * Newly Tested Positives "&amp;$R$20&amp;" "&amp;$S$21&amp;" is more than TB Cases newly tested for HIV"&amp;CHAR(10),""),IF(T440&lt;T442," * Newly Tested Positives "&amp;$T$20&amp;" "&amp;$T$21&amp;" is more than TB Cases newly tested for HIV"&amp;CHAR(10),""),IF(U440&lt;U442," * Newly Tested Positives "&amp;$T$20&amp;" "&amp;$U$21&amp;" is more than TB Cases newly tested for HIV"&amp;CHAR(10),""),IF(V440&lt;V442," * Newly Tested Positives "&amp;$V$20&amp;" "&amp;$V$21&amp;" is more than TB Cases newly tested for HIV"&amp;CHAR(10),""),IF(W440&lt;W442," * Newly Tested Positives "&amp;$V$20&amp;" "&amp;$W$21&amp;" is more than TB Cases newly tested for HIV"&amp;CHAR(10),""),IF(X440&lt;X442," * Newly Tested Positives "&amp;$X$20&amp;" "&amp;$X$21&amp;" is more than TB Cases newly tested for HIV"&amp;CHAR(10),""),IF(Y440&lt;Y442," * Newly Tested Positives "&amp;$X$20&amp;" "&amp;$Y$21&amp;" is more than TB Cases newly tested for HIV"&amp;CHAR(10),""),IF(Z440&lt;Z442," * Newly Tested Positives "&amp;$Z$20&amp;" "&amp;$Z$21&amp;" is more than TB Cases newly tested for HIV"&amp;CHAR(10),""),IF(AA440&lt;AA442," * Newly Tested Positives "&amp;$Z$20&amp;" "&amp;$AA$21&amp;" is more than TB Cases newly tested for HIV"&amp;CHAR(10),""))</f>
        <v/>
      </c>
      <c r="AL442" s="1287"/>
      <c r="AM442" s="835"/>
      <c r="AN442" s="1289"/>
      <c r="AO442" s="13">
        <v>322</v>
      </c>
      <c r="AP442" s="80"/>
      <c r="AQ442" s="75"/>
    </row>
    <row r="443" spans="1:43" s="61" customFormat="1" ht="27" thickBot="1" x14ac:dyDescent="0.45">
      <c r="A443" s="1260"/>
      <c r="B443" s="844" t="s">
        <v>497</v>
      </c>
      <c r="C443" s="845" t="s">
        <v>498</v>
      </c>
      <c r="D443" s="846">
        <f>D437</f>
        <v>0</v>
      </c>
      <c r="E443" s="846">
        <f>E437</f>
        <v>0</v>
      </c>
      <c r="F443" s="846">
        <f t="shared" ref="F443:Y443" si="126">F442+F437</f>
        <v>0</v>
      </c>
      <c r="G443" s="846">
        <f t="shared" si="126"/>
        <v>0</v>
      </c>
      <c r="H443" s="846">
        <f t="shared" si="126"/>
        <v>0</v>
      </c>
      <c r="I443" s="846">
        <f t="shared" si="126"/>
        <v>0</v>
      </c>
      <c r="J443" s="846">
        <f t="shared" si="126"/>
        <v>0</v>
      </c>
      <c r="K443" s="846">
        <f t="shared" si="126"/>
        <v>0</v>
      </c>
      <c r="L443" s="846">
        <f t="shared" si="126"/>
        <v>0</v>
      </c>
      <c r="M443" s="846">
        <f t="shared" si="126"/>
        <v>0</v>
      </c>
      <c r="N443" s="846">
        <f t="shared" si="126"/>
        <v>0</v>
      </c>
      <c r="O443" s="846">
        <f t="shared" si="126"/>
        <v>0</v>
      </c>
      <c r="P443" s="846">
        <f t="shared" si="126"/>
        <v>0</v>
      </c>
      <c r="Q443" s="846">
        <f t="shared" si="126"/>
        <v>0</v>
      </c>
      <c r="R443" s="846">
        <f t="shared" si="126"/>
        <v>0</v>
      </c>
      <c r="S443" s="846">
        <f t="shared" si="126"/>
        <v>0</v>
      </c>
      <c r="T443" s="846">
        <f t="shared" si="126"/>
        <v>0</v>
      </c>
      <c r="U443" s="846">
        <f t="shared" si="126"/>
        <v>0</v>
      </c>
      <c r="V443" s="846">
        <f t="shared" si="126"/>
        <v>0</v>
      </c>
      <c r="W443" s="846">
        <f t="shared" si="126"/>
        <v>0</v>
      </c>
      <c r="X443" s="846">
        <f t="shared" si="126"/>
        <v>0</v>
      </c>
      <c r="Y443" s="846">
        <f t="shared" si="126"/>
        <v>0</v>
      </c>
      <c r="Z443" s="826">
        <f t="shared" si="121"/>
        <v>0</v>
      </c>
      <c r="AA443" s="826">
        <f t="shared" si="122"/>
        <v>0</v>
      </c>
      <c r="AB443" s="846">
        <f t="shared" ref="AB443:AI443" si="127">AB442+AB437</f>
        <v>0</v>
      </c>
      <c r="AC443" s="846">
        <f t="shared" si="127"/>
        <v>0</v>
      </c>
      <c r="AD443" s="846">
        <f t="shared" si="127"/>
        <v>0</v>
      </c>
      <c r="AE443" s="846">
        <f t="shared" si="127"/>
        <v>0</v>
      </c>
      <c r="AF443" s="846">
        <f t="shared" si="127"/>
        <v>0</v>
      </c>
      <c r="AG443" s="846">
        <f t="shared" si="127"/>
        <v>0</v>
      </c>
      <c r="AH443" s="846">
        <f t="shared" si="127"/>
        <v>0</v>
      </c>
      <c r="AI443" s="846">
        <f t="shared" si="127"/>
        <v>0</v>
      </c>
      <c r="AJ443" s="847">
        <f t="shared" si="119"/>
        <v>0</v>
      </c>
      <c r="AK443" s="848"/>
      <c r="AL443" s="1287"/>
      <c r="AM443" s="835"/>
      <c r="AN443" s="1289"/>
      <c r="AO443" s="13">
        <v>323</v>
      </c>
      <c r="AP443" s="80"/>
      <c r="AQ443" s="75"/>
    </row>
    <row r="444" spans="1:43" s="61" customFormat="1" ht="52.5" x14ac:dyDescent="0.4">
      <c r="A444" s="1260"/>
      <c r="B444" s="849" t="s">
        <v>501</v>
      </c>
      <c r="C444" s="850" t="s">
        <v>499</v>
      </c>
      <c r="D444" s="837"/>
      <c r="E444" s="838"/>
      <c r="F444" s="851"/>
      <c r="G444" s="851"/>
      <c r="H444" s="851"/>
      <c r="I444" s="851"/>
      <c r="J444" s="851"/>
      <c r="K444" s="851"/>
      <c r="L444" s="851"/>
      <c r="M444" s="851"/>
      <c r="N444" s="851"/>
      <c r="O444" s="851"/>
      <c r="P444" s="851"/>
      <c r="Q444" s="851"/>
      <c r="R444" s="851"/>
      <c r="S444" s="851"/>
      <c r="T444" s="851"/>
      <c r="U444" s="851"/>
      <c r="V444" s="851"/>
      <c r="W444" s="851"/>
      <c r="X444" s="851"/>
      <c r="Y444" s="851"/>
      <c r="Z444" s="826">
        <f t="shared" si="121"/>
        <v>0</v>
      </c>
      <c r="AA444" s="826">
        <f t="shared" si="122"/>
        <v>0</v>
      </c>
      <c r="AB444" s="851"/>
      <c r="AC444" s="851"/>
      <c r="AD444" s="851"/>
      <c r="AE444" s="851"/>
      <c r="AF444" s="851"/>
      <c r="AG444" s="851"/>
      <c r="AH444" s="851"/>
      <c r="AI444" s="851"/>
      <c r="AJ444" s="852">
        <f t="shared" si="119"/>
        <v>0</v>
      </c>
      <c r="AK444" s="841"/>
      <c r="AL444" s="1287"/>
      <c r="AM444" s="841" t="str">
        <f>CONCATENATE(IF(D442&gt;D444," * Newly Tested Positives "&amp;$D$20&amp;" "&amp;$D$21&amp;" is more than Total Positive Clients newly started on ART"&amp;CHAR(10),""),IF(E442&gt;E444," * Newly Tested Positives "&amp;$D$20&amp;" "&amp;$E$21&amp;" is more than Total Positive Clients newly started on ART"&amp;CHAR(10),""),IF(F442&gt;F444," * Newly Tested Positives "&amp;$F$20&amp;" "&amp;$F$21&amp;" is more than Total Positive Clients newly started on ART"&amp;CHAR(10),""),IF(G442&gt;G444," * Newly Tested Positives "&amp;$F$20&amp;" "&amp;$G$21&amp;" is more than Total Positive Clients newly started on ART"&amp;CHAR(10),""),IF(H442&gt;H444," * Newly Tested Positives "&amp;$H$20&amp;" "&amp;$H$21&amp;" is more than Total Positive Clients newly started on ART"&amp;CHAR(10),""),IF(I442&gt;I444," * Newly Tested Positives "&amp;$H$20&amp;" "&amp;$I$21&amp;" is more than Total Positive Clients newly started on ART"&amp;CHAR(10),""),IF(J442&gt;J444," * Newly Tested Positives "&amp;$J$20&amp;" "&amp;$J$21&amp;" is more than Total Positive Clients newly started on ART"&amp;CHAR(10),""),IF(K442&gt;K444," * Newly Tested Positives "&amp;$J$20&amp;" "&amp;$K$21&amp;" is more than Total Positive Clients newly started on ART"&amp;CHAR(10),""),IF(L442&gt;L444," * Newly Tested Positives "&amp;$L$20&amp;" "&amp;$L$21&amp;" is more than Total Positive Clients newly started on ART"&amp;CHAR(10),""),IF(M442&gt;M444," * Newly Tested Positives "&amp;$L$20&amp;" "&amp;$M$21&amp;" is more than Total Positive Clients newly started on ART"&amp;CHAR(10),""),IF(N442&gt;N444," * Newly Tested Positives "&amp;$N$20&amp;" "&amp;$N$21&amp;" is more than Total Positive Clients newly started on ART"&amp;CHAR(10),""),IF(O442&gt;O444," * Newly Tested Positives "&amp;$N$20&amp;" "&amp;$O$21&amp;" is more than Total Positive Clients newly started on ART"&amp;CHAR(10),""),IF(P442&gt;P444," * Newly Tested Positives "&amp;$P$20&amp;" "&amp;$P$21&amp;" is more than Total Positive Clients newly started on ART"&amp;CHAR(10),""),IF(Q442&gt;Q444," * Newly Tested Positives "&amp;$P$20&amp;" "&amp;$Q$21&amp;" is more than Total Positive Clients newly started on ART"&amp;CHAR(10),""),IF(R442&gt;R444," * Newly Tested Positives "&amp;$R$20&amp;" "&amp;$R$21&amp;" is more than Total Positive Clients newly started on ART"&amp;CHAR(10),""),IF(S442&gt;S444," * Newly Tested Positives "&amp;$R$20&amp;" "&amp;$S$21&amp;" is more than Total Positive Clients newly started on ART"&amp;CHAR(10),""),IF(T442&gt;T444," * Newly Tested Positives "&amp;$T$20&amp;" "&amp;$T$21&amp;" is more than Total Positive Clients newly started on ART"&amp;CHAR(10),""),IF(U442&gt;U444," * Newly Tested Positives "&amp;$T$20&amp;" "&amp;$U$21&amp;" is more than Total Positive Clients newly started on ART"&amp;CHAR(10),""),IF(V442&gt;V444," * Newly Tested Positives "&amp;$V$20&amp;" "&amp;$V$21&amp;" is more than Total Positive Clients newly started on ART"&amp;CHAR(10),""),IF(W442&gt;W444," * Newly Tested Positives "&amp;$V$20&amp;" "&amp;$W$21&amp;" is more than Total Positive Clients newly started on ART"&amp;CHAR(10),""),IF(X442&gt;X444," * Newly Tested Positives "&amp;$X$20&amp;" "&amp;$X$21&amp;" is more than Total Positive Clients newly started on ART"&amp;CHAR(10),""),IF(Y442&gt;Y444," * Newly Tested Positives "&amp;$X$20&amp;" "&amp;$Y$21&amp;" is more than Total Positive Clients newly started on ART"&amp;CHAR(10),""),IF(Z442&gt;Z444," * Newly Tested Positives "&amp;$Z$20&amp;" "&amp;$Z$21&amp;" is more than Total Positive Clients newly started on ART"&amp;CHAR(10),""),IF(AA442&gt;AA444," * Newly Tested Positives "&amp;$Z$20&amp;" "&amp;$AA$21&amp;" is more than Total Positive Clients newly started on ART"&amp;CHAR(10),""))</f>
        <v/>
      </c>
      <c r="AN444" s="1289"/>
      <c r="AO444" s="13">
        <v>324</v>
      </c>
      <c r="AP444" s="80"/>
      <c r="AQ444" s="75"/>
    </row>
    <row r="445" spans="1:43" s="61" customFormat="1" ht="52.5" x14ac:dyDescent="0.4">
      <c r="A445" s="1260"/>
      <c r="B445" s="853" t="s">
        <v>503</v>
      </c>
      <c r="C445" s="831" t="s">
        <v>500</v>
      </c>
      <c r="D445" s="843"/>
      <c r="E445" s="843"/>
      <c r="F445" s="843"/>
      <c r="G445" s="843"/>
      <c r="H445" s="843"/>
      <c r="I445" s="843"/>
      <c r="J445" s="843"/>
      <c r="K445" s="843"/>
      <c r="L445" s="843"/>
      <c r="M445" s="843"/>
      <c r="N445" s="843"/>
      <c r="O445" s="843"/>
      <c r="P445" s="843"/>
      <c r="Q445" s="843"/>
      <c r="R445" s="843"/>
      <c r="S445" s="843"/>
      <c r="T445" s="843"/>
      <c r="U445" s="843"/>
      <c r="V445" s="843"/>
      <c r="W445" s="843"/>
      <c r="X445" s="843"/>
      <c r="Y445" s="843"/>
      <c r="Z445" s="826">
        <f>SUM(AB445,AD445,AF445,AH445)</f>
        <v>0</v>
      </c>
      <c r="AA445" s="826">
        <f>SUM(AC445,AE445,AG445,AI445)</f>
        <v>0</v>
      </c>
      <c r="AB445" s="843"/>
      <c r="AC445" s="843"/>
      <c r="AD445" s="843"/>
      <c r="AE445" s="843"/>
      <c r="AF445" s="843"/>
      <c r="AG445" s="843"/>
      <c r="AH445" s="843"/>
      <c r="AI445" s="843"/>
      <c r="AJ445" s="833">
        <f t="shared" si="119"/>
        <v>0</v>
      </c>
      <c r="AK445" s="841" t="str">
        <f>CONCATENATE(IF(D437&lt;&gt;D445," * TB Cases Already on ART at entry in TB clinic "&amp;$D$20&amp;" "&amp;$D$21&amp;" is Not equal to  TB cases with known HIV +ve status"&amp;CHAR(10),""),IF(E437&lt;&gt;E445," * TB Cases Already on ART at entry in TB clinic "&amp;$D$20&amp;" "&amp;$E$21&amp;" is Not equal to  TB cases with known HIV +ve status"&amp;CHAR(10),""),IF(F437&lt;&gt;F445," * TB Cases Already on ART at entry in TB clinic "&amp;$F$20&amp;" "&amp;$F$21&amp;" is Not equal to  TB cases with known HIV +ve status"&amp;CHAR(10),""),IF(G437&lt;&gt;G445," * TB Cases Already on ART at entry in TB clinic "&amp;$F$20&amp;" "&amp;$G$21&amp;" is Not equal to  TB cases with known HIV +ve status"&amp;CHAR(10),""),IF(H437&lt;&gt;H445," * TB Cases Already on ART at entry in TB clinic "&amp;$H$20&amp;" "&amp;$H$21&amp;" is Not equal to  TB cases with known HIV +ve status"&amp;CHAR(10),""),IF(I437&lt;&gt;I445," * TB Cases Already on ART at entry in TB clinic "&amp;$H$20&amp;" "&amp;$I$21&amp;" is Not equal to  TB cases with known HIV +ve status"&amp;CHAR(10),""),IF(J437&lt;&gt;J445," * TB Cases Already on ART at entry in TB clinic "&amp;$J$20&amp;" "&amp;$J$21&amp;" is Not equal to  TB cases with known HIV +ve status"&amp;CHAR(10),""),IF(K437&lt;&gt;K445," * TB Cases Already on ART at entry in TB clinic "&amp;$J$20&amp;" "&amp;$K$21&amp;" is Not equal to  TB cases with known HIV +ve status"&amp;CHAR(10),""),IF(L437&lt;&gt;L445," * TB Cases Already on ART at entry in TB clinic "&amp;$L$20&amp;" "&amp;$L$21&amp;" is Not equal to  TB cases with known HIV +ve status"&amp;CHAR(10),""),IF(M437&lt;&gt;M445," * TB Cases Already on ART at entry in TB clinic "&amp;$L$20&amp;" "&amp;$M$21&amp;" is Not equal to  TB cases with known HIV +ve status"&amp;CHAR(10),""),IF(N437&lt;&gt;N445," * TB Cases Already on ART at entry in TB clinic "&amp;$N$20&amp;" "&amp;$N$21&amp;" is Not equal to  TB cases with known HIV +ve status"&amp;CHAR(10),""),IF(O437&lt;&gt;O445," * TB Cases Already on ART at entry in TB clinic "&amp;$N$20&amp;" "&amp;$O$21&amp;" is Not equal to  TB cases with known HIV +ve status"&amp;CHAR(10),""),IF(P437&lt;&gt;P445," * TB Cases Already on ART at entry in TB clinic "&amp;$P$20&amp;" "&amp;$P$21&amp;" is Not equal to  TB cases with known HIV +ve status"&amp;CHAR(10),""),IF(Q437&lt;&gt;Q445," * TB Cases Already on ART at entry in TB clinic "&amp;$P$20&amp;" "&amp;$Q$21&amp;" is Not equal to  TB cases with known HIV +ve status"&amp;CHAR(10),""),IF(R437&lt;&gt;R445," * TB Cases Already on ART at entry in TB clinic "&amp;$R$20&amp;" "&amp;$R$21&amp;" is Not equal to  TB cases with known HIV +ve status"&amp;CHAR(10),""),IF(S437&lt;&gt;S445," * TB Cases Already on ART at entry in TB clinic "&amp;$R$20&amp;" "&amp;$S$21&amp;" is Not equal to  TB cases with known HIV +ve status"&amp;CHAR(10),""),IF(T437&lt;&gt;T445," * TB Cases Already on ART at entry in TB clinic "&amp;$T$20&amp;" "&amp;$T$21&amp;" is Not equal to  TB cases with known HIV +ve status"&amp;CHAR(10),""),IF(U437&lt;&gt;U445," * TB Cases Already on ART at entry in TB clinic "&amp;$T$20&amp;" "&amp;$U$21&amp;" is Not equal to  TB cases with known HIV +ve status"&amp;CHAR(10),""),IF(V437&lt;&gt;V445," * TB Cases Already on ART at entry in TB clinic "&amp;$V$20&amp;" "&amp;$V$21&amp;" is Not equal to  TB cases with known HIV +ve status"&amp;CHAR(10),""),IF(W437&lt;&gt;W445," * TB Cases Already on ART at entry in TB clinic "&amp;$V$20&amp;" "&amp;$W$21&amp;" is Not equal to  TB cases with known HIV +ve status"&amp;CHAR(10),""),IF(X437&lt;&gt;X445," * TB Cases Already on ART at entry in TB clinic "&amp;$X$20&amp;" "&amp;$X$21&amp;" is Not equal to  TB cases with known HIV +ve status"&amp;CHAR(10),""),IF(Y437&lt;&gt;Y445," * TB Cases Already on ART at entry in TB clinic "&amp;$X$20&amp;" "&amp;$Y$21&amp;" is Not equal to  TB cases with known HIV +ve status"&amp;CHAR(10),""),IF(Z437&lt;&gt;Z445," * TB Cases Already on ART at entry in TB clinic "&amp;$Z$20&amp;" "&amp;$Z$21&amp;" is Not equal to  TB cases with known HIV +ve status"&amp;CHAR(10),""),IF(AA437&lt;&gt;AA445," * TB Cases Already on ART at entry in TB clinic "&amp;$Z$20&amp;" "&amp;$AA$21&amp;" is Not equal to  TB cases with known HIV +ve status"&amp;CHAR(10),""))</f>
        <v/>
      </c>
      <c r="AL445" s="1287"/>
      <c r="AM445" s="835"/>
      <c r="AN445" s="1289"/>
      <c r="AO445" s="13">
        <v>325</v>
      </c>
      <c r="AP445" s="80"/>
      <c r="AQ445" s="75"/>
    </row>
    <row r="446" spans="1:43" s="61" customFormat="1" ht="27" thickBot="1" x14ac:dyDescent="0.45">
      <c r="A446" s="1261"/>
      <c r="B446" s="854" t="s">
        <v>509</v>
      </c>
      <c r="C446" s="855" t="s">
        <v>508</v>
      </c>
      <c r="D446" s="856">
        <f t="shared" ref="D446:Y446" si="128">D445+D444</f>
        <v>0</v>
      </c>
      <c r="E446" s="856">
        <f t="shared" si="128"/>
        <v>0</v>
      </c>
      <c r="F446" s="856">
        <f t="shared" si="128"/>
        <v>0</v>
      </c>
      <c r="G446" s="856">
        <f t="shared" si="128"/>
        <v>0</v>
      </c>
      <c r="H446" s="856">
        <f t="shared" si="128"/>
        <v>0</v>
      </c>
      <c r="I446" s="856">
        <f t="shared" si="128"/>
        <v>0</v>
      </c>
      <c r="J446" s="856">
        <f t="shared" si="128"/>
        <v>0</v>
      </c>
      <c r="K446" s="856">
        <f t="shared" si="128"/>
        <v>0</v>
      </c>
      <c r="L446" s="856">
        <f t="shared" si="128"/>
        <v>0</v>
      </c>
      <c r="M446" s="856">
        <f t="shared" si="128"/>
        <v>0</v>
      </c>
      <c r="N446" s="856">
        <f t="shared" si="128"/>
        <v>0</v>
      </c>
      <c r="O446" s="856">
        <f t="shared" si="128"/>
        <v>0</v>
      </c>
      <c r="P446" s="856">
        <f t="shared" si="128"/>
        <v>0</v>
      </c>
      <c r="Q446" s="856">
        <f t="shared" si="128"/>
        <v>0</v>
      </c>
      <c r="R446" s="856">
        <f t="shared" si="128"/>
        <v>0</v>
      </c>
      <c r="S446" s="856">
        <f t="shared" si="128"/>
        <v>0</v>
      </c>
      <c r="T446" s="856">
        <f t="shared" si="128"/>
        <v>0</v>
      </c>
      <c r="U446" s="856">
        <f t="shared" si="128"/>
        <v>0</v>
      </c>
      <c r="V446" s="856">
        <f t="shared" si="128"/>
        <v>0</v>
      </c>
      <c r="W446" s="856">
        <f t="shared" si="128"/>
        <v>0</v>
      </c>
      <c r="X446" s="856">
        <f t="shared" si="128"/>
        <v>0</v>
      </c>
      <c r="Y446" s="856">
        <f t="shared" si="128"/>
        <v>0</v>
      </c>
      <c r="Z446" s="826">
        <f>SUM(AB446,AD446,AF446,AH446)</f>
        <v>0</v>
      </c>
      <c r="AA446" s="826">
        <f>SUM(AC446,AE446,AG446,AI446)</f>
        <v>0</v>
      </c>
      <c r="AB446" s="856">
        <f t="shared" ref="AB446:AI446" si="129">AB445+AB444</f>
        <v>0</v>
      </c>
      <c r="AC446" s="856">
        <f t="shared" si="129"/>
        <v>0</v>
      </c>
      <c r="AD446" s="856">
        <f t="shared" si="129"/>
        <v>0</v>
      </c>
      <c r="AE446" s="856">
        <f t="shared" si="129"/>
        <v>0</v>
      </c>
      <c r="AF446" s="856">
        <f t="shared" si="129"/>
        <v>0</v>
      </c>
      <c r="AG446" s="856">
        <f t="shared" si="129"/>
        <v>0</v>
      </c>
      <c r="AH446" s="856">
        <f t="shared" si="129"/>
        <v>0</v>
      </c>
      <c r="AI446" s="856">
        <f t="shared" si="129"/>
        <v>0</v>
      </c>
      <c r="AJ446" s="857">
        <f t="shared" si="119"/>
        <v>0</v>
      </c>
      <c r="AK446" s="841" t="str">
        <f>CONCATENATE(IF(D441&lt;D446," * HIV coinfected clients started on ART "&amp;$D$20&amp;" "&amp;$D$21&amp;" is more than TB cases with documented HIV status"&amp;CHAR(10),""),IF(E441&lt;E446," * HIV coinfected clients started on ART "&amp;$D$20&amp;" "&amp;$E$21&amp;" is more than TB cases with documented HIV status"&amp;CHAR(10),""),IF(F441&lt;F446," * HIV coinfected clients started on ART "&amp;$F$20&amp;" "&amp;$F$21&amp;" is more than TB cases with documented HIV status"&amp;CHAR(10),""),IF(G441&lt;G446," * HIV coinfected clients started on ART "&amp;$F$20&amp;" "&amp;$G$21&amp;" is more than TB cases with documented HIV status"&amp;CHAR(10),""),IF(H441&lt;H446," * HIV coinfected clients started on ART "&amp;$H$20&amp;" "&amp;$H$21&amp;" is more than TB cases with documented HIV status"&amp;CHAR(10),""),IF(I441&lt;I446," * HIV coinfected clients started on ART "&amp;$H$20&amp;" "&amp;$I$21&amp;" is more than TB cases with documented HIV status"&amp;CHAR(10),""),IF(J441&lt;J446," * HIV coinfected clients started on ART "&amp;$J$20&amp;" "&amp;$J$21&amp;" is more than TB cases with documented HIV status"&amp;CHAR(10),""),IF(K441&lt;K446," * HIV coinfected clients started on ART "&amp;$J$20&amp;" "&amp;$K$21&amp;" is more than TB cases with documented HIV status"&amp;CHAR(10),""),IF(L441&lt;L446," * HIV coinfected clients started on ART "&amp;$L$20&amp;" "&amp;$L$21&amp;" is more than TB cases with documented HIV status"&amp;CHAR(10),""),IF(M441&lt;M446," * HIV coinfected clients started on ART "&amp;$L$20&amp;" "&amp;$M$21&amp;" is more than TB cases with documented HIV status"&amp;CHAR(10),""),IF(N441&lt;N446," * HIV coinfected clients started on ART "&amp;$N$20&amp;" "&amp;$N$21&amp;" is more than TB cases with documented HIV status"&amp;CHAR(10),""),IF(O441&lt;O446," * HIV coinfected clients started on ART "&amp;$N$20&amp;" "&amp;$O$21&amp;" is more than TB cases with documented HIV status"&amp;CHAR(10),""),IF(P441&lt;P446," * HIV coinfected clients started on ART "&amp;$P$20&amp;" "&amp;$P$21&amp;" is more than TB cases with documented HIV status"&amp;CHAR(10),""),IF(Q441&lt;Q446," * HIV coinfected clients started on ART "&amp;$P$20&amp;" "&amp;$Q$21&amp;" is more than TB cases with documented HIV status"&amp;CHAR(10),""),IF(R441&lt;R446," * HIV coinfected clients started on ART "&amp;$R$20&amp;" "&amp;$R$21&amp;" is more than TB cases with documented HIV status"&amp;CHAR(10),""),IF(S441&lt;S446," * HIV coinfected clients started on ART "&amp;$R$20&amp;" "&amp;$S$21&amp;" is more than TB cases with documented HIV status"&amp;CHAR(10),""),IF(T441&lt;T446," * HIV coinfected clients started on ART "&amp;$T$20&amp;" "&amp;$T$21&amp;" is more than TB cases with documented HIV status"&amp;CHAR(10),""),IF(U441&lt;U446," * HIV coinfected clients started on ART "&amp;$T$20&amp;" "&amp;$U$21&amp;" is more than TB cases with documented HIV status"&amp;CHAR(10),""),IF(V441&lt;V446," * HIV coinfected clients started on ART "&amp;$V$20&amp;" "&amp;$V$21&amp;" is more than TB cases with documented HIV status"&amp;CHAR(10),""),IF(W441&lt;W446," * HIV coinfected clients started on ART "&amp;$V$20&amp;" "&amp;$W$21&amp;" is more than TB cases with documented HIV status"&amp;CHAR(10),""),IF(X441&lt;X446," * HIV coinfected clients started on ART "&amp;$X$20&amp;" "&amp;$X$21&amp;" is more than TB cases with documented HIV status"&amp;CHAR(10),""),IF(Y441&lt;Y446," * HIV coinfected clients started on ART "&amp;$X$20&amp;" "&amp;$Y$21&amp;" is more than TB cases with documented HIV status"&amp;CHAR(10),""),IF(Z441&lt;Z446," * HIV coinfected clients started on ART "&amp;$Z$20&amp;" "&amp;$Z$21&amp;" is more than TB cases with documented HIV status"&amp;CHAR(10),""),IF(AA441&lt;AA446," * HIV coinfected clients started on ART "&amp;$Z$20&amp;" "&amp;$AA$21&amp;" is more than TB cases with documented HIV status"&amp;CHAR(10),""))</f>
        <v/>
      </c>
      <c r="AL446" s="1288"/>
      <c r="AM446" s="835"/>
      <c r="AN446" s="1290"/>
      <c r="AO446" s="13">
        <v>326</v>
      </c>
      <c r="AP446" s="80"/>
      <c r="AQ446" s="75"/>
    </row>
    <row r="447" spans="1:43" ht="27" hidden="1" thickBot="1" x14ac:dyDescent="0.45">
      <c r="A447" s="1276" t="s">
        <v>874</v>
      </c>
      <c r="B447" s="1276"/>
      <c r="C447" s="1276"/>
      <c r="D447" s="1276"/>
      <c r="E447" s="1276"/>
      <c r="F447" s="1276"/>
      <c r="G447" s="1276"/>
      <c r="H447" s="1276"/>
      <c r="I447" s="1276"/>
      <c r="J447" s="1276"/>
      <c r="K447" s="1276"/>
      <c r="L447" s="1276"/>
      <c r="M447" s="1276"/>
      <c r="N447" s="1276"/>
      <c r="O447" s="1276"/>
      <c r="P447" s="1276"/>
      <c r="Q447" s="1276"/>
      <c r="R447" s="1276"/>
      <c r="S447" s="1276"/>
      <c r="T447" s="1276"/>
      <c r="U447" s="1276"/>
      <c r="V447" s="1276"/>
      <c r="W447" s="1276"/>
      <c r="X447" s="1276"/>
      <c r="Y447" s="1276"/>
      <c r="Z447" s="1276"/>
      <c r="AA447" s="1276"/>
      <c r="AB447" s="1276"/>
      <c r="AC447" s="1276"/>
      <c r="AD447" s="1276"/>
      <c r="AE447" s="1276"/>
      <c r="AF447" s="1276"/>
      <c r="AG447" s="1276"/>
      <c r="AH447" s="1276"/>
      <c r="AI447" s="1276"/>
      <c r="AJ447" s="1276"/>
      <c r="AK447" s="1277"/>
      <c r="AL447" s="1276"/>
      <c r="AM447" s="1278"/>
      <c r="AN447" s="1279"/>
      <c r="AO447" s="13">
        <v>327</v>
      </c>
      <c r="AP447" s="74"/>
      <c r="AQ447" s="75"/>
    </row>
    <row r="448" spans="1:43" ht="53.25" hidden="1" thickBot="1" x14ac:dyDescent="0.45">
      <c r="A448" s="247" t="s">
        <v>876</v>
      </c>
      <c r="B448" s="247" t="s">
        <v>875</v>
      </c>
      <c r="C448" s="546" t="s">
        <v>873</v>
      </c>
      <c r="D448" s="248"/>
      <c r="E448" s="249"/>
      <c r="F448" s="248"/>
      <c r="G448" s="249"/>
      <c r="H448" s="248"/>
      <c r="I448" s="249"/>
      <c r="J448" s="94"/>
      <c r="K448" s="94"/>
      <c r="L448" s="94"/>
      <c r="M448" s="94"/>
      <c r="N448" s="94"/>
      <c r="O448" s="94"/>
      <c r="P448" s="94"/>
      <c r="Q448" s="94"/>
      <c r="R448" s="94"/>
      <c r="S448" s="94"/>
      <c r="T448" s="94"/>
      <c r="U448" s="94"/>
      <c r="V448" s="94"/>
      <c r="W448" s="94"/>
      <c r="X448" s="94"/>
      <c r="Y448" s="94"/>
      <c r="Z448" s="94"/>
      <c r="AA448" s="94"/>
      <c r="AB448" s="293"/>
      <c r="AC448" s="293"/>
      <c r="AD448" s="293"/>
      <c r="AE448" s="293"/>
      <c r="AF448" s="293"/>
      <c r="AG448" s="293"/>
      <c r="AH448" s="293"/>
      <c r="AI448" s="293"/>
      <c r="AJ448" s="65">
        <f>SUM(D448:AA448)</f>
        <v>0</v>
      </c>
      <c r="AK448" s="30"/>
      <c r="AL448" s="251"/>
      <c r="AM448" s="252" t="str">
        <f>CONCATENATE(IF(D446&gt;D448," * Newly Tested Positives "&amp;$D$20&amp;" "&amp;$D$21&amp;" is more than Total Positive Clients newly started on ART"&amp;CHAR(10),""),IF(E446&gt;E448," * Newly Tested Positives "&amp;$D$20&amp;" "&amp;$E$21&amp;" is more than Total Positive Clients newly started on ART"&amp;CHAR(10),""),IF(F446&gt;F448," * Newly Tested Positives "&amp;$F$20&amp;" "&amp;$F$21&amp;" is more than Total Positive Clients newly started on ART"&amp;CHAR(10),""),IF(G446&gt;G448," * Newly Tested Positives "&amp;$F$20&amp;" "&amp;$G$21&amp;" is more than Total Positive Clients newly started on ART"&amp;CHAR(10),""),IF(H446&gt;H448," * Newly Tested Positives "&amp;$H$20&amp;" "&amp;$H$21&amp;" is more than Total Positive Clients newly started on ART"&amp;CHAR(10),""),IF(I446&gt;I448," * Newly Tested Positives "&amp;$H$20&amp;" "&amp;$I$21&amp;" is more than Total Positive Clients newly started on ART"&amp;CHAR(10),""),IF(J446&gt;J448," * Newly Tested Positives "&amp;$J$20&amp;" "&amp;$J$21&amp;" is more than Total Positive Clients newly started on ART"&amp;CHAR(10),""),IF(K446&gt;K448," * Newly Tested Positives "&amp;$J$20&amp;" "&amp;$K$21&amp;" is more than Total Positive Clients newly started on ART"&amp;CHAR(10),""),IF(L446&gt;L448," * Newly Tested Positives "&amp;$L$20&amp;" "&amp;$L$21&amp;" is more than Total Positive Clients newly started on ART"&amp;CHAR(10),""),IF(M446&gt;M448," * Newly Tested Positives "&amp;$L$20&amp;" "&amp;$M$21&amp;" is more than Total Positive Clients newly started on ART"&amp;CHAR(10),""),IF(N446&gt;N448," * Newly Tested Positives "&amp;$N$20&amp;" "&amp;$N$21&amp;" is more than Total Positive Clients newly started on ART"&amp;CHAR(10),""),IF(O446&gt;O448," * Newly Tested Positives "&amp;$N$20&amp;" "&amp;$O$21&amp;" is more than Total Positive Clients newly started on ART"&amp;CHAR(10),""),IF(P446&gt;P448," * Newly Tested Positives "&amp;$P$20&amp;" "&amp;$P$21&amp;" is more than Total Positive Clients newly started on ART"&amp;CHAR(10),""),IF(Q446&gt;Q448," * Newly Tested Positives "&amp;$P$20&amp;" "&amp;$Q$21&amp;" is more than Total Positive Clients newly started on ART"&amp;CHAR(10),""),IF(R446&gt;R448," * Newly Tested Positives "&amp;$R$20&amp;" "&amp;$R$21&amp;" is more than Total Positive Clients newly started on ART"&amp;CHAR(10),""),IF(S446&gt;S448," * Newly Tested Positives "&amp;$R$20&amp;" "&amp;$S$21&amp;" is more than Total Positive Clients newly started on ART"&amp;CHAR(10),""),IF(T446&gt;T448," * Newly Tested Positives "&amp;$T$20&amp;" "&amp;$T$21&amp;" is more than Total Positive Clients newly started on ART"&amp;CHAR(10),""),IF(U446&gt;U448," * Newly Tested Positives "&amp;$T$20&amp;" "&amp;$U$21&amp;" is more than Total Positive Clients newly started on ART"&amp;CHAR(10),""),IF(V446&gt;V448," * Newly Tested Positives "&amp;$V$20&amp;" "&amp;$V$21&amp;" is more than Total Positive Clients newly started on ART"&amp;CHAR(10),""),IF(W446&gt;W448," * Newly Tested Positives "&amp;$V$20&amp;" "&amp;$W$21&amp;" is more than Total Positive Clients newly started on ART"&amp;CHAR(10),""),IF(X446&gt;X448," * Newly Tested Positives "&amp;$X$20&amp;" "&amp;$X$21&amp;" is more than Total Positive Clients newly started on ART"&amp;CHAR(10),""),IF(Y446&gt;Y448," * Newly Tested Positives "&amp;$X$20&amp;" "&amp;$Y$21&amp;" is more than Total Positive Clients newly started on ART"&amp;CHAR(10),""),IF(Z446&gt;Z448," * Newly Tested Positives "&amp;$Z$20&amp;" "&amp;$Z$21&amp;" is more than Total Positive Clients newly started on ART"&amp;CHAR(10),""),IF(AA446&gt;AA448," * Newly Tested Positives "&amp;$Z$20&amp;" "&amp;$AA$21&amp;" is more than Total Positive Clients newly started on ART"&amp;CHAR(10),""))</f>
        <v/>
      </c>
      <c r="AN448" s="253"/>
      <c r="AO448" s="13">
        <v>328</v>
      </c>
      <c r="AP448" s="74"/>
      <c r="AQ448" s="75"/>
    </row>
    <row r="449" spans="1:43" ht="36.75" customHeight="1" thickBot="1" x14ac:dyDescent="0.45">
      <c r="A449" s="1249" t="s">
        <v>999</v>
      </c>
      <c r="B449" s="1250"/>
      <c r="C449" s="1250"/>
      <c r="D449" s="1250"/>
      <c r="E449" s="1250"/>
      <c r="F449" s="1250"/>
      <c r="G449" s="1250"/>
      <c r="H449" s="1250"/>
      <c r="I449" s="1250"/>
      <c r="J449" s="1250"/>
      <c r="K449" s="1250"/>
      <c r="L449" s="1250"/>
      <c r="M449" s="1250"/>
      <c r="N449" s="1250"/>
      <c r="O449" s="1250"/>
      <c r="P449" s="1250"/>
      <c r="Q449" s="1250"/>
      <c r="R449" s="1250"/>
      <c r="S449" s="1250"/>
      <c r="T449" s="1250"/>
      <c r="U449" s="1250"/>
      <c r="V449" s="1250"/>
      <c r="W449" s="1250"/>
      <c r="X449" s="1250"/>
      <c r="Y449" s="1250"/>
      <c r="Z449" s="1250"/>
      <c r="AA449" s="1250"/>
      <c r="AB449" s="1250"/>
      <c r="AC449" s="1250"/>
      <c r="AD449" s="1250"/>
      <c r="AE449" s="1250"/>
      <c r="AF449" s="1250"/>
      <c r="AG449" s="1250"/>
      <c r="AH449" s="1250"/>
      <c r="AI449" s="1250"/>
      <c r="AJ449" s="1250"/>
      <c r="AK449" s="1250"/>
      <c r="AL449" s="1250"/>
      <c r="AM449" s="1250"/>
      <c r="AN449" s="1362"/>
      <c r="AO449" s="444"/>
      <c r="AP449" s="446"/>
      <c r="AQ449" s="446"/>
    </row>
    <row r="450" spans="1:43" s="14" customFormat="1" ht="33" customHeight="1" x14ac:dyDescent="0.4">
      <c r="A450" s="1214" t="s">
        <v>35</v>
      </c>
      <c r="B450" s="1200" t="s">
        <v>307</v>
      </c>
      <c r="C450" s="1192" t="s">
        <v>291</v>
      </c>
      <c r="D450" s="1195" t="s">
        <v>0</v>
      </c>
      <c r="E450" s="1195"/>
      <c r="F450" s="1195" t="s">
        <v>1</v>
      </c>
      <c r="G450" s="1195"/>
      <c r="H450" s="1195" t="s">
        <v>2</v>
      </c>
      <c r="I450" s="1195"/>
      <c r="J450" s="1195" t="s">
        <v>3</v>
      </c>
      <c r="K450" s="1195"/>
      <c r="L450" s="1195" t="s">
        <v>4</v>
      </c>
      <c r="M450" s="1195"/>
      <c r="N450" s="1195" t="s">
        <v>5</v>
      </c>
      <c r="O450" s="1195"/>
      <c r="P450" s="1195" t="s">
        <v>6</v>
      </c>
      <c r="Q450" s="1195"/>
      <c r="R450" s="1195" t="s">
        <v>7</v>
      </c>
      <c r="S450" s="1195"/>
      <c r="T450" s="1195" t="s">
        <v>8</v>
      </c>
      <c r="U450" s="1195"/>
      <c r="V450" s="1195" t="s">
        <v>23</v>
      </c>
      <c r="W450" s="1195"/>
      <c r="X450" s="1195" t="s">
        <v>24</v>
      </c>
      <c r="Y450" s="1195"/>
      <c r="Z450" s="1195" t="s">
        <v>9</v>
      </c>
      <c r="AA450" s="1195"/>
      <c r="AB450" s="1207" t="s">
        <v>912</v>
      </c>
      <c r="AC450" s="1218"/>
      <c r="AD450" s="1207" t="s">
        <v>913</v>
      </c>
      <c r="AE450" s="1218"/>
      <c r="AF450" s="1207" t="s">
        <v>1074</v>
      </c>
      <c r="AG450" s="1218"/>
      <c r="AH450" s="1207" t="s">
        <v>1075</v>
      </c>
      <c r="AI450" s="1218"/>
      <c r="AJ450" s="1265" t="s">
        <v>19</v>
      </c>
      <c r="AK450" s="1267" t="s">
        <v>340</v>
      </c>
      <c r="AL450" s="1241" t="s">
        <v>346</v>
      </c>
      <c r="AM450" s="1236" t="s">
        <v>347</v>
      </c>
      <c r="AN450" s="1255" t="s">
        <v>347</v>
      </c>
      <c r="AO450" s="444"/>
      <c r="AP450" s="446"/>
      <c r="AQ450" s="446"/>
    </row>
    <row r="451" spans="1:43" s="14" customFormat="1" ht="33" customHeight="1" thickBot="1" x14ac:dyDescent="0.45">
      <c r="A451" s="1363"/>
      <c r="B451" s="1201"/>
      <c r="C451" s="1301"/>
      <c r="D451" s="269" t="s">
        <v>10</v>
      </c>
      <c r="E451" s="269" t="s">
        <v>11</v>
      </c>
      <c r="F451" s="269" t="s">
        <v>10</v>
      </c>
      <c r="G451" s="269" t="s">
        <v>11</v>
      </c>
      <c r="H451" s="269" t="s">
        <v>10</v>
      </c>
      <c r="I451" s="269" t="s">
        <v>11</v>
      </c>
      <c r="J451" s="269" t="s">
        <v>10</v>
      </c>
      <c r="K451" s="269" t="s">
        <v>11</v>
      </c>
      <c r="L451" s="269" t="s">
        <v>10</v>
      </c>
      <c r="M451" s="269" t="s">
        <v>11</v>
      </c>
      <c r="N451" s="269" t="s">
        <v>10</v>
      </c>
      <c r="O451" s="269" t="s">
        <v>11</v>
      </c>
      <c r="P451" s="269" t="s">
        <v>10</v>
      </c>
      <c r="Q451" s="269" t="s">
        <v>11</v>
      </c>
      <c r="R451" s="269" t="s">
        <v>10</v>
      </c>
      <c r="S451" s="269" t="s">
        <v>11</v>
      </c>
      <c r="T451" s="269" t="s">
        <v>10</v>
      </c>
      <c r="U451" s="269" t="s">
        <v>11</v>
      </c>
      <c r="V451" s="269" t="s">
        <v>10</v>
      </c>
      <c r="W451" s="269" t="s">
        <v>11</v>
      </c>
      <c r="X451" s="269" t="s">
        <v>10</v>
      </c>
      <c r="Y451" s="269" t="s">
        <v>11</v>
      </c>
      <c r="Z451" s="269" t="s">
        <v>10</v>
      </c>
      <c r="AA451" s="269" t="s">
        <v>11</v>
      </c>
      <c r="AB451" s="269" t="s">
        <v>10</v>
      </c>
      <c r="AC451" s="269" t="s">
        <v>11</v>
      </c>
      <c r="AD451" s="269" t="s">
        <v>10</v>
      </c>
      <c r="AE451" s="269" t="s">
        <v>11</v>
      </c>
      <c r="AF451" s="269" t="s">
        <v>10</v>
      </c>
      <c r="AG451" s="269" t="s">
        <v>11</v>
      </c>
      <c r="AH451" s="269" t="s">
        <v>10</v>
      </c>
      <c r="AI451" s="269" t="s">
        <v>11</v>
      </c>
      <c r="AJ451" s="1266"/>
      <c r="AK451" s="1268"/>
      <c r="AL451" s="1242"/>
      <c r="AM451" s="1316"/>
      <c r="AN451" s="1256"/>
      <c r="AO451" s="444"/>
      <c r="AP451" s="446"/>
      <c r="AQ451" s="446"/>
    </row>
    <row r="452" spans="1:43" s="83" customFormat="1" ht="27" thickBot="1" x14ac:dyDescent="0.45">
      <c r="A452" s="1203" t="s">
        <v>100</v>
      </c>
      <c r="B452" s="689" t="s">
        <v>128</v>
      </c>
      <c r="C452" s="693" t="s">
        <v>1000</v>
      </c>
      <c r="D452" s="676"/>
      <c r="E452" s="704"/>
      <c r="F452" s="715">
        <f t="shared" ref="F452:AI452" si="130">F28</f>
        <v>0</v>
      </c>
      <c r="G452" s="461">
        <f t="shared" si="130"/>
        <v>0</v>
      </c>
      <c r="H452" s="461">
        <f t="shared" si="130"/>
        <v>0</v>
      </c>
      <c r="I452" s="461">
        <f t="shared" si="130"/>
        <v>0</v>
      </c>
      <c r="J452" s="461">
        <f t="shared" si="130"/>
        <v>0</v>
      </c>
      <c r="K452" s="461">
        <f t="shared" si="130"/>
        <v>0</v>
      </c>
      <c r="L452" s="461">
        <f t="shared" si="130"/>
        <v>0</v>
      </c>
      <c r="M452" s="461">
        <f t="shared" si="130"/>
        <v>0</v>
      </c>
      <c r="N452" s="461">
        <f t="shared" si="130"/>
        <v>0</v>
      </c>
      <c r="O452" s="461">
        <f t="shared" si="130"/>
        <v>0</v>
      </c>
      <c r="P452" s="461">
        <f t="shared" si="130"/>
        <v>0</v>
      </c>
      <c r="Q452" s="461">
        <f t="shared" si="130"/>
        <v>0</v>
      </c>
      <c r="R452" s="461">
        <f t="shared" si="130"/>
        <v>0</v>
      </c>
      <c r="S452" s="461">
        <f t="shared" si="130"/>
        <v>0</v>
      </c>
      <c r="T452" s="461">
        <f t="shared" si="130"/>
        <v>0</v>
      </c>
      <c r="U452" s="461">
        <f t="shared" si="130"/>
        <v>0</v>
      </c>
      <c r="V452" s="461">
        <f t="shared" si="130"/>
        <v>0</v>
      </c>
      <c r="W452" s="461">
        <f t="shared" si="130"/>
        <v>0</v>
      </c>
      <c r="X452" s="461">
        <f t="shared" si="130"/>
        <v>0</v>
      </c>
      <c r="Y452" s="461">
        <f t="shared" si="130"/>
        <v>0</v>
      </c>
      <c r="Z452" s="461">
        <f t="shared" si="130"/>
        <v>0</v>
      </c>
      <c r="AA452" s="461">
        <f t="shared" si="130"/>
        <v>0</v>
      </c>
      <c r="AB452" s="461">
        <f t="shared" si="130"/>
        <v>0</v>
      </c>
      <c r="AC452" s="461">
        <f t="shared" si="130"/>
        <v>0</v>
      </c>
      <c r="AD452" s="461">
        <f t="shared" si="130"/>
        <v>0</v>
      </c>
      <c r="AE452" s="461">
        <f t="shared" si="130"/>
        <v>0</v>
      </c>
      <c r="AF452" s="461">
        <f t="shared" si="130"/>
        <v>0</v>
      </c>
      <c r="AG452" s="461">
        <f t="shared" si="130"/>
        <v>0</v>
      </c>
      <c r="AH452" s="461">
        <f t="shared" si="130"/>
        <v>0</v>
      </c>
      <c r="AI452" s="461">
        <f t="shared" si="130"/>
        <v>0</v>
      </c>
      <c r="AJ452" s="451">
        <f t="shared" ref="AJ452:AJ460" si="131">SUM(D452:AA452)</f>
        <v>0</v>
      </c>
      <c r="AK452" s="512" t="str">
        <f>CONCATENATE(IF((D453+D454+D455+D456)&lt;&gt;D452," * "&amp;$A452&amp;" , "&amp;$B453&amp;" plus "&amp;$B454&amp;" plus "&amp;$B455&amp;" plus "&amp;$B456&amp;" For age "&amp;$D$20&amp;" "&amp;$D$21&amp;" should be equal to "&amp;$B452&amp;""&amp;CHAR(10),""),IF((E453+E454+E455+E456)&lt;&gt;E452," * "&amp;$A452&amp;" , "&amp;$B453&amp;" plus "&amp;$B454&amp;" plus "&amp;$B455&amp;" plus "&amp;$B456&amp;" For age "&amp;$D$20&amp;" "&amp;$E$21&amp;" should be equal to "&amp;$B452&amp;""&amp;CHAR(10),""),IF((F453+F454+F455+F456)&lt;&gt;F452," * "&amp;$A452&amp;" , "&amp;$B453&amp;" plus "&amp;$B454&amp;" plus "&amp;$B455&amp;" plus "&amp;$B456&amp;" For age "&amp;$F$20&amp;" "&amp;$F$21&amp;" should be equal to "&amp;$B452&amp;""&amp;CHAR(10),""),IF((G453+G454+G455+G456)&lt;&gt;G452," * "&amp;$A452&amp;" , "&amp;$B453&amp;" plus "&amp;$B454&amp;" plus "&amp;$B455&amp;" plus "&amp;$B456&amp;" For age "&amp;$F$20&amp;" "&amp;$G$21&amp;" should be equal to "&amp;$B452&amp;""&amp;CHAR(10),""),IF((H453+H454+H455+H456)&lt;&gt;H452," * "&amp;$A452&amp;" , "&amp;$B453&amp;" plus "&amp;$B454&amp;" plus "&amp;$B455&amp;" plus "&amp;$B456&amp;" For age "&amp;$H$20&amp;" "&amp;$H$21&amp;" should be equal to "&amp;$B452&amp;""&amp;CHAR(10),""),IF((I453+I454+I455+I456)&lt;&gt;I452," * "&amp;$A452&amp;" , "&amp;$B453&amp;" plus "&amp;$B454&amp;" plus "&amp;$B455&amp;" plus "&amp;$B456&amp;" For age "&amp;$H$20&amp;" "&amp;$I$21&amp;" should be equal to "&amp;$B452&amp;""&amp;CHAR(10),""),IF((J453+J454+J455+J456)&lt;&gt;J452," * "&amp;$A452&amp;" , "&amp;$B453&amp;" plus "&amp;$B454&amp;" plus "&amp;$B455&amp;" plus "&amp;$B456&amp;" For age "&amp;$J$20&amp;" "&amp;$J$21&amp;" should be equal to "&amp;$B452&amp;""&amp;CHAR(10),""),IF((K453+K454+K455+K456)&lt;&gt;K452," * "&amp;$A452&amp;" , "&amp;$B453&amp;" plus "&amp;$B454&amp;" plus "&amp;$B455&amp;" plus "&amp;$B456&amp;" For age "&amp;$J$20&amp;" "&amp;$K$21&amp;" should be equal to "&amp;$B452&amp;""&amp;CHAR(10),""),IF((L453+L454+L455+L456)&lt;&gt;L452," * "&amp;$A452&amp;" , "&amp;$B453&amp;" plus "&amp;$B454&amp;" plus "&amp;$B455&amp;" plus "&amp;$B456&amp;" For age "&amp;$L$20&amp;" "&amp;$L$21&amp;" should be equal to "&amp;$B452&amp;""&amp;CHAR(10),""),IF((M453+M454+M455+M456)&lt;&gt;M452," * "&amp;$A452&amp;" , "&amp;$B453&amp;" plus "&amp;$B454&amp;" plus "&amp;$B455&amp;" plus "&amp;$B456&amp;" For age "&amp;$L$20&amp;" "&amp;$M$21&amp;" should be equal to "&amp;$B452&amp;""&amp;CHAR(10),""),IF((N453+N454+N455+N456)&lt;&gt;N452," * "&amp;$A452&amp;" , "&amp;$B453&amp;" plus "&amp;$B454&amp;" plus "&amp;$B455&amp;" plus "&amp;$B456&amp;" For age "&amp;$N$20&amp;" "&amp;$N$21&amp;" should be equal to "&amp;$B452&amp;""&amp;CHAR(10),""),IF((O453+O454+O455+O456)&lt;&gt;O452," * "&amp;$A452&amp;" , "&amp;$B453&amp;" plus "&amp;$B454&amp;" plus "&amp;$B455&amp;" plus "&amp;$B456&amp;" For age "&amp;$N$20&amp;" "&amp;$O$21&amp;" should be equal to "&amp;$B452&amp;""&amp;CHAR(10),""),IF((P453+P454+P455+P456)&lt;&gt;P452," * "&amp;$A452&amp;" , "&amp;$B453&amp;" plus "&amp;$B454&amp;" plus "&amp;$B455&amp;" plus "&amp;$B456&amp;" For age "&amp;$P$20&amp;" "&amp;$P$21&amp;" should be equal to "&amp;$B452&amp;""&amp;CHAR(10),""),IF((Q453+Q454+Q455+Q456)&lt;&gt;Q452," * "&amp;$A452&amp;" , "&amp;$B453&amp;" plus "&amp;$B454&amp;" plus "&amp;$B455&amp;" plus "&amp;$B456&amp;" For age "&amp;$P$20&amp;" "&amp;$Q$21&amp;" should be equal to "&amp;$B452&amp;""&amp;CHAR(10),""),IF((R453+R454+R455+R456)&lt;&gt;R452," * "&amp;$A452&amp;" , "&amp;$B453&amp;" plus "&amp;$B454&amp;" plus "&amp;$B455&amp;" plus "&amp;$B456&amp;" For age "&amp;$R$20&amp;" "&amp;$R$21&amp;" should be equal to "&amp;$B452&amp;""&amp;CHAR(10),""),IF((S453+S454+S455+S456)&lt;&gt;S452," * "&amp;$A452&amp;" , "&amp;$B453&amp;" plus "&amp;$B454&amp;" plus "&amp;$B455&amp;" plus "&amp;$B456&amp;" For age "&amp;$R$20&amp;" "&amp;$S$21&amp;" should be equal to "&amp;$B452&amp;""&amp;CHAR(10),""),IF((T453+T454+T455+T456)&lt;&gt;T452," * "&amp;$A452&amp;" , "&amp;$B453&amp;" plus "&amp;$B454&amp;" plus "&amp;$B455&amp;" plus "&amp;$B456&amp;" For age "&amp;$T$20&amp;" "&amp;$T$21&amp;" should be equal to "&amp;$B452&amp;""&amp;CHAR(10),""),IF((U453+U454+U455+U456)&lt;&gt;U452," * "&amp;$A452&amp;" , "&amp;$B453&amp;" plus "&amp;$B454&amp;" plus "&amp;$B455&amp;" plus "&amp;$B456&amp;" For age "&amp;$T$20&amp;" "&amp;$U$21&amp;" should be equal to "&amp;$B452&amp;""&amp;CHAR(10),""),IF((V453+V454+V455+V456)&lt;&gt;V452," * "&amp;$A452&amp;" , "&amp;$B453&amp;" plus "&amp;$B454&amp;" plus "&amp;$B455&amp;" plus "&amp;$B456&amp;" For age "&amp;$V$20&amp;" "&amp;$V$21&amp;" should be equal to "&amp;$B452&amp;""&amp;CHAR(10),""),IF((W453+W454+W455+W456)&lt;&gt;W452," * "&amp;$A452&amp;" , "&amp;$B453&amp;" plus "&amp;$B454&amp;" plus "&amp;$B455&amp;" plus "&amp;$B456&amp;" For age "&amp;$V$20&amp;" "&amp;$W$21&amp;" should be equal to "&amp;$B452&amp;""&amp;CHAR(10),""),IF((X453+X454+X455+X456)&lt;&gt;X452," * "&amp;$A452&amp;" , "&amp;$B453&amp;" plus "&amp;$B454&amp;" plus "&amp;$B455&amp;" plus "&amp;$B456&amp;" For age "&amp;$X$20&amp;" "&amp;$X$21&amp;" should be equal to "&amp;$B452&amp;""&amp;CHAR(10),""),IF((Y453+Y454+Y455+Y456)&lt;&gt;Y452," * "&amp;$A452&amp;" , "&amp;$B453&amp;" plus "&amp;$B454&amp;" plus "&amp;$B455&amp;" plus "&amp;$B456&amp;" For age "&amp;$X$20&amp;" "&amp;$Y$21&amp;" should be equal to "&amp;$B452&amp;""&amp;CHAR(10),""),IF((Z453+Z454+Z455+Z456)&lt;&gt;Z452," * "&amp;$A452&amp;" , "&amp;$B453&amp;" plus "&amp;$B454&amp;" plus "&amp;$B455&amp;" plus "&amp;$B456&amp;" For age "&amp;$Z$20&amp;" "&amp;$Z$21&amp;" should be equal to "&amp;$B452&amp;""&amp;CHAR(10),""),IF((AA453+AA454+AA455+AA456)&lt;&gt;AA452," * "&amp;$A452&amp;" , "&amp;$B453&amp;" plus "&amp;$B454&amp;" plus "&amp;$B455&amp;" plus "&amp;$B456&amp;" For age "&amp;$Z$20&amp;" "&amp;$AA$21&amp;" should be equal to "&amp;$B452&amp;""&amp;CHAR(10),""))</f>
        <v/>
      </c>
      <c r="AL452" s="1455" t="str">
        <f>CONCATENATE(AK452,AK453,AK456,AK457,AK458,AK460,AK461,AK462,AK463,AK465,AK466,AK467,AK468,AK470,AK471,AK472,AK473,AK475,AK476,AK477,AK478,AK480,AK481,AK482,AK483,AK485,AK486,AK487,AK488,AK491,AK455,AK490,AK492,AK493,AK495,AK496,AK497,AK498,AK500,AK501,AK502,AK503,AK506,AK505,AK507,AK508,AK510,AK511,AK512,AK513,AK515,AK516)</f>
        <v/>
      </c>
      <c r="AM452" s="31"/>
      <c r="AN452" s="743"/>
      <c r="AO452" s="13">
        <v>31</v>
      </c>
      <c r="AP452" s="81"/>
      <c r="AQ452" s="82"/>
    </row>
    <row r="453" spans="1:43" s="83" customFormat="1" ht="26.25" x14ac:dyDescent="0.4">
      <c r="A453" s="1204"/>
      <c r="B453" s="690" t="s">
        <v>1022</v>
      </c>
      <c r="C453" s="694" t="s">
        <v>1001</v>
      </c>
      <c r="D453" s="586"/>
      <c r="E453" s="705"/>
      <c r="F453" s="517"/>
      <c r="G453" s="514"/>
      <c r="H453" s="514"/>
      <c r="I453" s="514"/>
      <c r="J453" s="514"/>
      <c r="K453" s="514"/>
      <c r="L453" s="514"/>
      <c r="M453" s="514"/>
      <c r="N453" s="514"/>
      <c r="O453" s="514"/>
      <c r="P453" s="514"/>
      <c r="Q453" s="514"/>
      <c r="R453" s="514"/>
      <c r="S453" s="514"/>
      <c r="T453" s="514"/>
      <c r="U453" s="514"/>
      <c r="V453" s="514"/>
      <c r="W453" s="514"/>
      <c r="X453" s="514"/>
      <c r="Y453" s="514"/>
      <c r="Z453" s="463">
        <f t="shared" ref="Z453:AA456" si="132">SUM(AB453,AD453,AF453,AH453)</f>
        <v>0</v>
      </c>
      <c r="AA453" s="463">
        <f t="shared" si="132"/>
        <v>0</v>
      </c>
      <c r="AB453" s="514"/>
      <c r="AC453" s="514"/>
      <c r="AD453" s="514"/>
      <c r="AE453" s="514"/>
      <c r="AF453" s="514"/>
      <c r="AG453" s="514"/>
      <c r="AH453" s="514"/>
      <c r="AI453" s="514"/>
      <c r="AJ453" s="452">
        <f t="shared" si="131"/>
        <v>0</v>
      </c>
      <c r="AK453" s="1206"/>
      <c r="AL453" s="1456"/>
      <c r="AM453" s="31" t="str">
        <f>CONCATENATE(IF(AND(IFERROR((AJ454*100)/AJ453,0)&gt;10,AJ454&gt;5)," * This facility has a high positivity rate for Index Testing. Kindly confirm if this is the true reflection"&amp;CHAR(10),""),"")</f>
        <v/>
      </c>
      <c r="AN453" s="744"/>
      <c r="AO453" s="13">
        <v>32</v>
      </c>
      <c r="AP453" s="81"/>
      <c r="AQ453" s="82"/>
    </row>
    <row r="454" spans="1:43" s="83" customFormat="1" ht="26.25" x14ac:dyDescent="0.4">
      <c r="A454" s="1204"/>
      <c r="B454" s="690" t="s">
        <v>1003</v>
      </c>
      <c r="C454" s="694" t="s">
        <v>1002</v>
      </c>
      <c r="D454" s="678"/>
      <c r="E454" s="706"/>
      <c r="F454" s="518"/>
      <c r="G454" s="455"/>
      <c r="H454" s="455"/>
      <c r="I454" s="455"/>
      <c r="J454" s="455"/>
      <c r="K454" s="455"/>
      <c r="L454" s="455"/>
      <c r="M454" s="455"/>
      <c r="N454" s="455"/>
      <c r="O454" s="455"/>
      <c r="P454" s="455"/>
      <c r="Q454" s="455"/>
      <c r="R454" s="455"/>
      <c r="S454" s="455"/>
      <c r="T454" s="455"/>
      <c r="U454" s="455"/>
      <c r="V454" s="455"/>
      <c r="W454" s="455"/>
      <c r="X454" s="455"/>
      <c r="Y454" s="455"/>
      <c r="Z454" s="463">
        <f t="shared" si="132"/>
        <v>0</v>
      </c>
      <c r="AA454" s="463">
        <f t="shared" si="132"/>
        <v>0</v>
      </c>
      <c r="AB454" s="455"/>
      <c r="AC454" s="455"/>
      <c r="AD454" s="455"/>
      <c r="AE454" s="455"/>
      <c r="AF454" s="455"/>
      <c r="AG454" s="455"/>
      <c r="AH454" s="455"/>
      <c r="AI454" s="455"/>
      <c r="AJ454" s="453">
        <f t="shared" si="131"/>
        <v>0</v>
      </c>
      <c r="AK454" s="1206"/>
      <c r="AL454" s="1456"/>
      <c r="AM454" s="31" t="str">
        <f>CONCATENATE(IF(D453&gt;0," * F01-12 for Age "&amp;D440&amp;" "&amp;D441&amp;" has a value greater than 0"&amp;CHAR(10),""),IF(E453&gt;0," * F01-12 for Age "&amp;D440&amp;" "&amp;E441&amp;" has a value greater than 0"&amp;CHAR(10),""),IF(D454&gt;0," * F01-13 for Age "&amp;D440&amp;" "&amp;D441&amp;" has a value greater than 0"&amp;CHAR(10),""),IF(E454&gt;0," * F01-13 for Age "&amp;D440&amp;" "&amp;E441&amp;" has a value greater than 0"&amp;CHAR(10),""),IF(D517&gt;0," * F01-15 for Age "&amp;D440&amp;" "&amp;D441&amp;" has a value greater than 0"&amp;CHAR(10),""),IF(E517&gt;0," * F01-15 for Age "&amp;D440&amp;" "&amp;E441&amp;" has a value greater than 0"&amp;CHAR(10),""),IF(D522&gt;0," * F01-20 for Age "&amp;D440&amp;" "&amp;D441&amp;" has a value greater than 0"&amp;CHAR(10),""),IF(E522&gt;0," * F01-20 for Age "&amp;D440&amp;" "&amp;E441&amp;" has a value greater than 0"&amp;CHAR(10),""),IF(D523&gt;0," * F01-21 for Age "&amp;D440&amp;" "&amp;D441&amp;" has a value greater than 0"&amp;CHAR(10),""),IF(E523&gt;0," * F01-21 for Age "&amp;D440&amp;" "&amp;E441&amp;" has a value greater than 0"&amp;CHAR(10),""),IF(D524&gt;0," * F01-22 for Age "&amp;D440&amp;" "&amp;D441&amp;" has a value greater than 0"&amp;CHAR(10),""),IF(E524&gt;0," * F01-22 for Age "&amp;D440&amp;" "&amp;E441&amp;" has a value greater than 0"&amp;CHAR(10),""),IF(D525&gt;0," * F01-23 for Age "&amp;D440&amp;" "&amp;D441&amp;" has a value greater than 0"&amp;CHAR(10),""),IF(E525&gt;0," * F01-23 for Age "&amp;D440&amp;" "&amp;E441&amp;" has a value greater than 0"&amp;CHAR(10),""),"")</f>
        <v/>
      </c>
      <c r="AN454" s="744"/>
      <c r="AO454" s="13">
        <v>33</v>
      </c>
      <c r="AP454" s="81"/>
      <c r="AQ454" s="82"/>
    </row>
    <row r="455" spans="1:43" s="83" customFormat="1" ht="26.25" x14ac:dyDescent="0.4">
      <c r="A455" s="1204"/>
      <c r="B455" s="690" t="s">
        <v>1005</v>
      </c>
      <c r="C455" s="694" t="s">
        <v>1004</v>
      </c>
      <c r="D455" s="678"/>
      <c r="E455" s="706"/>
      <c r="F455" s="519"/>
      <c r="G455" s="462"/>
      <c r="H455" s="462"/>
      <c r="I455" s="462"/>
      <c r="J455" s="462"/>
      <c r="K455" s="462"/>
      <c r="L455" s="462"/>
      <c r="M455" s="462"/>
      <c r="N455" s="462"/>
      <c r="O455" s="462"/>
      <c r="P455" s="462"/>
      <c r="Q455" s="462"/>
      <c r="R455" s="462"/>
      <c r="S455" s="462"/>
      <c r="T455" s="462"/>
      <c r="U455" s="462"/>
      <c r="V455" s="462"/>
      <c r="W455" s="462"/>
      <c r="X455" s="462"/>
      <c r="Y455" s="462"/>
      <c r="Z455" s="463">
        <f t="shared" si="132"/>
        <v>0</v>
      </c>
      <c r="AA455" s="463">
        <f t="shared" si="132"/>
        <v>0</v>
      </c>
      <c r="AB455" s="462"/>
      <c r="AC455" s="462"/>
      <c r="AD455" s="462"/>
      <c r="AE455" s="462"/>
      <c r="AF455" s="462"/>
      <c r="AG455" s="462"/>
      <c r="AH455" s="462"/>
      <c r="AI455" s="462"/>
      <c r="AJ455" s="453">
        <f t="shared" si="131"/>
        <v>0</v>
      </c>
      <c r="AK455" s="445"/>
      <c r="AL455" s="1456"/>
      <c r="AM455" s="31" t="str">
        <f>CONCATENATE(IF(D454&gt;0," * F01-12 for Age "&amp;D441&amp;" "&amp;D442&amp;" has a value greater than 0"&amp;CHAR(10),""),IF(E454&gt;0," * F01-12 for Age "&amp;D441&amp;" "&amp;E442&amp;" has a value greater than 0"&amp;CHAR(10),""),IF(D455&gt;0," * F01-13 for Age "&amp;D441&amp;" "&amp;D442&amp;" has a value greater than 0"&amp;CHAR(10),""),IF(E455&gt;0," * F01-13 for Age "&amp;D441&amp;" "&amp;E442&amp;" has a value greater than 0"&amp;CHAR(10),""),IF(D517&gt;0," * F01-14 for Age "&amp;D441&amp;" "&amp;D442&amp;" has a value greater than 0"&amp;CHAR(10),""),IF(E517&gt;0," * F01-14 for Age "&amp;D441&amp;" "&amp;E442&amp;" has a value greater than 0"&amp;CHAR(10),""),IF(D518&gt;0," * F01-15 for Age "&amp;D441&amp;" "&amp;D442&amp;" has a value greater than 0"&amp;CHAR(10),""),IF(E518&gt;0," * F01-15 for Age "&amp;D441&amp;" "&amp;E442&amp;" has a value greater than 0"&amp;CHAR(10),""),IF(D523&gt;0," * F01-20 for Age "&amp;D441&amp;" "&amp;D442&amp;" has a value greater than 0"&amp;CHAR(10),""),IF(E523&gt;0," * F01-20 for Age "&amp;D441&amp;" "&amp;E442&amp;" has a value greater than 0"&amp;CHAR(10),""),IF(D524&gt;0," * F01-21 for Age "&amp;D441&amp;" "&amp;D442&amp;" has a value greater than 0"&amp;CHAR(10),""),IF(E524&gt;0," * F01-21 for Age "&amp;D441&amp;" "&amp;E442&amp;" has a value greater than 0"&amp;CHAR(10),""),IF(D525&gt;0," * F01-22 for Age "&amp;D441&amp;" "&amp;D442&amp;" has a value greater than 0"&amp;CHAR(10),""),IF(E525&gt;0," * F01-22 for Age "&amp;D441&amp;" "&amp;E442&amp;" has a value greater than 0"&amp;CHAR(10),""),IF(D526&gt;0," * F01-23 for Age "&amp;D441&amp;" "&amp;D442&amp;" has a value greater than 0"&amp;CHAR(10),""),IF(E526&gt;0," * F01-23 for Age "&amp;D441&amp;" "&amp;E442&amp;" has a value greater than 0"&amp;CHAR(10),""),"")</f>
        <v/>
      </c>
      <c r="AN455" s="744"/>
      <c r="AO455" s="13">
        <v>33</v>
      </c>
      <c r="AP455" s="81"/>
      <c r="AQ455" s="82"/>
    </row>
    <row r="456" spans="1:43" s="83" customFormat="1" ht="27" thickBot="1" x14ac:dyDescent="0.45">
      <c r="A456" s="1205"/>
      <c r="B456" s="691" t="s">
        <v>1007</v>
      </c>
      <c r="C456" s="695" t="s">
        <v>1006</v>
      </c>
      <c r="D456" s="679"/>
      <c r="E456" s="707"/>
      <c r="F456" s="520"/>
      <c r="G456" s="516"/>
      <c r="H456" s="516"/>
      <c r="I456" s="516"/>
      <c r="J456" s="516"/>
      <c r="K456" s="516"/>
      <c r="L456" s="516"/>
      <c r="M456" s="516"/>
      <c r="N456" s="516"/>
      <c r="O456" s="516"/>
      <c r="P456" s="516"/>
      <c r="Q456" s="516"/>
      <c r="R456" s="516"/>
      <c r="S456" s="516"/>
      <c r="T456" s="516"/>
      <c r="U456" s="516"/>
      <c r="V456" s="516"/>
      <c r="W456" s="516"/>
      <c r="X456" s="516"/>
      <c r="Y456" s="516"/>
      <c r="Z456" s="463">
        <f t="shared" si="132"/>
        <v>0</v>
      </c>
      <c r="AA456" s="463">
        <f t="shared" si="132"/>
        <v>0</v>
      </c>
      <c r="AB456" s="516"/>
      <c r="AC456" s="516"/>
      <c r="AD456" s="516"/>
      <c r="AE456" s="516"/>
      <c r="AF456" s="516"/>
      <c r="AG456" s="516"/>
      <c r="AH456" s="516"/>
      <c r="AI456" s="516"/>
      <c r="AJ456" s="454">
        <f t="shared" si="131"/>
        <v>0</v>
      </c>
      <c r="AK456" s="445"/>
      <c r="AL456" s="1456"/>
      <c r="AM456" s="31" t="str">
        <f>CONCATENATE(IF(D455&gt;0," * F01-12 for Age "&amp;D442&amp;" "&amp;D443&amp;" has a value greater than 0"&amp;CHAR(10),""),IF(E455&gt;0," * F01-12 for Age "&amp;D442&amp;" "&amp;E443&amp;" has a value greater than 0"&amp;CHAR(10),""),IF(D456&gt;0," * F01-13 for Age "&amp;D442&amp;" "&amp;D443&amp;" has a value greater than 0"&amp;CHAR(10),""),IF(E456&gt;0," * F01-13 for Age "&amp;D442&amp;" "&amp;E443&amp;" has a value greater than 0"&amp;CHAR(10),""),IF(D518&gt;0," * F01-14 for Age "&amp;D442&amp;" "&amp;D443&amp;" has a value greater than 0"&amp;CHAR(10),""),IF(E518&gt;0," * F01-14 for Age "&amp;D442&amp;" "&amp;E443&amp;" has a value greater than 0"&amp;CHAR(10),""),IF(D519&gt;0," * F01-15 for Age "&amp;D442&amp;" "&amp;D443&amp;" has a value greater than 0"&amp;CHAR(10),""),IF(E519&gt;0," * F01-15 for Age "&amp;D442&amp;" "&amp;E443&amp;" has a value greater than 0"&amp;CHAR(10),""),IF(D524&gt;0," * F01-20 for Age "&amp;D442&amp;" "&amp;D443&amp;" has a value greater than 0"&amp;CHAR(10),""),IF(E524&gt;0," * F01-20 for Age "&amp;D442&amp;" "&amp;E443&amp;" has a value greater than 0"&amp;CHAR(10),""),IF(D525&gt;0," * F01-21 for Age "&amp;D442&amp;" "&amp;D443&amp;" has a value greater than 0"&amp;CHAR(10),""),IF(E525&gt;0," * F01-21 for Age "&amp;D442&amp;" "&amp;E443&amp;" has a value greater than 0"&amp;CHAR(10),""),IF(D526&gt;0," * F01-22 for Age "&amp;D442&amp;" "&amp;D443&amp;" has a value greater than 0"&amp;CHAR(10),""),IF(E526&gt;0," * F01-22 for Age "&amp;D442&amp;" "&amp;E443&amp;" has a value greater than 0"&amp;CHAR(10),""),IF(D527&gt;0," * F01-23 for Age "&amp;D442&amp;" "&amp;D443&amp;" has a value greater than 0"&amp;CHAR(10),""),IF(E527&gt;0," * F01-23 for Age "&amp;D442&amp;" "&amp;E443&amp;" has a value greater than 0"&amp;CHAR(10),""),"")</f>
        <v/>
      </c>
      <c r="AN456" s="744"/>
      <c r="AO456" s="13">
        <v>33</v>
      </c>
      <c r="AP456" s="81"/>
      <c r="AQ456" s="82"/>
    </row>
    <row r="457" spans="1:43" s="83" customFormat="1" ht="27" thickBot="1" x14ac:dyDescent="0.45">
      <c r="A457" s="1203" t="s">
        <v>13</v>
      </c>
      <c r="B457" s="689" t="s">
        <v>128</v>
      </c>
      <c r="C457" s="693" t="s">
        <v>1008</v>
      </c>
      <c r="D457" s="676"/>
      <c r="E457" s="704"/>
      <c r="F457" s="715">
        <f t="shared" ref="F457:AI457" si="133">F36</f>
        <v>0</v>
      </c>
      <c r="G457" s="461">
        <f t="shared" si="133"/>
        <v>0</v>
      </c>
      <c r="H457" s="461">
        <f t="shared" si="133"/>
        <v>0</v>
      </c>
      <c r="I457" s="461">
        <f t="shared" si="133"/>
        <v>0</v>
      </c>
      <c r="J457" s="461">
        <f t="shared" si="133"/>
        <v>0</v>
      </c>
      <c r="K457" s="461">
        <f t="shared" si="133"/>
        <v>0</v>
      </c>
      <c r="L457" s="461">
        <f t="shared" si="133"/>
        <v>0</v>
      </c>
      <c r="M457" s="461">
        <f t="shared" si="133"/>
        <v>0</v>
      </c>
      <c r="N457" s="461">
        <f t="shared" si="133"/>
        <v>0</v>
      </c>
      <c r="O457" s="461">
        <f t="shared" si="133"/>
        <v>0</v>
      </c>
      <c r="P457" s="461">
        <f t="shared" si="133"/>
        <v>0</v>
      </c>
      <c r="Q457" s="461">
        <f t="shared" si="133"/>
        <v>0</v>
      </c>
      <c r="R457" s="461">
        <f t="shared" si="133"/>
        <v>0</v>
      </c>
      <c r="S457" s="461">
        <f t="shared" si="133"/>
        <v>0</v>
      </c>
      <c r="T457" s="461">
        <f t="shared" si="133"/>
        <v>0</v>
      </c>
      <c r="U457" s="461">
        <f t="shared" si="133"/>
        <v>0</v>
      </c>
      <c r="V457" s="461">
        <f t="shared" si="133"/>
        <v>0</v>
      </c>
      <c r="W457" s="461">
        <f t="shared" si="133"/>
        <v>0</v>
      </c>
      <c r="X457" s="461">
        <f t="shared" si="133"/>
        <v>0</v>
      </c>
      <c r="Y457" s="461">
        <f t="shared" si="133"/>
        <v>0</v>
      </c>
      <c r="Z457" s="461">
        <f t="shared" si="133"/>
        <v>0</v>
      </c>
      <c r="AA457" s="461">
        <f t="shared" si="133"/>
        <v>0</v>
      </c>
      <c r="AB457" s="461">
        <f t="shared" si="133"/>
        <v>0</v>
      </c>
      <c r="AC457" s="461">
        <f t="shared" si="133"/>
        <v>0</v>
      </c>
      <c r="AD457" s="461">
        <f t="shared" si="133"/>
        <v>0</v>
      </c>
      <c r="AE457" s="461">
        <f t="shared" si="133"/>
        <v>0</v>
      </c>
      <c r="AF457" s="461">
        <f t="shared" si="133"/>
        <v>0</v>
      </c>
      <c r="AG457" s="461">
        <f t="shared" si="133"/>
        <v>0</v>
      </c>
      <c r="AH457" s="461">
        <f t="shared" si="133"/>
        <v>0</v>
      </c>
      <c r="AI457" s="461">
        <f t="shared" si="133"/>
        <v>0</v>
      </c>
      <c r="AJ457" s="451">
        <f t="shared" si="131"/>
        <v>0</v>
      </c>
      <c r="AK457" s="512" t="str">
        <f>CONCATENATE(IF((D458+D459+D460+D461)&lt;&gt;D457," * "&amp;$A457&amp;" , "&amp;$B458&amp;" plus "&amp;$B459&amp;" plus "&amp;$B460&amp;" plus "&amp;$B461&amp;" For age "&amp;$D$20&amp;" "&amp;$D$21&amp;" should be equal to "&amp;$B457&amp;""&amp;CHAR(10),""),IF((E458+E459+E460+E461)&lt;&gt;E457," * "&amp;$A457&amp;" , "&amp;$B458&amp;" plus "&amp;$B459&amp;" plus "&amp;$B460&amp;" plus "&amp;$B461&amp;" For age "&amp;$D$20&amp;" "&amp;$E$21&amp;" should be equal to "&amp;$B457&amp;""&amp;CHAR(10),""),IF((F458+F459+F460+F461)&lt;&gt;F457," * "&amp;$A457&amp;" , "&amp;$B458&amp;" plus "&amp;$B459&amp;" plus "&amp;$B460&amp;" plus "&amp;$B461&amp;" For age "&amp;$F$20&amp;" "&amp;$F$21&amp;" should be equal to "&amp;$B457&amp;""&amp;CHAR(10),""),IF((G458+G459+G460+G461)&lt;&gt;G457," * "&amp;$A457&amp;" , "&amp;$B458&amp;" plus "&amp;$B459&amp;" plus "&amp;$B460&amp;" plus "&amp;$B461&amp;" For age "&amp;$F$20&amp;" "&amp;$G$21&amp;" should be equal to "&amp;$B457&amp;""&amp;CHAR(10),""),IF((H458+H459+H460+H461)&lt;&gt;H457," * "&amp;$A457&amp;" , "&amp;$B458&amp;" plus "&amp;$B459&amp;" plus "&amp;$B460&amp;" plus "&amp;$B461&amp;" For age "&amp;$H$20&amp;" "&amp;$H$21&amp;" should be equal to "&amp;$B457&amp;""&amp;CHAR(10),""),IF((I458+I459+I460+I461)&lt;&gt;I457," * "&amp;$A457&amp;" , "&amp;$B458&amp;" plus "&amp;$B459&amp;" plus "&amp;$B460&amp;" plus "&amp;$B461&amp;" For age "&amp;$H$20&amp;" "&amp;$I$21&amp;" should be equal to "&amp;$B457&amp;""&amp;CHAR(10),""),IF((J458+J459+J460+J461)&lt;&gt;J457," * "&amp;$A457&amp;" , "&amp;$B458&amp;" plus "&amp;$B459&amp;" plus "&amp;$B460&amp;" plus "&amp;$B461&amp;" For age "&amp;$J$20&amp;" "&amp;$J$21&amp;" should be equal to "&amp;$B457&amp;""&amp;CHAR(10),""),IF((K458+K459+K460+K461)&lt;&gt;K457," * "&amp;$A457&amp;" , "&amp;$B458&amp;" plus "&amp;$B459&amp;" plus "&amp;$B460&amp;" plus "&amp;$B461&amp;" For age "&amp;$J$20&amp;" "&amp;$K$21&amp;" should be equal to "&amp;$B457&amp;""&amp;CHAR(10),""),IF((L458+L459+L460+L461)&lt;&gt;L457," * "&amp;$A457&amp;" , "&amp;$B458&amp;" plus "&amp;$B459&amp;" plus "&amp;$B460&amp;" plus "&amp;$B461&amp;" For age "&amp;$L$20&amp;" "&amp;$L$21&amp;" should be equal to "&amp;$B457&amp;""&amp;CHAR(10),""),IF((M458+M459+M460+M461)&lt;&gt;M457," * "&amp;$A457&amp;" , "&amp;$B458&amp;" plus "&amp;$B459&amp;" plus "&amp;$B460&amp;" plus "&amp;$B461&amp;" For age "&amp;$L$20&amp;" "&amp;$M$21&amp;" should be equal to "&amp;$B457&amp;""&amp;CHAR(10),""),IF((N458+N459+N460+N461)&lt;&gt;N457," * "&amp;$A457&amp;" , "&amp;$B458&amp;" plus "&amp;$B459&amp;" plus "&amp;$B460&amp;" plus "&amp;$B461&amp;" For age "&amp;$N$20&amp;" "&amp;$N$21&amp;" should be equal to "&amp;$B457&amp;""&amp;CHAR(10),""),IF((O458+O459+O460+O461)&lt;&gt;O457," * "&amp;$A457&amp;" , "&amp;$B458&amp;" plus "&amp;$B459&amp;" plus "&amp;$B460&amp;" plus "&amp;$B461&amp;" For age "&amp;$N$20&amp;" "&amp;$O$21&amp;" should be equal to "&amp;$B457&amp;""&amp;CHAR(10),""),IF((P458+P459+P460+P461)&lt;&gt;P457," * "&amp;$A457&amp;" , "&amp;$B458&amp;" plus "&amp;$B459&amp;" plus "&amp;$B460&amp;" plus "&amp;$B461&amp;" For age "&amp;$P$20&amp;" "&amp;$P$21&amp;" should be equal to "&amp;$B457&amp;""&amp;CHAR(10),""),IF((Q458+Q459+Q460+Q461)&lt;&gt;Q457," * "&amp;$A457&amp;" , "&amp;$B458&amp;" plus "&amp;$B459&amp;" plus "&amp;$B460&amp;" plus "&amp;$B461&amp;" For age "&amp;$P$20&amp;" "&amp;$Q$21&amp;" should be equal to "&amp;$B457&amp;""&amp;CHAR(10),""),IF((R458+R459+R460+R461)&lt;&gt;R457," * "&amp;$A457&amp;" , "&amp;$B458&amp;" plus "&amp;$B459&amp;" plus "&amp;$B460&amp;" plus "&amp;$B461&amp;" For age "&amp;$R$20&amp;" "&amp;$R$21&amp;" should be equal to "&amp;$B457&amp;""&amp;CHAR(10),""),IF((S458+S459+S460+S461)&lt;&gt;S457," * "&amp;$A457&amp;" , "&amp;$B458&amp;" plus "&amp;$B459&amp;" plus "&amp;$B460&amp;" plus "&amp;$B461&amp;" For age "&amp;$R$20&amp;" "&amp;$S$21&amp;" should be equal to "&amp;$B457&amp;""&amp;CHAR(10),""),IF((T458+T459+T460+T461)&lt;&gt;T457," * "&amp;$A457&amp;" , "&amp;$B458&amp;" plus "&amp;$B459&amp;" plus "&amp;$B460&amp;" plus "&amp;$B461&amp;" For age "&amp;$T$20&amp;" "&amp;$T$21&amp;" should be equal to "&amp;$B457&amp;""&amp;CHAR(10),""),IF((U458+U459+U460+U461)&lt;&gt;U457," * "&amp;$A457&amp;" , "&amp;$B458&amp;" plus "&amp;$B459&amp;" plus "&amp;$B460&amp;" plus "&amp;$B461&amp;" For age "&amp;$T$20&amp;" "&amp;$U$21&amp;" should be equal to "&amp;$B457&amp;""&amp;CHAR(10),""),IF((V458+V459+V460+V461)&lt;&gt;V457," * "&amp;$A457&amp;" , "&amp;$B458&amp;" plus "&amp;$B459&amp;" plus "&amp;$B460&amp;" plus "&amp;$B461&amp;" For age "&amp;$V$20&amp;" "&amp;$V$21&amp;" should be equal to "&amp;$B457&amp;""&amp;CHAR(10),""),IF((W458+W459+W460+W461)&lt;&gt;W457," * "&amp;$A457&amp;" , "&amp;$B458&amp;" plus "&amp;$B459&amp;" plus "&amp;$B460&amp;" plus "&amp;$B461&amp;" For age "&amp;$V$20&amp;" "&amp;$W$21&amp;" should be equal to "&amp;$B457&amp;""&amp;CHAR(10),""),IF((X458+X459+X460+X461)&lt;&gt;X457," * "&amp;$A457&amp;" , "&amp;$B458&amp;" plus "&amp;$B459&amp;" plus "&amp;$B460&amp;" plus "&amp;$B461&amp;" For age "&amp;$X$20&amp;" "&amp;$X$21&amp;" should be equal to "&amp;$B457&amp;""&amp;CHAR(10),""),IF((Y458+Y459+Y460+Y461)&lt;&gt;Y457," * "&amp;$A457&amp;" , "&amp;$B458&amp;" plus "&amp;$B459&amp;" plus "&amp;$B460&amp;" plus "&amp;$B461&amp;" For age "&amp;$X$20&amp;" "&amp;$Y$21&amp;" should be equal to "&amp;$B457&amp;""&amp;CHAR(10),""),IF((Z458+Z459+Z460+Z461)&lt;&gt;Z457," * "&amp;$A457&amp;" , "&amp;$B458&amp;" plus "&amp;$B459&amp;" plus "&amp;$B460&amp;" plus "&amp;$B461&amp;" For age "&amp;$Z$20&amp;" "&amp;$Z$21&amp;" should be equal to "&amp;$B457&amp;""&amp;CHAR(10),""),IF((AA458+AA459+AA460+AA461)&lt;&gt;AA457," * "&amp;$A457&amp;" , "&amp;$B458&amp;" plus "&amp;$B459&amp;" plus "&amp;$B460&amp;" plus "&amp;$B461&amp;" For age "&amp;$Z$20&amp;" "&amp;$AA$21&amp;" should be equal to "&amp;$B457&amp;""&amp;CHAR(10),""))</f>
        <v/>
      </c>
      <c r="AL457" s="1456"/>
      <c r="AM457" s="31"/>
      <c r="AN457" s="744"/>
      <c r="AO457" s="13">
        <v>31</v>
      </c>
      <c r="AP457" s="81"/>
      <c r="AQ457" s="82"/>
    </row>
    <row r="458" spans="1:43" s="83" customFormat="1" ht="26.25" x14ac:dyDescent="0.4">
      <c r="A458" s="1204"/>
      <c r="B458" s="690" t="s">
        <v>1022</v>
      </c>
      <c r="C458" s="694" t="s">
        <v>1009</v>
      </c>
      <c r="D458" s="586"/>
      <c r="E458" s="705"/>
      <c r="F458" s="517"/>
      <c r="G458" s="514"/>
      <c r="H458" s="514"/>
      <c r="I458" s="514"/>
      <c r="J458" s="514"/>
      <c r="K458" s="514"/>
      <c r="L458" s="514"/>
      <c r="M458" s="514"/>
      <c r="N458" s="514"/>
      <c r="O458" s="514"/>
      <c r="P458" s="514"/>
      <c r="Q458" s="514"/>
      <c r="R458" s="514"/>
      <c r="S458" s="514"/>
      <c r="T458" s="514"/>
      <c r="U458" s="514"/>
      <c r="V458" s="514"/>
      <c r="W458" s="514"/>
      <c r="X458" s="514"/>
      <c r="Y458" s="514"/>
      <c r="Z458" s="463">
        <f t="shared" ref="Z458:AA461" si="134">SUM(AB458,AD458,AF458,AH458)</f>
        <v>0</v>
      </c>
      <c r="AA458" s="463">
        <f t="shared" si="134"/>
        <v>0</v>
      </c>
      <c r="AB458" s="514"/>
      <c r="AC458" s="514"/>
      <c r="AD458" s="514"/>
      <c r="AE458" s="514"/>
      <c r="AF458" s="514"/>
      <c r="AG458" s="514"/>
      <c r="AH458" s="514"/>
      <c r="AI458" s="514"/>
      <c r="AJ458" s="452">
        <f t="shared" si="131"/>
        <v>0</v>
      </c>
      <c r="AK458" s="1206"/>
      <c r="AL458" s="1456"/>
      <c r="AM458" s="31" t="str">
        <f>CONCATENATE(IF(AND(IFERROR((AJ459*100)/AJ458,0)&gt;10,AJ459&gt;5)," * This facility has a high positivity rate for Index Testing. Kindly confirm if this is the true reflection"&amp;CHAR(10),""),"")</f>
        <v/>
      </c>
      <c r="AN458" s="744"/>
      <c r="AO458" s="13">
        <v>32</v>
      </c>
      <c r="AP458" s="81"/>
      <c r="AQ458" s="82"/>
    </row>
    <row r="459" spans="1:43" s="83" customFormat="1" ht="26.25" x14ac:dyDescent="0.4">
      <c r="A459" s="1204"/>
      <c r="B459" s="690" t="s">
        <v>1003</v>
      </c>
      <c r="C459" s="694" t="s">
        <v>1010</v>
      </c>
      <c r="D459" s="678"/>
      <c r="E459" s="706"/>
      <c r="F459" s="518"/>
      <c r="G459" s="455"/>
      <c r="H459" s="455"/>
      <c r="I459" s="455"/>
      <c r="J459" s="455"/>
      <c r="K459" s="455"/>
      <c r="L459" s="455"/>
      <c r="M459" s="455"/>
      <c r="N459" s="455"/>
      <c r="O459" s="455"/>
      <c r="P459" s="455"/>
      <c r="Q459" s="455"/>
      <c r="R459" s="455"/>
      <c r="S459" s="455"/>
      <c r="T459" s="455"/>
      <c r="U459" s="455"/>
      <c r="V459" s="455"/>
      <c r="W459" s="455"/>
      <c r="X459" s="455"/>
      <c r="Y459" s="455"/>
      <c r="Z459" s="463">
        <f t="shared" si="134"/>
        <v>0</v>
      </c>
      <c r="AA459" s="463">
        <f t="shared" si="134"/>
        <v>0</v>
      </c>
      <c r="AB459" s="455"/>
      <c r="AC459" s="455"/>
      <c r="AD459" s="455"/>
      <c r="AE459" s="455"/>
      <c r="AF459" s="455"/>
      <c r="AG459" s="455"/>
      <c r="AH459" s="455"/>
      <c r="AI459" s="455"/>
      <c r="AJ459" s="453">
        <f t="shared" si="131"/>
        <v>0</v>
      </c>
      <c r="AK459" s="1206"/>
      <c r="AL459" s="1456"/>
      <c r="AM459" s="31" t="str">
        <f>CONCATENATE(IF(D458&gt;0," * F01-12 for Age "&amp;D445&amp;" "&amp;D446&amp;" has a value greater than 0"&amp;CHAR(10),""),IF(E458&gt;0," * F01-12 for Age "&amp;D445&amp;" "&amp;E446&amp;" has a value greater than 0"&amp;CHAR(10),""),IF(D459&gt;0," * F01-13 for Age "&amp;D445&amp;" "&amp;D446&amp;" has a value greater than 0"&amp;CHAR(10),""),IF(E459&gt;0," * F01-13 for Age "&amp;D445&amp;" "&amp;E446&amp;" has a value greater than 0"&amp;CHAR(10),""),IF(D522&gt;0," * F01-15 for Age "&amp;D445&amp;" "&amp;D446&amp;" has a value greater than 0"&amp;CHAR(10),""),IF(E522&gt;0," * F01-15 for Age "&amp;D445&amp;" "&amp;E446&amp;" has a value greater than 0"&amp;CHAR(10),""),IF(D527&gt;0," * F01-20 for Age "&amp;D445&amp;" "&amp;D446&amp;" has a value greater than 0"&amp;CHAR(10),""),IF(E527&gt;0," * F01-20 for Age "&amp;D445&amp;" "&amp;E446&amp;" has a value greater than 0"&amp;CHAR(10),""),IF(D528&gt;0," * F01-21 for Age "&amp;D445&amp;" "&amp;D446&amp;" has a value greater than 0"&amp;CHAR(10),""),IF(E528&gt;0," * F01-21 for Age "&amp;D445&amp;" "&amp;E446&amp;" has a value greater than 0"&amp;CHAR(10),""),IF(D529&gt;0," * F01-22 for Age "&amp;D445&amp;" "&amp;D446&amp;" has a value greater than 0"&amp;CHAR(10),""),IF(E529&gt;0," * F01-22 for Age "&amp;D445&amp;" "&amp;E446&amp;" has a value greater than 0"&amp;CHAR(10),""),IF(D530&gt;0," * F01-23 for Age "&amp;D445&amp;" "&amp;D446&amp;" has a value greater than 0"&amp;CHAR(10),""),IF(E530&gt;0," * F01-23 for Age "&amp;D445&amp;" "&amp;E446&amp;" has a value greater than 0"&amp;CHAR(10),""),"")</f>
        <v/>
      </c>
      <c r="AN459" s="744"/>
      <c r="AO459" s="13">
        <v>33</v>
      </c>
      <c r="AP459" s="81"/>
      <c r="AQ459" s="82"/>
    </row>
    <row r="460" spans="1:43" s="83" customFormat="1" ht="26.25" x14ac:dyDescent="0.4">
      <c r="A460" s="1204"/>
      <c r="B460" s="690" t="s">
        <v>1005</v>
      </c>
      <c r="C460" s="694" t="s">
        <v>1011</v>
      </c>
      <c r="D460" s="678"/>
      <c r="E460" s="706"/>
      <c r="F460" s="519"/>
      <c r="G460" s="462"/>
      <c r="H460" s="462"/>
      <c r="I460" s="462"/>
      <c r="J460" s="462"/>
      <c r="K460" s="462"/>
      <c r="L460" s="462"/>
      <c r="M460" s="462"/>
      <c r="N460" s="462"/>
      <c r="O460" s="462"/>
      <c r="P460" s="462"/>
      <c r="Q460" s="462"/>
      <c r="R460" s="462"/>
      <c r="S460" s="462"/>
      <c r="T460" s="462"/>
      <c r="U460" s="462"/>
      <c r="V460" s="462"/>
      <c r="W460" s="462"/>
      <c r="X460" s="462"/>
      <c r="Y460" s="462"/>
      <c r="Z460" s="463">
        <f t="shared" si="134"/>
        <v>0</v>
      </c>
      <c r="AA460" s="463">
        <f t="shared" si="134"/>
        <v>0</v>
      </c>
      <c r="AB460" s="462"/>
      <c r="AC460" s="462"/>
      <c r="AD460" s="462"/>
      <c r="AE460" s="462"/>
      <c r="AF460" s="462"/>
      <c r="AG460" s="462"/>
      <c r="AH460" s="462"/>
      <c r="AI460" s="462"/>
      <c r="AJ460" s="453">
        <f t="shared" si="131"/>
        <v>0</v>
      </c>
      <c r="AK460" s="445"/>
      <c r="AL460" s="1456"/>
      <c r="AM460" s="31" t="str">
        <f>CONCATENATE(IF(D459&gt;0," * F01-12 for Age "&amp;D446&amp;" "&amp;D447&amp;" has a value greater than 0"&amp;CHAR(10),""),IF(E459&gt;0," * F01-12 for Age "&amp;D446&amp;" "&amp;E447&amp;" has a value greater than 0"&amp;CHAR(10),""),IF(D460&gt;0," * F01-13 for Age "&amp;D446&amp;" "&amp;D447&amp;" has a value greater than 0"&amp;CHAR(10),""),IF(E460&gt;0," * F01-13 for Age "&amp;D446&amp;" "&amp;E447&amp;" has a value greater than 0"&amp;CHAR(10),""),IF(D522&gt;0," * F01-14 for Age "&amp;D446&amp;" "&amp;D447&amp;" has a value greater than 0"&amp;CHAR(10),""),IF(E522&gt;0," * F01-14 for Age "&amp;D446&amp;" "&amp;E447&amp;" has a value greater than 0"&amp;CHAR(10),""),IF(D523&gt;0," * F01-15 for Age "&amp;D446&amp;" "&amp;D447&amp;" has a value greater than 0"&amp;CHAR(10),""),IF(E523&gt;0," * F01-15 for Age "&amp;D446&amp;" "&amp;E447&amp;" has a value greater than 0"&amp;CHAR(10),""),IF(D528&gt;0," * F01-20 for Age "&amp;D446&amp;" "&amp;D447&amp;" has a value greater than 0"&amp;CHAR(10),""),IF(E528&gt;0," * F01-20 for Age "&amp;D446&amp;" "&amp;E447&amp;" has a value greater than 0"&amp;CHAR(10),""),IF(D529&gt;0," * F01-21 for Age "&amp;D446&amp;" "&amp;D447&amp;" has a value greater than 0"&amp;CHAR(10),""),IF(E529&gt;0," * F01-21 for Age "&amp;D446&amp;" "&amp;E447&amp;" has a value greater than 0"&amp;CHAR(10),""),IF(D530&gt;0," * F01-22 for Age "&amp;D446&amp;" "&amp;D447&amp;" has a value greater than 0"&amp;CHAR(10),""),IF(E530&gt;0," * F01-22 for Age "&amp;D446&amp;" "&amp;E447&amp;" has a value greater than 0"&amp;CHAR(10),""),IF(D531&gt;0," * F01-23 for Age "&amp;D446&amp;" "&amp;D447&amp;" has a value greater than 0"&amp;CHAR(10),""),IF(E531&gt;0," * F01-23 for Age "&amp;D446&amp;" "&amp;E447&amp;" has a value greater than 0"&amp;CHAR(10),""),"")</f>
        <v/>
      </c>
      <c r="AN460" s="744"/>
      <c r="AO460" s="13">
        <v>33</v>
      </c>
      <c r="AP460" s="81"/>
      <c r="AQ460" s="82"/>
    </row>
    <row r="461" spans="1:43" s="83" customFormat="1" ht="27" thickBot="1" x14ac:dyDescent="0.45">
      <c r="A461" s="1205"/>
      <c r="B461" s="691" t="s">
        <v>1007</v>
      </c>
      <c r="C461" s="695" t="s">
        <v>1012</v>
      </c>
      <c r="D461" s="679"/>
      <c r="E461" s="707"/>
      <c r="F461" s="520"/>
      <c r="G461" s="516"/>
      <c r="H461" s="516"/>
      <c r="I461" s="516"/>
      <c r="J461" s="516"/>
      <c r="K461" s="516"/>
      <c r="L461" s="516"/>
      <c r="M461" s="516"/>
      <c r="N461" s="516"/>
      <c r="O461" s="516"/>
      <c r="P461" s="516"/>
      <c r="Q461" s="516"/>
      <c r="R461" s="516"/>
      <c r="S461" s="516"/>
      <c r="T461" s="516"/>
      <c r="U461" s="516"/>
      <c r="V461" s="516"/>
      <c r="W461" s="516"/>
      <c r="X461" s="516"/>
      <c r="Y461" s="516"/>
      <c r="Z461" s="463">
        <f t="shared" si="134"/>
        <v>0</v>
      </c>
      <c r="AA461" s="463">
        <f t="shared" si="134"/>
        <v>0</v>
      </c>
      <c r="AB461" s="516"/>
      <c r="AC461" s="516"/>
      <c r="AD461" s="516"/>
      <c r="AE461" s="516"/>
      <c r="AF461" s="516"/>
      <c r="AG461" s="516"/>
      <c r="AH461" s="516"/>
      <c r="AI461" s="516"/>
      <c r="AJ461" s="454">
        <f t="shared" ref="AJ461:AJ470" si="135">SUM(D461:AA461)</f>
        <v>0</v>
      </c>
      <c r="AK461" s="445"/>
      <c r="AL461" s="1456"/>
      <c r="AM461" s="31" t="str">
        <f>CONCATENATE(IF(D460&gt;0," * F01-12 for Age "&amp;D447&amp;" "&amp;D448&amp;" has a value greater than 0"&amp;CHAR(10),""),IF(E460&gt;0," * F01-12 for Age "&amp;D447&amp;" "&amp;E448&amp;" has a value greater than 0"&amp;CHAR(10),""),IF(D461&gt;0," * F01-13 for Age "&amp;D447&amp;" "&amp;D448&amp;" has a value greater than 0"&amp;CHAR(10),""),IF(E461&gt;0," * F01-13 for Age "&amp;D447&amp;" "&amp;E448&amp;" has a value greater than 0"&amp;CHAR(10),""),IF(D523&gt;0," * F01-14 for Age "&amp;D447&amp;" "&amp;D448&amp;" has a value greater than 0"&amp;CHAR(10),""),IF(E523&gt;0," * F01-14 for Age "&amp;D447&amp;" "&amp;E448&amp;" has a value greater than 0"&amp;CHAR(10),""),IF(D524&gt;0," * F01-15 for Age "&amp;D447&amp;" "&amp;D448&amp;" has a value greater than 0"&amp;CHAR(10),""),IF(E524&gt;0," * F01-15 for Age "&amp;D447&amp;" "&amp;E448&amp;" has a value greater than 0"&amp;CHAR(10),""),IF(D529&gt;0," * F01-20 for Age "&amp;D447&amp;" "&amp;D448&amp;" has a value greater than 0"&amp;CHAR(10),""),IF(E529&gt;0," * F01-20 for Age "&amp;D447&amp;" "&amp;E448&amp;" has a value greater than 0"&amp;CHAR(10),""),IF(D530&gt;0," * F01-21 for Age "&amp;D447&amp;" "&amp;D448&amp;" has a value greater than 0"&amp;CHAR(10),""),IF(E530&gt;0," * F01-21 for Age "&amp;D447&amp;" "&amp;E448&amp;" has a value greater than 0"&amp;CHAR(10),""),IF(D531&gt;0," * F01-22 for Age "&amp;D447&amp;" "&amp;D448&amp;" has a value greater than 0"&amp;CHAR(10),""),IF(E531&gt;0," * F01-22 for Age "&amp;D447&amp;" "&amp;E448&amp;" has a value greater than 0"&amp;CHAR(10),""),IF(D532&gt;0," * F01-23 for Age "&amp;D447&amp;" "&amp;D448&amp;" has a value greater than 0"&amp;CHAR(10),""),IF(E532&gt;0," * F01-23 for Age "&amp;D447&amp;" "&amp;E448&amp;" has a value greater than 0"&amp;CHAR(10),""),"")</f>
        <v/>
      </c>
      <c r="AN461" s="744"/>
      <c r="AO461" s="13">
        <v>33</v>
      </c>
      <c r="AP461" s="81"/>
      <c r="AQ461" s="82"/>
    </row>
    <row r="462" spans="1:43" s="83" customFormat="1" ht="27" thickBot="1" x14ac:dyDescent="0.45">
      <c r="A462" s="1203" t="s">
        <v>14</v>
      </c>
      <c r="B462" s="689" t="s">
        <v>128</v>
      </c>
      <c r="C462" s="693" t="s">
        <v>1013</v>
      </c>
      <c r="D462" s="676"/>
      <c r="E462" s="704"/>
      <c r="F462" s="715">
        <f t="shared" ref="F462:AI462" si="136">F38</f>
        <v>0</v>
      </c>
      <c r="G462" s="461">
        <f t="shared" si="136"/>
        <v>0</v>
      </c>
      <c r="H462" s="461">
        <f t="shared" si="136"/>
        <v>0</v>
      </c>
      <c r="I462" s="461">
        <f t="shared" si="136"/>
        <v>0</v>
      </c>
      <c r="J462" s="461">
        <f t="shared" si="136"/>
        <v>0</v>
      </c>
      <c r="K462" s="461">
        <f t="shared" si="136"/>
        <v>0</v>
      </c>
      <c r="L462" s="461">
        <f t="shared" si="136"/>
        <v>0</v>
      </c>
      <c r="M462" s="461">
        <f t="shared" si="136"/>
        <v>0</v>
      </c>
      <c r="N462" s="461">
        <f t="shared" si="136"/>
        <v>0</v>
      </c>
      <c r="O462" s="461">
        <f t="shared" si="136"/>
        <v>0</v>
      </c>
      <c r="P462" s="461">
        <f t="shared" si="136"/>
        <v>0</v>
      </c>
      <c r="Q462" s="461">
        <f t="shared" si="136"/>
        <v>0</v>
      </c>
      <c r="R462" s="461">
        <f t="shared" si="136"/>
        <v>0</v>
      </c>
      <c r="S462" s="461">
        <f t="shared" si="136"/>
        <v>0</v>
      </c>
      <c r="T462" s="461">
        <f t="shared" si="136"/>
        <v>0</v>
      </c>
      <c r="U462" s="461">
        <f t="shared" si="136"/>
        <v>0</v>
      </c>
      <c r="V462" s="461">
        <f t="shared" si="136"/>
        <v>0</v>
      </c>
      <c r="W462" s="461">
        <f t="shared" si="136"/>
        <v>0</v>
      </c>
      <c r="X462" s="461">
        <f t="shared" si="136"/>
        <v>0</v>
      </c>
      <c r="Y462" s="461">
        <f t="shared" si="136"/>
        <v>0</v>
      </c>
      <c r="Z462" s="461">
        <f t="shared" si="136"/>
        <v>0</v>
      </c>
      <c r="AA462" s="461">
        <f t="shared" si="136"/>
        <v>0</v>
      </c>
      <c r="AB462" s="461">
        <f t="shared" si="136"/>
        <v>0</v>
      </c>
      <c r="AC462" s="461">
        <f t="shared" si="136"/>
        <v>0</v>
      </c>
      <c r="AD462" s="461">
        <f t="shared" si="136"/>
        <v>0</v>
      </c>
      <c r="AE462" s="461">
        <f t="shared" si="136"/>
        <v>0</v>
      </c>
      <c r="AF462" s="461">
        <f t="shared" si="136"/>
        <v>0</v>
      </c>
      <c r="AG462" s="461">
        <f t="shared" si="136"/>
        <v>0</v>
      </c>
      <c r="AH462" s="461">
        <f t="shared" si="136"/>
        <v>0</v>
      </c>
      <c r="AI462" s="461">
        <f t="shared" si="136"/>
        <v>0</v>
      </c>
      <c r="AJ462" s="451">
        <f t="shared" si="135"/>
        <v>0</v>
      </c>
      <c r="AK462" s="512" t="str">
        <f>CONCATENATE(IF((D463+D464+D465+D466)&lt;&gt;D462," * "&amp;$A462&amp;" , "&amp;$B463&amp;" plus "&amp;$B464&amp;" plus "&amp;$B465&amp;" plus "&amp;$B466&amp;" For age "&amp;$D$20&amp;" "&amp;$D$21&amp;" should be equal to "&amp;$B462&amp;""&amp;CHAR(10),""),IF((E463+E464+E465+E466)&lt;&gt;E462," * "&amp;$A462&amp;" , "&amp;$B463&amp;" plus "&amp;$B464&amp;" plus "&amp;$B465&amp;" plus "&amp;$B466&amp;" For age "&amp;$D$20&amp;" "&amp;$E$21&amp;" should be equal to "&amp;$B462&amp;""&amp;CHAR(10),""),IF((F463+F464+F465+F466)&lt;&gt;F462," * "&amp;$A462&amp;" , "&amp;$B463&amp;" plus "&amp;$B464&amp;" plus "&amp;$B465&amp;" plus "&amp;$B466&amp;" For age "&amp;$F$20&amp;" "&amp;$F$21&amp;" should be equal to "&amp;$B462&amp;""&amp;CHAR(10),""),IF((G463+G464+G465+G466)&lt;&gt;G462," * "&amp;$A462&amp;" , "&amp;$B463&amp;" plus "&amp;$B464&amp;" plus "&amp;$B465&amp;" plus "&amp;$B466&amp;" For age "&amp;$F$20&amp;" "&amp;$G$21&amp;" should be equal to "&amp;$B462&amp;""&amp;CHAR(10),""),IF((H463+H464+H465+H466)&lt;&gt;H462," * "&amp;$A462&amp;" , "&amp;$B463&amp;" plus "&amp;$B464&amp;" plus "&amp;$B465&amp;" plus "&amp;$B466&amp;" For age "&amp;$H$20&amp;" "&amp;$H$21&amp;" should be equal to "&amp;$B462&amp;""&amp;CHAR(10),""),IF((I463+I464+I465+I466)&lt;&gt;I462," * "&amp;$A462&amp;" , "&amp;$B463&amp;" plus "&amp;$B464&amp;" plus "&amp;$B465&amp;" plus "&amp;$B466&amp;" For age "&amp;$H$20&amp;" "&amp;$I$21&amp;" should be equal to "&amp;$B462&amp;""&amp;CHAR(10),""),IF((J463+J464+J465+J466)&lt;&gt;J462," * "&amp;$A462&amp;" , "&amp;$B463&amp;" plus "&amp;$B464&amp;" plus "&amp;$B465&amp;" plus "&amp;$B466&amp;" For age "&amp;$J$20&amp;" "&amp;$J$21&amp;" should be equal to "&amp;$B462&amp;""&amp;CHAR(10),""),IF((K463+K464+K465+K466)&lt;&gt;K462," * "&amp;$A462&amp;" , "&amp;$B463&amp;" plus "&amp;$B464&amp;" plus "&amp;$B465&amp;" plus "&amp;$B466&amp;" For age "&amp;$J$20&amp;" "&amp;$K$21&amp;" should be equal to "&amp;$B462&amp;""&amp;CHAR(10),""),IF((L463+L464+L465+L466)&lt;&gt;L462," * "&amp;$A462&amp;" , "&amp;$B463&amp;" plus "&amp;$B464&amp;" plus "&amp;$B465&amp;" plus "&amp;$B466&amp;" For age "&amp;$L$20&amp;" "&amp;$L$21&amp;" should be equal to "&amp;$B462&amp;""&amp;CHAR(10),""),IF((M463+M464+M465+M466)&lt;&gt;M462," * "&amp;$A462&amp;" , "&amp;$B463&amp;" plus "&amp;$B464&amp;" plus "&amp;$B465&amp;" plus "&amp;$B466&amp;" For age "&amp;$L$20&amp;" "&amp;$M$21&amp;" should be equal to "&amp;$B462&amp;""&amp;CHAR(10),""),IF((N463+N464+N465+N466)&lt;&gt;N462," * "&amp;$A462&amp;" , "&amp;$B463&amp;" plus "&amp;$B464&amp;" plus "&amp;$B465&amp;" plus "&amp;$B466&amp;" For age "&amp;$N$20&amp;" "&amp;$N$21&amp;" should be equal to "&amp;$B462&amp;""&amp;CHAR(10),""),IF((O463+O464+O465+O466)&lt;&gt;O462," * "&amp;$A462&amp;" , "&amp;$B463&amp;" plus "&amp;$B464&amp;" plus "&amp;$B465&amp;" plus "&amp;$B466&amp;" For age "&amp;$N$20&amp;" "&amp;$O$21&amp;" should be equal to "&amp;$B462&amp;""&amp;CHAR(10),""),IF((P463+P464+P465+P466)&lt;&gt;P462," * "&amp;$A462&amp;" , "&amp;$B463&amp;" plus "&amp;$B464&amp;" plus "&amp;$B465&amp;" plus "&amp;$B466&amp;" For age "&amp;$P$20&amp;" "&amp;$P$21&amp;" should be equal to "&amp;$B462&amp;""&amp;CHAR(10),""),IF((Q463+Q464+Q465+Q466)&lt;&gt;Q462," * "&amp;$A462&amp;" , "&amp;$B463&amp;" plus "&amp;$B464&amp;" plus "&amp;$B465&amp;" plus "&amp;$B466&amp;" For age "&amp;$P$20&amp;" "&amp;$Q$21&amp;" should be equal to "&amp;$B462&amp;""&amp;CHAR(10),""),IF((R463+R464+R465+R466)&lt;&gt;R462," * "&amp;$A462&amp;" , "&amp;$B463&amp;" plus "&amp;$B464&amp;" plus "&amp;$B465&amp;" plus "&amp;$B466&amp;" For age "&amp;$R$20&amp;" "&amp;$R$21&amp;" should be equal to "&amp;$B462&amp;""&amp;CHAR(10),""),IF((S463+S464+S465+S466)&lt;&gt;S462," * "&amp;$A462&amp;" , "&amp;$B463&amp;" plus "&amp;$B464&amp;" plus "&amp;$B465&amp;" plus "&amp;$B466&amp;" For age "&amp;$R$20&amp;" "&amp;$S$21&amp;" should be equal to "&amp;$B462&amp;""&amp;CHAR(10),""),IF((T463+T464+T465+T466)&lt;&gt;T462," * "&amp;$A462&amp;" , "&amp;$B463&amp;" plus "&amp;$B464&amp;" plus "&amp;$B465&amp;" plus "&amp;$B466&amp;" For age "&amp;$T$20&amp;" "&amp;$T$21&amp;" should be equal to "&amp;$B462&amp;""&amp;CHAR(10),""),IF((U463+U464+U465+U466)&lt;&gt;U462," * "&amp;$A462&amp;" , "&amp;$B463&amp;" plus "&amp;$B464&amp;" plus "&amp;$B465&amp;" plus "&amp;$B466&amp;" For age "&amp;$T$20&amp;" "&amp;$U$21&amp;" should be equal to "&amp;$B462&amp;""&amp;CHAR(10),""),IF((V463+V464+V465+V466)&lt;&gt;V462," * "&amp;$A462&amp;" , "&amp;$B463&amp;" plus "&amp;$B464&amp;" plus "&amp;$B465&amp;" plus "&amp;$B466&amp;" For age "&amp;$V$20&amp;" "&amp;$V$21&amp;" should be equal to "&amp;$B462&amp;""&amp;CHAR(10),""),IF((W463+W464+W465+W466)&lt;&gt;W462," * "&amp;$A462&amp;" , "&amp;$B463&amp;" plus "&amp;$B464&amp;" plus "&amp;$B465&amp;" plus "&amp;$B466&amp;" For age "&amp;$V$20&amp;" "&amp;$W$21&amp;" should be equal to "&amp;$B462&amp;""&amp;CHAR(10),""),IF((X463+X464+X465+X466)&lt;&gt;X462," * "&amp;$A462&amp;" , "&amp;$B463&amp;" plus "&amp;$B464&amp;" plus "&amp;$B465&amp;" plus "&amp;$B466&amp;" For age "&amp;$X$20&amp;" "&amp;$X$21&amp;" should be equal to "&amp;$B462&amp;""&amp;CHAR(10),""),IF((Y463+Y464+Y465+Y466)&lt;&gt;Y462," * "&amp;$A462&amp;" , "&amp;$B463&amp;" plus "&amp;$B464&amp;" plus "&amp;$B465&amp;" plus "&amp;$B466&amp;" For age "&amp;$X$20&amp;" "&amp;$Y$21&amp;" should be equal to "&amp;$B462&amp;""&amp;CHAR(10),""),IF((Z463+Z464+Z465+Z466)&lt;&gt;Z462," * "&amp;$A462&amp;" , "&amp;$B463&amp;" plus "&amp;$B464&amp;" plus "&amp;$B465&amp;" plus "&amp;$B466&amp;" For age "&amp;$Z$20&amp;" "&amp;$Z$21&amp;" should be equal to "&amp;$B462&amp;""&amp;CHAR(10),""),IF((AA463+AA464+AA465+AA466)&lt;&gt;AA462," * "&amp;$A462&amp;" , "&amp;$B463&amp;" plus "&amp;$B464&amp;" plus "&amp;$B465&amp;" plus "&amp;$B466&amp;" For age "&amp;$Z$20&amp;" "&amp;$AA$21&amp;" should be equal to "&amp;$B462&amp;""&amp;CHAR(10),""))</f>
        <v/>
      </c>
      <c r="AL462" s="1456"/>
      <c r="AM462" s="31"/>
      <c r="AN462" s="744"/>
      <c r="AO462" s="13">
        <v>31</v>
      </c>
      <c r="AP462" s="81"/>
      <c r="AQ462" s="82"/>
    </row>
    <row r="463" spans="1:43" s="83" customFormat="1" ht="26.25" x14ac:dyDescent="0.4">
      <c r="A463" s="1204"/>
      <c r="B463" s="690" t="s">
        <v>1022</v>
      </c>
      <c r="C463" s="694" t="s">
        <v>1014</v>
      </c>
      <c r="D463" s="586"/>
      <c r="E463" s="705"/>
      <c r="F463" s="517"/>
      <c r="G463" s="514"/>
      <c r="H463" s="514"/>
      <c r="I463" s="514"/>
      <c r="J463" s="514"/>
      <c r="K463" s="514"/>
      <c r="L463" s="514"/>
      <c r="M463" s="514"/>
      <c r="N463" s="514"/>
      <c r="O463" s="514"/>
      <c r="P463" s="514"/>
      <c r="Q463" s="514"/>
      <c r="R463" s="514"/>
      <c r="S463" s="514"/>
      <c r="T463" s="514"/>
      <c r="U463" s="514"/>
      <c r="V463" s="514"/>
      <c r="W463" s="514"/>
      <c r="X463" s="514"/>
      <c r="Y463" s="514"/>
      <c r="Z463" s="463">
        <f t="shared" ref="Z463:AA466" si="137">SUM(AB463,AD463,AF463,AH463)</f>
        <v>0</v>
      </c>
      <c r="AA463" s="463">
        <f t="shared" si="137"/>
        <v>0</v>
      </c>
      <c r="AB463" s="514"/>
      <c r="AC463" s="514"/>
      <c r="AD463" s="514"/>
      <c r="AE463" s="514"/>
      <c r="AF463" s="514"/>
      <c r="AG463" s="514"/>
      <c r="AH463" s="514"/>
      <c r="AI463" s="514"/>
      <c r="AJ463" s="452">
        <f t="shared" si="135"/>
        <v>0</v>
      </c>
      <c r="AK463" s="1206"/>
      <c r="AL463" s="1456"/>
      <c r="AM463" s="31" t="str">
        <f>CONCATENATE(IF(AND(IFERROR((AJ464*100)/AJ463,0)&gt;10,AJ464&gt;5)," * This facility has a high positivity rate for Index Testing. Kindly confirm if this is the true reflection"&amp;CHAR(10),""),"")</f>
        <v/>
      </c>
      <c r="AN463" s="744"/>
      <c r="AO463" s="13">
        <v>32</v>
      </c>
      <c r="AP463" s="81"/>
      <c r="AQ463" s="82"/>
    </row>
    <row r="464" spans="1:43" s="83" customFormat="1" ht="26.25" x14ac:dyDescent="0.4">
      <c r="A464" s="1204"/>
      <c r="B464" s="690" t="s">
        <v>1003</v>
      </c>
      <c r="C464" s="694" t="s">
        <v>1015</v>
      </c>
      <c r="D464" s="678"/>
      <c r="E464" s="706"/>
      <c r="F464" s="518"/>
      <c r="G464" s="455"/>
      <c r="H464" s="455"/>
      <c r="I464" s="455"/>
      <c r="J464" s="455"/>
      <c r="K464" s="455"/>
      <c r="L464" s="455"/>
      <c r="M464" s="455"/>
      <c r="N464" s="455"/>
      <c r="O464" s="455"/>
      <c r="P464" s="455"/>
      <c r="Q464" s="455"/>
      <c r="R464" s="455"/>
      <c r="S464" s="455"/>
      <c r="T464" s="455"/>
      <c r="U464" s="455"/>
      <c r="V464" s="455"/>
      <c r="W464" s="455"/>
      <c r="X464" s="455"/>
      <c r="Y464" s="455"/>
      <c r="Z464" s="463">
        <f t="shared" si="137"/>
        <v>0</v>
      </c>
      <c r="AA464" s="463">
        <f t="shared" si="137"/>
        <v>0</v>
      </c>
      <c r="AB464" s="455"/>
      <c r="AC464" s="455"/>
      <c r="AD464" s="455"/>
      <c r="AE464" s="455"/>
      <c r="AF464" s="455"/>
      <c r="AG464" s="455"/>
      <c r="AH464" s="455"/>
      <c r="AI464" s="455"/>
      <c r="AJ464" s="453">
        <f t="shared" si="135"/>
        <v>0</v>
      </c>
      <c r="AK464" s="1206"/>
      <c r="AL464" s="1456"/>
      <c r="AM464" s="31" t="str">
        <f>CONCATENATE(IF(D463&gt;0," * F01-12 for Age "&amp;D450&amp;" "&amp;D451&amp;" has a value greater than 0"&amp;CHAR(10),""),IF(E463&gt;0," * F01-12 for Age "&amp;D450&amp;" "&amp;E451&amp;" has a value greater than 0"&amp;CHAR(10),""),IF(D464&gt;0," * F01-13 for Age "&amp;D450&amp;" "&amp;D451&amp;" has a value greater than 0"&amp;CHAR(10),""),IF(E464&gt;0," * F01-13 for Age "&amp;D450&amp;" "&amp;E451&amp;" has a value greater than 0"&amp;CHAR(10),""),IF(D527&gt;0," * F01-15 for Age "&amp;D450&amp;" "&amp;D451&amp;" has a value greater than 0"&amp;CHAR(10),""),IF(E527&gt;0," * F01-15 for Age "&amp;D450&amp;" "&amp;E451&amp;" has a value greater than 0"&amp;CHAR(10),""),IF(D532&gt;0," * F01-20 for Age "&amp;D450&amp;" "&amp;D451&amp;" has a value greater than 0"&amp;CHAR(10),""),IF(E532&gt;0," * F01-20 for Age "&amp;D450&amp;" "&amp;E451&amp;" has a value greater than 0"&amp;CHAR(10),""),IF(D533&gt;0," * F01-21 for Age "&amp;D450&amp;" "&amp;D451&amp;" has a value greater than 0"&amp;CHAR(10),""),IF(E533&gt;0," * F01-21 for Age "&amp;D450&amp;" "&amp;E451&amp;" has a value greater than 0"&amp;CHAR(10),""),IF(D534&gt;0," * F01-22 for Age "&amp;D450&amp;" "&amp;D451&amp;" has a value greater than 0"&amp;CHAR(10),""),IF(E534&gt;0," * F01-22 for Age "&amp;D450&amp;" "&amp;E451&amp;" has a value greater than 0"&amp;CHAR(10),""),IF(D535&gt;0," * F01-23 for Age "&amp;D450&amp;" "&amp;D451&amp;" has a value greater than 0"&amp;CHAR(10),""),IF(E535&gt;0," * F01-23 for Age "&amp;D450&amp;" "&amp;E451&amp;" has a value greater than 0"&amp;CHAR(10),""),"")</f>
        <v/>
      </c>
      <c r="AN464" s="744"/>
      <c r="AO464" s="13">
        <v>33</v>
      </c>
      <c r="AP464" s="81"/>
      <c r="AQ464" s="82"/>
    </row>
    <row r="465" spans="1:43" s="83" customFormat="1" ht="26.25" x14ac:dyDescent="0.4">
      <c r="A465" s="1204"/>
      <c r="B465" s="690" t="s">
        <v>1005</v>
      </c>
      <c r="C465" s="694" t="s">
        <v>1016</v>
      </c>
      <c r="D465" s="678"/>
      <c r="E465" s="706"/>
      <c r="F465" s="519"/>
      <c r="G465" s="462"/>
      <c r="H465" s="462"/>
      <c r="I465" s="462"/>
      <c r="J465" s="462"/>
      <c r="K465" s="462"/>
      <c r="L465" s="462"/>
      <c r="M465" s="462"/>
      <c r="N465" s="462"/>
      <c r="O465" s="462"/>
      <c r="P465" s="462"/>
      <c r="Q465" s="462"/>
      <c r="R465" s="462"/>
      <c r="S465" s="462"/>
      <c r="T465" s="462"/>
      <c r="U465" s="462"/>
      <c r="V465" s="462"/>
      <c r="W465" s="462"/>
      <c r="X465" s="462"/>
      <c r="Y465" s="462"/>
      <c r="Z465" s="463">
        <f t="shared" si="137"/>
        <v>0</v>
      </c>
      <c r="AA465" s="463">
        <f t="shared" si="137"/>
        <v>0</v>
      </c>
      <c r="AB465" s="462"/>
      <c r="AC465" s="462"/>
      <c r="AD465" s="462"/>
      <c r="AE465" s="462"/>
      <c r="AF465" s="462"/>
      <c r="AG465" s="462"/>
      <c r="AH465" s="462"/>
      <c r="AI465" s="462"/>
      <c r="AJ465" s="453">
        <f t="shared" si="135"/>
        <v>0</v>
      </c>
      <c r="AK465" s="445"/>
      <c r="AL465" s="1456"/>
      <c r="AM465" s="31" t="str">
        <f>CONCATENATE(IF(D464&gt;0," * F01-12 for Age "&amp;D451&amp;" "&amp;D452&amp;" has a value greater than 0"&amp;CHAR(10),""),IF(E464&gt;0," * F01-12 for Age "&amp;D451&amp;" "&amp;E452&amp;" has a value greater than 0"&amp;CHAR(10),""),IF(D465&gt;0," * F01-13 for Age "&amp;D451&amp;" "&amp;D452&amp;" has a value greater than 0"&amp;CHAR(10),""),IF(E465&gt;0," * F01-13 for Age "&amp;D451&amp;" "&amp;E452&amp;" has a value greater than 0"&amp;CHAR(10),""),IF(D527&gt;0," * F01-14 for Age "&amp;D451&amp;" "&amp;D452&amp;" has a value greater than 0"&amp;CHAR(10),""),IF(E527&gt;0," * F01-14 for Age "&amp;D451&amp;" "&amp;E452&amp;" has a value greater than 0"&amp;CHAR(10),""),IF(D528&gt;0," * F01-15 for Age "&amp;D451&amp;" "&amp;D452&amp;" has a value greater than 0"&amp;CHAR(10),""),IF(E528&gt;0," * F01-15 for Age "&amp;D451&amp;" "&amp;E452&amp;" has a value greater than 0"&amp;CHAR(10),""),IF(D533&gt;0," * F01-20 for Age "&amp;D451&amp;" "&amp;D452&amp;" has a value greater than 0"&amp;CHAR(10),""),IF(E533&gt;0," * F01-20 for Age "&amp;D451&amp;" "&amp;E452&amp;" has a value greater than 0"&amp;CHAR(10),""),IF(D534&gt;0," * F01-21 for Age "&amp;D451&amp;" "&amp;D452&amp;" has a value greater than 0"&amp;CHAR(10),""),IF(E534&gt;0," * F01-21 for Age "&amp;D451&amp;" "&amp;E452&amp;" has a value greater than 0"&amp;CHAR(10),""),IF(D535&gt;0," * F01-22 for Age "&amp;D451&amp;" "&amp;D452&amp;" has a value greater than 0"&amp;CHAR(10),""),IF(E535&gt;0," * F01-22 for Age "&amp;D451&amp;" "&amp;E452&amp;" has a value greater than 0"&amp;CHAR(10),""),IF(D536&gt;0," * F01-23 for Age "&amp;D451&amp;" "&amp;D452&amp;" has a value greater than 0"&amp;CHAR(10),""),IF(E536&gt;0," * F01-23 for Age "&amp;D451&amp;" "&amp;E452&amp;" has a value greater than 0"&amp;CHAR(10),""),"")</f>
        <v/>
      </c>
      <c r="AN465" s="744"/>
      <c r="AO465" s="13">
        <v>33</v>
      </c>
      <c r="AP465" s="81"/>
      <c r="AQ465" s="82"/>
    </row>
    <row r="466" spans="1:43" s="83" customFormat="1" ht="27" thickBot="1" x14ac:dyDescent="0.45">
      <c r="A466" s="1205"/>
      <c r="B466" s="691" t="s">
        <v>1007</v>
      </c>
      <c r="C466" s="695" t="s">
        <v>1017</v>
      </c>
      <c r="D466" s="679"/>
      <c r="E466" s="707"/>
      <c r="F466" s="520"/>
      <c r="G466" s="516"/>
      <c r="H466" s="516"/>
      <c r="I466" s="516"/>
      <c r="J466" s="516"/>
      <c r="K466" s="516"/>
      <c r="L466" s="516"/>
      <c r="M466" s="516"/>
      <c r="N466" s="516"/>
      <c r="O466" s="516"/>
      <c r="P466" s="516"/>
      <c r="Q466" s="516"/>
      <c r="R466" s="516"/>
      <c r="S466" s="516"/>
      <c r="T466" s="516"/>
      <c r="U466" s="516"/>
      <c r="V466" s="516"/>
      <c r="W466" s="516"/>
      <c r="X466" s="516"/>
      <c r="Y466" s="516"/>
      <c r="Z466" s="463">
        <f t="shared" si="137"/>
        <v>0</v>
      </c>
      <c r="AA466" s="463">
        <f t="shared" si="137"/>
        <v>0</v>
      </c>
      <c r="AB466" s="516"/>
      <c r="AC466" s="516"/>
      <c r="AD466" s="516"/>
      <c r="AE466" s="516"/>
      <c r="AF466" s="516"/>
      <c r="AG466" s="516"/>
      <c r="AH466" s="516"/>
      <c r="AI466" s="516"/>
      <c r="AJ466" s="454">
        <f t="shared" si="135"/>
        <v>0</v>
      </c>
      <c r="AK466" s="445"/>
      <c r="AL466" s="1456"/>
      <c r="AM466" s="31" t="str">
        <f>CONCATENATE(IF(D465&gt;0," * F01-12 for Age "&amp;D452&amp;" "&amp;D453&amp;" has a value greater than 0"&amp;CHAR(10),""),IF(E465&gt;0," * F01-12 for Age "&amp;D452&amp;" "&amp;E453&amp;" has a value greater than 0"&amp;CHAR(10),""),IF(D466&gt;0," * F01-13 for Age "&amp;D452&amp;" "&amp;D453&amp;" has a value greater than 0"&amp;CHAR(10),""),IF(E466&gt;0," * F01-13 for Age "&amp;D452&amp;" "&amp;E453&amp;" has a value greater than 0"&amp;CHAR(10),""),IF(D528&gt;0," * F01-14 for Age "&amp;D452&amp;" "&amp;D453&amp;" has a value greater than 0"&amp;CHAR(10),""),IF(E528&gt;0," * F01-14 for Age "&amp;D452&amp;" "&amp;E453&amp;" has a value greater than 0"&amp;CHAR(10),""),IF(D529&gt;0," * F01-15 for Age "&amp;D452&amp;" "&amp;D453&amp;" has a value greater than 0"&amp;CHAR(10),""),IF(E529&gt;0," * F01-15 for Age "&amp;D452&amp;" "&amp;E453&amp;" has a value greater than 0"&amp;CHAR(10),""),IF(D534&gt;0," * F01-20 for Age "&amp;D452&amp;" "&amp;D453&amp;" has a value greater than 0"&amp;CHAR(10),""),IF(E534&gt;0," * F01-20 for Age "&amp;D452&amp;" "&amp;E453&amp;" has a value greater than 0"&amp;CHAR(10),""),IF(D535&gt;0," * F01-21 for Age "&amp;D452&amp;" "&amp;D453&amp;" has a value greater than 0"&amp;CHAR(10),""),IF(E535&gt;0," * F01-21 for Age "&amp;D452&amp;" "&amp;E453&amp;" has a value greater than 0"&amp;CHAR(10),""),IF(D536&gt;0," * F01-22 for Age "&amp;D452&amp;" "&amp;D453&amp;" has a value greater than 0"&amp;CHAR(10),""),IF(E536&gt;0," * F01-22 for Age "&amp;D452&amp;" "&amp;E453&amp;" has a value greater than 0"&amp;CHAR(10),""),IF(D537&gt;0," * F01-23 for Age "&amp;D452&amp;" "&amp;D453&amp;" has a value greater than 0"&amp;CHAR(10),""),IF(E537&gt;0," * F01-23 for Age "&amp;D452&amp;" "&amp;E453&amp;" has a value greater than 0"&amp;CHAR(10),""),"")</f>
        <v/>
      </c>
      <c r="AN466" s="744"/>
      <c r="AO466" s="13">
        <v>33</v>
      </c>
      <c r="AP466" s="81"/>
      <c r="AQ466" s="82"/>
    </row>
    <row r="467" spans="1:43" s="83" customFormat="1" ht="27" thickBot="1" x14ac:dyDescent="0.45">
      <c r="A467" s="1203" t="s">
        <v>15</v>
      </c>
      <c r="B467" s="689" t="s">
        <v>128</v>
      </c>
      <c r="C467" s="693" t="s">
        <v>1018</v>
      </c>
      <c r="D467" s="676"/>
      <c r="E467" s="704"/>
      <c r="F467" s="715">
        <f t="shared" ref="F467:AI467" si="138">F40</f>
        <v>0</v>
      </c>
      <c r="G467" s="461">
        <f t="shared" si="138"/>
        <v>0</v>
      </c>
      <c r="H467" s="461">
        <f t="shared" si="138"/>
        <v>0</v>
      </c>
      <c r="I467" s="461">
        <f t="shared" si="138"/>
        <v>0</v>
      </c>
      <c r="J467" s="461">
        <f t="shared" si="138"/>
        <v>0</v>
      </c>
      <c r="K467" s="461">
        <f t="shared" si="138"/>
        <v>0</v>
      </c>
      <c r="L467" s="461">
        <f t="shared" si="138"/>
        <v>0</v>
      </c>
      <c r="M467" s="461">
        <f t="shared" si="138"/>
        <v>0</v>
      </c>
      <c r="N467" s="461">
        <f t="shared" si="138"/>
        <v>0</v>
      </c>
      <c r="O467" s="461">
        <f t="shared" si="138"/>
        <v>0</v>
      </c>
      <c r="P467" s="461">
        <f t="shared" si="138"/>
        <v>0</v>
      </c>
      <c r="Q467" s="461">
        <f t="shared" si="138"/>
        <v>0</v>
      </c>
      <c r="R467" s="461">
        <f t="shared" si="138"/>
        <v>0</v>
      </c>
      <c r="S467" s="461">
        <f t="shared" si="138"/>
        <v>0</v>
      </c>
      <c r="T467" s="461">
        <f t="shared" si="138"/>
        <v>0</v>
      </c>
      <c r="U467" s="461">
        <f t="shared" si="138"/>
        <v>0</v>
      </c>
      <c r="V467" s="461">
        <f t="shared" si="138"/>
        <v>0</v>
      </c>
      <c r="W467" s="461">
        <f t="shared" si="138"/>
        <v>0</v>
      </c>
      <c r="X467" s="461">
        <f t="shared" si="138"/>
        <v>0</v>
      </c>
      <c r="Y467" s="461">
        <f t="shared" si="138"/>
        <v>0</v>
      </c>
      <c r="Z467" s="461">
        <f t="shared" si="138"/>
        <v>0</v>
      </c>
      <c r="AA467" s="461">
        <f t="shared" si="138"/>
        <v>0</v>
      </c>
      <c r="AB467" s="461">
        <f t="shared" si="138"/>
        <v>0</v>
      </c>
      <c r="AC467" s="461">
        <f t="shared" si="138"/>
        <v>0</v>
      </c>
      <c r="AD467" s="461">
        <f t="shared" si="138"/>
        <v>0</v>
      </c>
      <c r="AE467" s="461">
        <f t="shared" si="138"/>
        <v>0</v>
      </c>
      <c r="AF467" s="461">
        <f t="shared" si="138"/>
        <v>0</v>
      </c>
      <c r="AG467" s="461">
        <f t="shared" si="138"/>
        <v>0</v>
      </c>
      <c r="AH467" s="461">
        <f t="shared" si="138"/>
        <v>0</v>
      </c>
      <c r="AI467" s="461">
        <f t="shared" si="138"/>
        <v>0</v>
      </c>
      <c r="AJ467" s="451">
        <f t="shared" si="135"/>
        <v>0</v>
      </c>
      <c r="AK467" s="512" t="str">
        <f>CONCATENATE(IF((D468+D469+D470+D471)&lt;&gt;D467," * "&amp;$A467&amp;" , "&amp;$B468&amp;" plus "&amp;$B469&amp;" plus "&amp;$B470&amp;" plus "&amp;$B471&amp;" For age "&amp;$D$20&amp;" "&amp;$D$21&amp;" should be equal to "&amp;$B467&amp;""&amp;CHAR(10),""),IF((E468+E469+E470+E471)&lt;&gt;E467," * "&amp;$A467&amp;" , "&amp;$B468&amp;" plus "&amp;$B469&amp;" plus "&amp;$B470&amp;" plus "&amp;$B471&amp;" For age "&amp;$D$20&amp;" "&amp;$E$21&amp;" should be equal to "&amp;$B467&amp;""&amp;CHAR(10),""),IF((F468+F469+F470+F471)&lt;&gt;F467," * "&amp;$A467&amp;" , "&amp;$B468&amp;" plus "&amp;$B469&amp;" plus "&amp;$B470&amp;" plus "&amp;$B471&amp;" For age "&amp;$F$20&amp;" "&amp;$F$21&amp;" should be equal to "&amp;$B467&amp;""&amp;CHAR(10),""),IF((G468+G469+G470+G471)&lt;&gt;G467," * "&amp;$A467&amp;" , "&amp;$B468&amp;" plus "&amp;$B469&amp;" plus "&amp;$B470&amp;" plus "&amp;$B471&amp;" For age "&amp;$F$20&amp;" "&amp;$G$21&amp;" should be equal to "&amp;$B467&amp;""&amp;CHAR(10),""),IF((H468+H469+H470+H471)&lt;&gt;H467," * "&amp;$A467&amp;" , "&amp;$B468&amp;" plus "&amp;$B469&amp;" plus "&amp;$B470&amp;" plus "&amp;$B471&amp;" For age "&amp;$H$20&amp;" "&amp;$H$21&amp;" should be equal to "&amp;$B467&amp;""&amp;CHAR(10),""),IF((I468+I469+I470+I471)&lt;&gt;I467," * "&amp;$A467&amp;" , "&amp;$B468&amp;" plus "&amp;$B469&amp;" plus "&amp;$B470&amp;" plus "&amp;$B471&amp;" For age "&amp;$H$20&amp;" "&amp;$I$21&amp;" should be equal to "&amp;$B467&amp;""&amp;CHAR(10),""),IF((J468+J469+J470+J471)&lt;&gt;J467," * "&amp;$A467&amp;" , "&amp;$B468&amp;" plus "&amp;$B469&amp;" plus "&amp;$B470&amp;" plus "&amp;$B471&amp;" For age "&amp;$J$20&amp;" "&amp;$J$21&amp;" should be equal to "&amp;$B467&amp;""&amp;CHAR(10),""),IF((K468+K469+K470+K471)&lt;&gt;K467," * "&amp;$A467&amp;" , "&amp;$B468&amp;" plus "&amp;$B469&amp;" plus "&amp;$B470&amp;" plus "&amp;$B471&amp;" For age "&amp;$J$20&amp;" "&amp;$K$21&amp;" should be equal to "&amp;$B467&amp;""&amp;CHAR(10),""),IF((L468+L469+L470+L471)&lt;&gt;L467," * "&amp;$A467&amp;" , "&amp;$B468&amp;" plus "&amp;$B469&amp;" plus "&amp;$B470&amp;" plus "&amp;$B471&amp;" For age "&amp;$L$20&amp;" "&amp;$L$21&amp;" should be equal to "&amp;$B467&amp;""&amp;CHAR(10),""),IF((M468+M469+M470+M471)&lt;&gt;M467," * "&amp;$A467&amp;" , "&amp;$B468&amp;" plus "&amp;$B469&amp;" plus "&amp;$B470&amp;" plus "&amp;$B471&amp;" For age "&amp;$L$20&amp;" "&amp;$M$21&amp;" should be equal to "&amp;$B467&amp;""&amp;CHAR(10),""),IF((N468+N469+N470+N471)&lt;&gt;N467," * "&amp;$A467&amp;" , "&amp;$B468&amp;" plus "&amp;$B469&amp;" plus "&amp;$B470&amp;" plus "&amp;$B471&amp;" For age "&amp;$N$20&amp;" "&amp;$N$21&amp;" should be equal to "&amp;$B467&amp;""&amp;CHAR(10),""),IF((O468+O469+O470+O471)&lt;&gt;O467," * "&amp;$A467&amp;" , "&amp;$B468&amp;" plus "&amp;$B469&amp;" plus "&amp;$B470&amp;" plus "&amp;$B471&amp;" For age "&amp;$N$20&amp;" "&amp;$O$21&amp;" should be equal to "&amp;$B467&amp;""&amp;CHAR(10),""),IF((P468+P469+P470+P471)&lt;&gt;P467," * "&amp;$A467&amp;" , "&amp;$B468&amp;" plus "&amp;$B469&amp;" plus "&amp;$B470&amp;" plus "&amp;$B471&amp;" For age "&amp;$P$20&amp;" "&amp;$P$21&amp;" should be equal to "&amp;$B467&amp;""&amp;CHAR(10),""),IF((Q468+Q469+Q470+Q471)&lt;&gt;Q467," * "&amp;$A467&amp;" , "&amp;$B468&amp;" plus "&amp;$B469&amp;" plus "&amp;$B470&amp;" plus "&amp;$B471&amp;" For age "&amp;$P$20&amp;" "&amp;$Q$21&amp;" should be equal to "&amp;$B467&amp;""&amp;CHAR(10),""),IF((R468+R469+R470+R471)&lt;&gt;R467," * "&amp;$A467&amp;" , "&amp;$B468&amp;" plus "&amp;$B469&amp;" plus "&amp;$B470&amp;" plus "&amp;$B471&amp;" For age "&amp;$R$20&amp;" "&amp;$R$21&amp;" should be equal to "&amp;$B467&amp;""&amp;CHAR(10),""),IF((S468+S469+S470+S471)&lt;&gt;S467," * "&amp;$A467&amp;" , "&amp;$B468&amp;" plus "&amp;$B469&amp;" plus "&amp;$B470&amp;" plus "&amp;$B471&amp;" For age "&amp;$R$20&amp;" "&amp;$S$21&amp;" should be equal to "&amp;$B467&amp;""&amp;CHAR(10),""),IF((T468+T469+T470+T471)&lt;&gt;T467," * "&amp;$A467&amp;" , "&amp;$B468&amp;" plus "&amp;$B469&amp;" plus "&amp;$B470&amp;" plus "&amp;$B471&amp;" For age "&amp;$T$20&amp;" "&amp;$T$21&amp;" should be equal to "&amp;$B467&amp;""&amp;CHAR(10),""),IF((U468+U469+U470+U471)&lt;&gt;U467," * "&amp;$A467&amp;" , "&amp;$B468&amp;" plus "&amp;$B469&amp;" plus "&amp;$B470&amp;" plus "&amp;$B471&amp;" For age "&amp;$T$20&amp;" "&amp;$U$21&amp;" should be equal to "&amp;$B467&amp;""&amp;CHAR(10),""),IF((V468+V469+V470+V471)&lt;&gt;V467," * "&amp;$A467&amp;" , "&amp;$B468&amp;" plus "&amp;$B469&amp;" plus "&amp;$B470&amp;" plus "&amp;$B471&amp;" For age "&amp;$V$20&amp;" "&amp;$V$21&amp;" should be equal to "&amp;$B467&amp;""&amp;CHAR(10),""),IF((W468+W469+W470+W471)&lt;&gt;W467," * "&amp;$A467&amp;" , "&amp;$B468&amp;" plus "&amp;$B469&amp;" plus "&amp;$B470&amp;" plus "&amp;$B471&amp;" For age "&amp;$V$20&amp;" "&amp;$W$21&amp;" should be equal to "&amp;$B467&amp;""&amp;CHAR(10),""),IF((X468+X469+X470+X471)&lt;&gt;X467," * "&amp;$A467&amp;" , "&amp;$B468&amp;" plus "&amp;$B469&amp;" plus "&amp;$B470&amp;" plus "&amp;$B471&amp;" For age "&amp;$X$20&amp;" "&amp;$X$21&amp;" should be equal to "&amp;$B467&amp;""&amp;CHAR(10),""),IF((Y468+Y469+Y470+Y471)&lt;&gt;Y467," * "&amp;$A467&amp;" , "&amp;$B468&amp;" plus "&amp;$B469&amp;" plus "&amp;$B470&amp;" plus "&amp;$B471&amp;" For age "&amp;$X$20&amp;" "&amp;$Y$21&amp;" should be equal to "&amp;$B467&amp;""&amp;CHAR(10),""),IF((Z468+Z469+Z470+Z471)&lt;&gt;Z467," * "&amp;$A467&amp;" , "&amp;$B468&amp;" plus "&amp;$B469&amp;" plus "&amp;$B470&amp;" plus "&amp;$B471&amp;" For age "&amp;$Z$20&amp;" "&amp;$Z$21&amp;" should be equal to "&amp;$B467&amp;""&amp;CHAR(10),""),IF((AA468+AA469+AA470+AA471)&lt;&gt;AA467," * "&amp;$A467&amp;" , "&amp;$B468&amp;" plus "&amp;$B469&amp;" plus "&amp;$B470&amp;" plus "&amp;$B471&amp;" For age "&amp;$Z$20&amp;" "&amp;$AA$21&amp;" should be equal to "&amp;$B467&amp;""&amp;CHAR(10),""))</f>
        <v/>
      </c>
      <c r="AL467" s="1456"/>
      <c r="AM467" s="31"/>
      <c r="AN467" s="744"/>
      <c r="AO467" s="13">
        <v>31</v>
      </c>
      <c r="AP467" s="81"/>
      <c r="AQ467" s="82"/>
    </row>
    <row r="468" spans="1:43" s="83" customFormat="1" ht="26.25" x14ac:dyDescent="0.4">
      <c r="A468" s="1204"/>
      <c r="B468" s="690" t="s">
        <v>1022</v>
      </c>
      <c r="C468" s="694" t="s">
        <v>1019</v>
      </c>
      <c r="D468" s="586"/>
      <c r="E468" s="705"/>
      <c r="F468" s="517"/>
      <c r="G468" s="514"/>
      <c r="H468" s="514"/>
      <c r="I468" s="514"/>
      <c r="J468" s="514"/>
      <c r="K468" s="514"/>
      <c r="L468" s="514"/>
      <c r="M468" s="514"/>
      <c r="N468" s="514"/>
      <c r="O468" s="514"/>
      <c r="P468" s="514"/>
      <c r="Q468" s="514"/>
      <c r="R468" s="514"/>
      <c r="S468" s="514"/>
      <c r="T468" s="514"/>
      <c r="U468" s="514"/>
      <c r="V468" s="514"/>
      <c r="W468" s="514"/>
      <c r="X468" s="514"/>
      <c r="Y468" s="514"/>
      <c r="Z468" s="463">
        <f t="shared" ref="Z468:AA471" si="139">SUM(AB468,AD468,AF468,AH468)</f>
        <v>0</v>
      </c>
      <c r="AA468" s="463">
        <f t="shared" si="139"/>
        <v>0</v>
      </c>
      <c r="AB468" s="514"/>
      <c r="AC468" s="514"/>
      <c r="AD468" s="514"/>
      <c r="AE468" s="514"/>
      <c r="AF468" s="514"/>
      <c r="AG468" s="514"/>
      <c r="AH468" s="514"/>
      <c r="AI468" s="514"/>
      <c r="AJ468" s="452">
        <f t="shared" si="135"/>
        <v>0</v>
      </c>
      <c r="AK468" s="1206"/>
      <c r="AL468" s="1456"/>
      <c r="AM468" s="31" t="str">
        <f>CONCATENATE(IF(AND(IFERROR((AJ469*100)/AJ468,0)&gt;10,AJ469&gt;5)," * This facility has a high positivity rate for Index Testing. Kindly confirm if this is the true reflection"&amp;CHAR(10),""),"")</f>
        <v/>
      </c>
      <c r="AN468" s="744"/>
      <c r="AO468" s="13">
        <v>32</v>
      </c>
      <c r="AP468" s="81"/>
      <c r="AQ468" s="82"/>
    </row>
    <row r="469" spans="1:43" s="83" customFormat="1" ht="26.25" x14ac:dyDescent="0.4">
      <c r="A469" s="1204"/>
      <c r="B469" s="690" t="s">
        <v>1003</v>
      </c>
      <c r="C469" s="694" t="s">
        <v>1020</v>
      </c>
      <c r="D469" s="678"/>
      <c r="E469" s="706"/>
      <c r="F469" s="518"/>
      <c r="G469" s="455"/>
      <c r="H469" s="455"/>
      <c r="I469" s="455"/>
      <c r="J469" s="455"/>
      <c r="K469" s="455"/>
      <c r="L469" s="455"/>
      <c r="M469" s="455"/>
      <c r="N469" s="455"/>
      <c r="O469" s="455"/>
      <c r="P469" s="455"/>
      <c r="Q469" s="455"/>
      <c r="R469" s="455"/>
      <c r="S469" s="455"/>
      <c r="T469" s="455"/>
      <c r="U469" s="455"/>
      <c r="V469" s="455"/>
      <c r="W469" s="455"/>
      <c r="X469" s="455"/>
      <c r="Y469" s="455"/>
      <c r="Z469" s="463">
        <f t="shared" si="139"/>
        <v>0</v>
      </c>
      <c r="AA469" s="463">
        <f t="shared" si="139"/>
        <v>0</v>
      </c>
      <c r="AB469" s="455"/>
      <c r="AC469" s="455"/>
      <c r="AD469" s="455"/>
      <c r="AE469" s="455"/>
      <c r="AF469" s="455"/>
      <c r="AG469" s="455"/>
      <c r="AH469" s="455"/>
      <c r="AI469" s="455"/>
      <c r="AJ469" s="453">
        <f t="shared" si="135"/>
        <v>0</v>
      </c>
      <c r="AK469" s="1206"/>
      <c r="AL469" s="1456"/>
      <c r="AM469" s="31" t="str">
        <f>CONCATENATE(IF(D468&gt;0," * F01-12 for Age "&amp;D455&amp;" "&amp;D456&amp;" has a value greater than 0"&amp;CHAR(10),""),IF(E468&gt;0," * F01-12 for Age "&amp;D455&amp;" "&amp;E456&amp;" has a value greater than 0"&amp;CHAR(10),""),IF(D469&gt;0," * F01-13 for Age "&amp;D455&amp;" "&amp;D456&amp;" has a value greater than 0"&amp;CHAR(10),""),IF(E469&gt;0," * F01-13 for Age "&amp;D455&amp;" "&amp;E456&amp;" has a value greater than 0"&amp;CHAR(10),""),IF(D532&gt;0," * F01-15 for Age "&amp;D455&amp;" "&amp;D456&amp;" has a value greater than 0"&amp;CHAR(10),""),IF(E532&gt;0," * F01-15 for Age "&amp;D455&amp;" "&amp;E456&amp;" has a value greater than 0"&amp;CHAR(10),""),IF(D537&gt;0," * F01-20 for Age "&amp;D455&amp;" "&amp;D456&amp;" has a value greater than 0"&amp;CHAR(10),""),IF(E537&gt;0," * F01-20 for Age "&amp;D455&amp;" "&amp;E456&amp;" has a value greater than 0"&amp;CHAR(10),""),IF(D538&gt;0," * F01-21 for Age "&amp;D455&amp;" "&amp;D456&amp;" has a value greater than 0"&amp;CHAR(10),""),IF(E538&gt;0," * F01-21 for Age "&amp;D455&amp;" "&amp;E456&amp;" has a value greater than 0"&amp;CHAR(10),""),IF(D539&gt;0," * F01-22 for Age "&amp;D455&amp;" "&amp;D456&amp;" has a value greater than 0"&amp;CHAR(10),""),IF(E539&gt;0," * F01-22 for Age "&amp;D455&amp;" "&amp;E456&amp;" has a value greater than 0"&amp;CHAR(10),""),IF(D540&gt;0," * F01-23 for Age "&amp;D455&amp;" "&amp;D456&amp;" has a value greater than 0"&amp;CHAR(10),""),IF(E540&gt;0," * F01-23 for Age "&amp;D455&amp;" "&amp;E456&amp;" has a value greater than 0"&amp;CHAR(10),""),"")</f>
        <v/>
      </c>
      <c r="AN469" s="744"/>
      <c r="AO469" s="13">
        <v>33</v>
      </c>
      <c r="AP469" s="81"/>
      <c r="AQ469" s="82"/>
    </row>
    <row r="470" spans="1:43" s="83" customFormat="1" ht="26.25" x14ac:dyDescent="0.4">
      <c r="A470" s="1204"/>
      <c r="B470" s="690" t="s">
        <v>1005</v>
      </c>
      <c r="C470" s="694" t="s">
        <v>1021</v>
      </c>
      <c r="D470" s="678"/>
      <c r="E470" s="706"/>
      <c r="F470" s="519"/>
      <c r="G470" s="462"/>
      <c r="H470" s="462"/>
      <c r="I470" s="462"/>
      <c r="J470" s="462"/>
      <c r="K470" s="462"/>
      <c r="L470" s="462"/>
      <c r="M470" s="462"/>
      <c r="N470" s="462"/>
      <c r="O470" s="462"/>
      <c r="P470" s="462"/>
      <c r="Q470" s="462"/>
      <c r="R470" s="462"/>
      <c r="S470" s="462"/>
      <c r="T470" s="462"/>
      <c r="U470" s="462"/>
      <c r="V470" s="462"/>
      <c r="W470" s="462"/>
      <c r="X470" s="462"/>
      <c r="Y470" s="462"/>
      <c r="Z470" s="463">
        <f t="shared" si="139"/>
        <v>0</v>
      </c>
      <c r="AA470" s="463">
        <f t="shared" si="139"/>
        <v>0</v>
      </c>
      <c r="AB470" s="462"/>
      <c r="AC470" s="462"/>
      <c r="AD470" s="462"/>
      <c r="AE470" s="462"/>
      <c r="AF470" s="462"/>
      <c r="AG470" s="462"/>
      <c r="AH470" s="462"/>
      <c r="AI470" s="462"/>
      <c r="AJ470" s="453">
        <f t="shared" si="135"/>
        <v>0</v>
      </c>
      <c r="AK470" s="445"/>
      <c r="AL470" s="1456"/>
      <c r="AM470" s="31" t="str">
        <f>CONCATENATE(IF(D469&gt;0," * F01-12 for Age "&amp;D456&amp;" "&amp;D457&amp;" has a value greater than 0"&amp;CHAR(10),""),IF(E469&gt;0," * F01-12 for Age "&amp;D456&amp;" "&amp;E457&amp;" has a value greater than 0"&amp;CHAR(10),""),IF(D470&gt;0," * F01-13 for Age "&amp;D456&amp;" "&amp;D457&amp;" has a value greater than 0"&amp;CHAR(10),""),IF(E470&gt;0," * F01-13 for Age "&amp;D456&amp;" "&amp;E457&amp;" has a value greater than 0"&amp;CHAR(10),""),IF(D532&gt;0," * F01-14 for Age "&amp;D456&amp;" "&amp;D457&amp;" has a value greater than 0"&amp;CHAR(10),""),IF(E532&gt;0," * F01-14 for Age "&amp;D456&amp;" "&amp;E457&amp;" has a value greater than 0"&amp;CHAR(10),""),IF(D533&gt;0," * F01-15 for Age "&amp;D456&amp;" "&amp;D457&amp;" has a value greater than 0"&amp;CHAR(10),""),IF(E533&gt;0," * F01-15 for Age "&amp;D456&amp;" "&amp;E457&amp;" has a value greater than 0"&amp;CHAR(10),""),IF(D538&gt;0," * F01-20 for Age "&amp;D456&amp;" "&amp;D457&amp;" has a value greater than 0"&amp;CHAR(10),""),IF(E538&gt;0," * F01-20 for Age "&amp;D456&amp;" "&amp;E457&amp;" has a value greater than 0"&amp;CHAR(10),""),IF(D539&gt;0," * F01-21 for Age "&amp;D456&amp;" "&amp;D457&amp;" has a value greater than 0"&amp;CHAR(10),""),IF(E539&gt;0," * F01-21 for Age "&amp;D456&amp;" "&amp;E457&amp;" has a value greater than 0"&amp;CHAR(10),""),IF(D540&gt;0," * F01-22 for Age "&amp;D456&amp;" "&amp;D457&amp;" has a value greater than 0"&amp;CHAR(10),""),IF(E540&gt;0," * F01-22 for Age "&amp;D456&amp;" "&amp;E457&amp;" has a value greater than 0"&amp;CHAR(10),""),IF(D541&gt;0," * F01-23 for Age "&amp;D456&amp;" "&amp;D457&amp;" has a value greater than 0"&amp;CHAR(10),""),IF(E541&gt;0," * F01-23 for Age "&amp;D456&amp;" "&amp;E457&amp;" has a value greater than 0"&amp;CHAR(10),""),"")</f>
        <v/>
      </c>
      <c r="AN470" s="744"/>
      <c r="AO470" s="13">
        <v>33</v>
      </c>
      <c r="AP470" s="81"/>
      <c r="AQ470" s="82"/>
    </row>
    <row r="471" spans="1:43" s="83" customFormat="1" ht="27" thickBot="1" x14ac:dyDescent="0.45">
      <c r="A471" s="1205"/>
      <c r="B471" s="691" t="s">
        <v>1007</v>
      </c>
      <c r="C471" s="695" t="s">
        <v>1027</v>
      </c>
      <c r="D471" s="679"/>
      <c r="E471" s="707"/>
      <c r="F471" s="520"/>
      <c r="G471" s="516"/>
      <c r="H471" s="516"/>
      <c r="I471" s="516"/>
      <c r="J471" s="516"/>
      <c r="K471" s="516"/>
      <c r="L471" s="516"/>
      <c r="M471" s="516"/>
      <c r="N471" s="516"/>
      <c r="O471" s="516"/>
      <c r="P471" s="516"/>
      <c r="Q471" s="516"/>
      <c r="R471" s="516"/>
      <c r="S471" s="516"/>
      <c r="T471" s="516"/>
      <c r="U471" s="516"/>
      <c r="V471" s="516"/>
      <c r="W471" s="516"/>
      <c r="X471" s="516"/>
      <c r="Y471" s="516"/>
      <c r="Z471" s="463">
        <f t="shared" si="139"/>
        <v>0</v>
      </c>
      <c r="AA471" s="463">
        <f t="shared" si="139"/>
        <v>0</v>
      </c>
      <c r="AB471" s="516"/>
      <c r="AC471" s="516"/>
      <c r="AD471" s="516"/>
      <c r="AE471" s="516"/>
      <c r="AF471" s="516"/>
      <c r="AG471" s="516"/>
      <c r="AH471" s="516"/>
      <c r="AI471" s="516"/>
      <c r="AJ471" s="454">
        <f t="shared" ref="AJ471:AJ490" si="140">SUM(D471:AA471)</f>
        <v>0</v>
      </c>
      <c r="AK471" s="445"/>
      <c r="AL471" s="1456"/>
      <c r="AM471" s="31" t="str">
        <f>CONCATENATE(IF(D470&gt;0," * F01-12 for Age "&amp;D457&amp;" "&amp;D458&amp;" has a value greater than 0"&amp;CHAR(10),""),IF(E470&gt;0," * F01-12 for Age "&amp;D457&amp;" "&amp;E458&amp;" has a value greater than 0"&amp;CHAR(10),""),IF(D471&gt;0," * F01-13 for Age "&amp;D457&amp;" "&amp;D458&amp;" has a value greater than 0"&amp;CHAR(10),""),IF(E471&gt;0," * F01-13 for Age "&amp;D457&amp;" "&amp;E458&amp;" has a value greater than 0"&amp;CHAR(10),""),IF(D533&gt;0," * F01-14 for Age "&amp;D457&amp;" "&amp;D458&amp;" has a value greater than 0"&amp;CHAR(10),""),IF(E533&gt;0," * F01-14 for Age "&amp;D457&amp;" "&amp;E458&amp;" has a value greater than 0"&amp;CHAR(10),""),IF(D534&gt;0," * F01-15 for Age "&amp;D457&amp;" "&amp;D458&amp;" has a value greater than 0"&amp;CHAR(10),""),IF(E534&gt;0," * F01-15 for Age "&amp;D457&amp;" "&amp;E458&amp;" has a value greater than 0"&amp;CHAR(10),""),IF(D539&gt;0," * F01-20 for Age "&amp;D457&amp;" "&amp;D458&amp;" has a value greater than 0"&amp;CHAR(10),""),IF(E539&gt;0," * F01-20 for Age "&amp;D457&amp;" "&amp;E458&amp;" has a value greater than 0"&amp;CHAR(10),""),IF(D540&gt;0," * F01-21 for Age "&amp;D457&amp;" "&amp;D458&amp;" has a value greater than 0"&amp;CHAR(10),""),IF(E540&gt;0," * F01-21 for Age "&amp;D457&amp;" "&amp;E458&amp;" has a value greater than 0"&amp;CHAR(10),""),IF(D541&gt;0," * F01-22 for Age "&amp;D457&amp;" "&amp;D458&amp;" has a value greater than 0"&amp;CHAR(10),""),IF(E541&gt;0," * F01-22 for Age "&amp;D457&amp;" "&amp;E458&amp;" has a value greater than 0"&amp;CHAR(10),""),IF(D542&gt;0," * F01-23 for Age "&amp;D457&amp;" "&amp;D458&amp;" has a value greater than 0"&amp;CHAR(10),""),IF(E542&gt;0," * F01-23 for Age "&amp;D457&amp;" "&amp;E458&amp;" has a value greater than 0"&amp;CHAR(10),""),"")</f>
        <v/>
      </c>
      <c r="AN471" s="744"/>
      <c r="AO471" s="13">
        <v>33</v>
      </c>
      <c r="AP471" s="81"/>
      <c r="AQ471" s="82"/>
    </row>
    <row r="472" spans="1:43" s="83" customFormat="1" ht="27" thickBot="1" x14ac:dyDescent="0.45">
      <c r="A472" s="1203" t="s">
        <v>1023</v>
      </c>
      <c r="B472" s="689" t="s">
        <v>128</v>
      </c>
      <c r="C472" s="693" t="s">
        <v>1028</v>
      </c>
      <c r="D472" s="676"/>
      <c r="E472" s="704"/>
      <c r="F472" s="715">
        <f t="shared" ref="F472:AI472" si="141">F42</f>
        <v>0</v>
      </c>
      <c r="G472" s="461">
        <f t="shared" si="141"/>
        <v>0</v>
      </c>
      <c r="H472" s="461">
        <f t="shared" si="141"/>
        <v>0</v>
      </c>
      <c r="I472" s="461">
        <f t="shared" si="141"/>
        <v>0</v>
      </c>
      <c r="J472" s="461">
        <f t="shared" si="141"/>
        <v>0</v>
      </c>
      <c r="K472" s="461">
        <f t="shared" si="141"/>
        <v>0</v>
      </c>
      <c r="L472" s="461">
        <f t="shared" si="141"/>
        <v>0</v>
      </c>
      <c r="M472" s="461">
        <f t="shared" si="141"/>
        <v>0</v>
      </c>
      <c r="N472" s="461">
        <f t="shared" si="141"/>
        <v>0</v>
      </c>
      <c r="O472" s="461">
        <f t="shared" si="141"/>
        <v>0</v>
      </c>
      <c r="P472" s="461">
        <f t="shared" si="141"/>
        <v>0</v>
      </c>
      <c r="Q472" s="461">
        <f t="shared" si="141"/>
        <v>0</v>
      </c>
      <c r="R472" s="461">
        <f t="shared" si="141"/>
        <v>0</v>
      </c>
      <c r="S472" s="461">
        <f t="shared" si="141"/>
        <v>0</v>
      </c>
      <c r="T472" s="461">
        <f t="shared" si="141"/>
        <v>0</v>
      </c>
      <c r="U472" s="461">
        <f t="shared" si="141"/>
        <v>0</v>
      </c>
      <c r="V472" s="461">
        <f t="shared" si="141"/>
        <v>0</v>
      </c>
      <c r="W472" s="461">
        <f t="shared" si="141"/>
        <v>0</v>
      </c>
      <c r="X472" s="461">
        <f t="shared" si="141"/>
        <v>0</v>
      </c>
      <c r="Y472" s="461">
        <f t="shared" si="141"/>
        <v>0</v>
      </c>
      <c r="Z472" s="461">
        <f t="shared" si="141"/>
        <v>0</v>
      </c>
      <c r="AA472" s="461">
        <f t="shared" si="141"/>
        <v>0</v>
      </c>
      <c r="AB472" s="461">
        <f t="shared" si="141"/>
        <v>0</v>
      </c>
      <c r="AC472" s="461">
        <f t="shared" si="141"/>
        <v>0</v>
      </c>
      <c r="AD472" s="461">
        <f t="shared" si="141"/>
        <v>0</v>
      </c>
      <c r="AE472" s="461">
        <f t="shared" si="141"/>
        <v>0</v>
      </c>
      <c r="AF472" s="461">
        <f t="shared" si="141"/>
        <v>0</v>
      </c>
      <c r="AG472" s="461">
        <f t="shared" si="141"/>
        <v>0</v>
      </c>
      <c r="AH472" s="461">
        <f t="shared" si="141"/>
        <v>0</v>
      </c>
      <c r="AI472" s="461">
        <f t="shared" si="141"/>
        <v>0</v>
      </c>
      <c r="AJ472" s="451">
        <f t="shared" si="140"/>
        <v>0</v>
      </c>
      <c r="AK472" s="512" t="str">
        <f>CONCATENATE(IF((D473+D474+D475+D476)&lt;&gt;D472," * "&amp;$A472&amp;" , "&amp;$B473&amp;" plus "&amp;$B474&amp;" plus "&amp;$B475&amp;" plus "&amp;$B476&amp;" For age "&amp;$D$20&amp;" "&amp;$D$21&amp;" should be equal to "&amp;$B472&amp;""&amp;CHAR(10),""),IF((E473+E474+E475+E476)&lt;&gt;E472," * "&amp;$A472&amp;" , "&amp;$B473&amp;" plus "&amp;$B474&amp;" plus "&amp;$B475&amp;" plus "&amp;$B476&amp;" For age "&amp;$D$20&amp;" "&amp;$E$21&amp;" should be equal to "&amp;$B472&amp;""&amp;CHAR(10),""),IF((F473+F474+F475+F476)&lt;&gt;F472," * "&amp;$A472&amp;" , "&amp;$B473&amp;" plus "&amp;$B474&amp;" plus "&amp;$B475&amp;" plus "&amp;$B476&amp;" For age "&amp;$F$20&amp;" "&amp;$F$21&amp;" should be equal to "&amp;$B472&amp;""&amp;CHAR(10),""),IF((G473+G474+G475+G476)&lt;&gt;G472," * "&amp;$A472&amp;" , "&amp;$B473&amp;" plus "&amp;$B474&amp;" plus "&amp;$B475&amp;" plus "&amp;$B476&amp;" For age "&amp;$F$20&amp;" "&amp;$G$21&amp;" should be equal to "&amp;$B472&amp;""&amp;CHAR(10),""),IF((H473+H474+H475+H476)&lt;&gt;H472," * "&amp;$A472&amp;" , "&amp;$B473&amp;" plus "&amp;$B474&amp;" plus "&amp;$B475&amp;" plus "&amp;$B476&amp;" For age "&amp;$H$20&amp;" "&amp;$H$21&amp;" should be equal to "&amp;$B472&amp;""&amp;CHAR(10),""),IF((I473+I474+I475+I476)&lt;&gt;I472," * "&amp;$A472&amp;" , "&amp;$B473&amp;" plus "&amp;$B474&amp;" plus "&amp;$B475&amp;" plus "&amp;$B476&amp;" For age "&amp;$H$20&amp;" "&amp;$I$21&amp;" should be equal to "&amp;$B472&amp;""&amp;CHAR(10),""),IF((J473+J474+J475+J476)&lt;&gt;J472," * "&amp;$A472&amp;" , "&amp;$B473&amp;" plus "&amp;$B474&amp;" plus "&amp;$B475&amp;" plus "&amp;$B476&amp;" For age "&amp;$J$20&amp;" "&amp;$J$21&amp;" should be equal to "&amp;$B472&amp;""&amp;CHAR(10),""),IF((K473+K474+K475+K476)&lt;&gt;K472," * "&amp;$A472&amp;" , "&amp;$B473&amp;" plus "&amp;$B474&amp;" plus "&amp;$B475&amp;" plus "&amp;$B476&amp;" For age "&amp;$J$20&amp;" "&amp;$K$21&amp;" should be equal to "&amp;$B472&amp;""&amp;CHAR(10),""),IF((L473+L474+L475+L476)&lt;&gt;L472," * "&amp;$A472&amp;" , "&amp;$B473&amp;" plus "&amp;$B474&amp;" plus "&amp;$B475&amp;" plus "&amp;$B476&amp;" For age "&amp;$L$20&amp;" "&amp;$L$21&amp;" should be equal to "&amp;$B472&amp;""&amp;CHAR(10),""),IF((M473+M474+M475+M476)&lt;&gt;M472," * "&amp;$A472&amp;" , "&amp;$B473&amp;" plus "&amp;$B474&amp;" plus "&amp;$B475&amp;" plus "&amp;$B476&amp;" For age "&amp;$L$20&amp;" "&amp;$M$21&amp;" should be equal to "&amp;$B472&amp;""&amp;CHAR(10),""),IF((N473+N474+N475+N476)&lt;&gt;N472," * "&amp;$A472&amp;" , "&amp;$B473&amp;" plus "&amp;$B474&amp;" plus "&amp;$B475&amp;" plus "&amp;$B476&amp;" For age "&amp;$N$20&amp;" "&amp;$N$21&amp;" should be equal to "&amp;$B472&amp;""&amp;CHAR(10),""),IF((O473+O474+O475+O476)&lt;&gt;O472," * "&amp;$A472&amp;" , "&amp;$B473&amp;" plus "&amp;$B474&amp;" plus "&amp;$B475&amp;" plus "&amp;$B476&amp;" For age "&amp;$N$20&amp;" "&amp;$O$21&amp;" should be equal to "&amp;$B472&amp;""&amp;CHAR(10),""),IF((P473+P474+P475+P476)&lt;&gt;P472," * "&amp;$A472&amp;" , "&amp;$B473&amp;" plus "&amp;$B474&amp;" plus "&amp;$B475&amp;" plus "&amp;$B476&amp;" For age "&amp;$P$20&amp;" "&amp;$P$21&amp;" should be equal to "&amp;$B472&amp;""&amp;CHAR(10),""),IF((Q473+Q474+Q475+Q476)&lt;&gt;Q472," * "&amp;$A472&amp;" , "&amp;$B473&amp;" plus "&amp;$B474&amp;" plus "&amp;$B475&amp;" plus "&amp;$B476&amp;" For age "&amp;$P$20&amp;" "&amp;$Q$21&amp;" should be equal to "&amp;$B472&amp;""&amp;CHAR(10),""),IF((R473+R474+R475+R476)&lt;&gt;R472," * "&amp;$A472&amp;" , "&amp;$B473&amp;" plus "&amp;$B474&amp;" plus "&amp;$B475&amp;" plus "&amp;$B476&amp;" For age "&amp;$R$20&amp;" "&amp;$R$21&amp;" should be equal to "&amp;$B472&amp;""&amp;CHAR(10),""),IF((S473+S474+S475+S476)&lt;&gt;S472," * "&amp;$A472&amp;" , "&amp;$B473&amp;" plus "&amp;$B474&amp;" plus "&amp;$B475&amp;" plus "&amp;$B476&amp;" For age "&amp;$R$20&amp;" "&amp;$S$21&amp;" should be equal to "&amp;$B472&amp;""&amp;CHAR(10),""),IF((T473+T474+T475+T476)&lt;&gt;T472," * "&amp;$A472&amp;" , "&amp;$B473&amp;" plus "&amp;$B474&amp;" plus "&amp;$B475&amp;" plus "&amp;$B476&amp;" For age "&amp;$T$20&amp;" "&amp;$T$21&amp;" should be equal to "&amp;$B472&amp;""&amp;CHAR(10),""),IF((U473+U474+U475+U476)&lt;&gt;U472," * "&amp;$A472&amp;" , "&amp;$B473&amp;" plus "&amp;$B474&amp;" plus "&amp;$B475&amp;" plus "&amp;$B476&amp;" For age "&amp;$T$20&amp;" "&amp;$U$21&amp;" should be equal to "&amp;$B472&amp;""&amp;CHAR(10),""),IF((V473+V474+V475+V476)&lt;&gt;V472," * "&amp;$A472&amp;" , "&amp;$B473&amp;" plus "&amp;$B474&amp;" plus "&amp;$B475&amp;" plus "&amp;$B476&amp;" For age "&amp;$V$20&amp;" "&amp;$V$21&amp;" should be equal to "&amp;$B472&amp;""&amp;CHAR(10),""),IF((W473+W474+W475+W476)&lt;&gt;W472," * "&amp;$A472&amp;" , "&amp;$B473&amp;" plus "&amp;$B474&amp;" plus "&amp;$B475&amp;" plus "&amp;$B476&amp;" For age "&amp;$V$20&amp;" "&amp;$W$21&amp;" should be equal to "&amp;$B472&amp;""&amp;CHAR(10),""),IF((X473+X474+X475+X476)&lt;&gt;X472," * "&amp;$A472&amp;" , "&amp;$B473&amp;" plus "&amp;$B474&amp;" plus "&amp;$B475&amp;" plus "&amp;$B476&amp;" For age "&amp;$X$20&amp;" "&amp;$X$21&amp;" should be equal to "&amp;$B472&amp;""&amp;CHAR(10),""),IF((Y473+Y474+Y475+Y476)&lt;&gt;Y472," * "&amp;$A472&amp;" , "&amp;$B473&amp;" plus "&amp;$B474&amp;" plus "&amp;$B475&amp;" plus "&amp;$B476&amp;" For age "&amp;$X$20&amp;" "&amp;$Y$21&amp;" should be equal to "&amp;$B472&amp;""&amp;CHAR(10),""),IF((Z473+Z474+Z475+Z476)&lt;&gt;Z472," * "&amp;$A472&amp;" , "&amp;$B473&amp;" plus "&amp;$B474&amp;" plus "&amp;$B475&amp;" plus "&amp;$B476&amp;" For age "&amp;$Z$20&amp;" "&amp;$Z$21&amp;" should be equal to "&amp;$B472&amp;""&amp;CHAR(10),""),IF((AA473+AA474+AA475+AA476)&lt;&gt;AA472," * "&amp;$A472&amp;" , "&amp;$B473&amp;" plus "&amp;$B474&amp;" plus "&amp;$B475&amp;" plus "&amp;$B476&amp;" For age "&amp;$Z$20&amp;" "&amp;$AA$21&amp;" should be equal to "&amp;$B472&amp;""&amp;CHAR(10),""))</f>
        <v/>
      </c>
      <c r="AL472" s="1456"/>
      <c r="AM472" s="31"/>
      <c r="AN472" s="744"/>
      <c r="AO472" s="13">
        <v>31</v>
      </c>
      <c r="AP472" s="81"/>
      <c r="AQ472" s="82"/>
    </row>
    <row r="473" spans="1:43" s="83" customFormat="1" ht="26.25" x14ac:dyDescent="0.4">
      <c r="A473" s="1204"/>
      <c r="B473" s="690" t="s">
        <v>1022</v>
      </c>
      <c r="C473" s="694" t="s">
        <v>1029</v>
      </c>
      <c r="D473" s="586"/>
      <c r="E473" s="705"/>
      <c r="F473" s="517"/>
      <c r="G473" s="514"/>
      <c r="H473" s="514"/>
      <c r="I473" s="514"/>
      <c r="J473" s="514"/>
      <c r="K473" s="514"/>
      <c r="L473" s="514"/>
      <c r="M473" s="514"/>
      <c r="N473" s="514"/>
      <c r="O473" s="514"/>
      <c r="P473" s="514"/>
      <c r="Q473" s="514"/>
      <c r="R473" s="514"/>
      <c r="S473" s="514"/>
      <c r="T473" s="514"/>
      <c r="U473" s="514"/>
      <c r="V473" s="514"/>
      <c r="W473" s="514"/>
      <c r="X473" s="514"/>
      <c r="Y473" s="514"/>
      <c r="Z473" s="463">
        <f t="shared" ref="Z473:AA476" si="142">SUM(AB473,AD473,AF473,AH473)</f>
        <v>0</v>
      </c>
      <c r="AA473" s="463">
        <f t="shared" si="142"/>
        <v>0</v>
      </c>
      <c r="AB473" s="514"/>
      <c r="AC473" s="514"/>
      <c r="AD473" s="514"/>
      <c r="AE473" s="514"/>
      <c r="AF473" s="514"/>
      <c r="AG473" s="514"/>
      <c r="AH473" s="514"/>
      <c r="AI473" s="514"/>
      <c r="AJ473" s="452">
        <f t="shared" si="140"/>
        <v>0</v>
      </c>
      <c r="AK473" s="1206"/>
      <c r="AL473" s="1456"/>
      <c r="AM473" s="31" t="str">
        <f>CONCATENATE(IF(AND(IFERROR((AJ474*100)/AJ473,0)&gt;10,AJ474&gt;5)," * This facility has a high positivity rate for Index Testing. Kindly confirm if this is the true reflection"&amp;CHAR(10),""),"")</f>
        <v/>
      </c>
      <c r="AN473" s="744"/>
      <c r="AO473" s="13">
        <v>32</v>
      </c>
      <c r="AP473" s="81"/>
      <c r="AQ473" s="82"/>
    </row>
    <row r="474" spans="1:43" s="83" customFormat="1" ht="26.25" x14ac:dyDescent="0.4">
      <c r="A474" s="1204"/>
      <c r="B474" s="690" t="s">
        <v>1003</v>
      </c>
      <c r="C474" s="694" t="s">
        <v>1030</v>
      </c>
      <c r="D474" s="678"/>
      <c r="E474" s="706"/>
      <c r="F474" s="518"/>
      <c r="G474" s="455"/>
      <c r="H474" s="455"/>
      <c r="I474" s="455"/>
      <c r="J474" s="455"/>
      <c r="K474" s="455"/>
      <c r="L474" s="455"/>
      <c r="M474" s="455"/>
      <c r="N474" s="455"/>
      <c r="O474" s="455"/>
      <c r="P474" s="455"/>
      <c r="Q474" s="455"/>
      <c r="R474" s="455"/>
      <c r="S474" s="455"/>
      <c r="T474" s="455"/>
      <c r="U474" s="455"/>
      <c r="V474" s="455"/>
      <c r="W474" s="455"/>
      <c r="X474" s="455"/>
      <c r="Y474" s="455"/>
      <c r="Z474" s="463">
        <f t="shared" si="142"/>
        <v>0</v>
      </c>
      <c r="AA474" s="463">
        <f t="shared" si="142"/>
        <v>0</v>
      </c>
      <c r="AB474" s="455"/>
      <c r="AC474" s="455"/>
      <c r="AD474" s="455"/>
      <c r="AE474" s="455"/>
      <c r="AF474" s="455"/>
      <c r="AG474" s="455"/>
      <c r="AH474" s="455"/>
      <c r="AI474" s="455"/>
      <c r="AJ474" s="453">
        <f t="shared" si="140"/>
        <v>0</v>
      </c>
      <c r="AK474" s="1206"/>
      <c r="AL474" s="1456"/>
      <c r="AM474" s="31" t="str">
        <f>CONCATENATE(IF(D473&gt;0," * F01-12 for Age "&amp;D460&amp;" "&amp;D461&amp;" has a value greater than 0"&amp;CHAR(10),""),IF(E473&gt;0," * F01-12 for Age "&amp;D460&amp;" "&amp;E461&amp;" has a value greater than 0"&amp;CHAR(10),""),IF(D474&gt;0," * F01-13 for Age "&amp;D460&amp;" "&amp;D461&amp;" has a value greater than 0"&amp;CHAR(10),""),IF(E474&gt;0," * F01-13 for Age "&amp;D460&amp;" "&amp;E461&amp;" has a value greater than 0"&amp;CHAR(10),""),IF(D537&gt;0," * F01-15 for Age "&amp;D460&amp;" "&amp;D461&amp;" has a value greater than 0"&amp;CHAR(10),""),IF(E537&gt;0," * F01-15 for Age "&amp;D460&amp;" "&amp;E461&amp;" has a value greater than 0"&amp;CHAR(10),""),IF(D542&gt;0," * F01-20 for Age "&amp;D460&amp;" "&amp;D461&amp;" has a value greater than 0"&amp;CHAR(10),""),IF(E542&gt;0," * F01-20 for Age "&amp;D460&amp;" "&amp;E461&amp;" has a value greater than 0"&amp;CHAR(10),""),IF(D543&gt;0," * F01-21 for Age "&amp;D460&amp;" "&amp;D461&amp;" has a value greater than 0"&amp;CHAR(10),""),IF(E543&gt;0," * F01-21 for Age "&amp;D460&amp;" "&amp;E461&amp;" has a value greater than 0"&amp;CHAR(10),""),IF(D544&gt;0," * F01-22 for Age "&amp;D460&amp;" "&amp;D461&amp;" has a value greater than 0"&amp;CHAR(10),""),IF(E544&gt;0," * F01-22 for Age "&amp;D460&amp;" "&amp;E461&amp;" has a value greater than 0"&amp;CHAR(10),""),IF(D545&gt;0," * F01-23 for Age "&amp;D460&amp;" "&amp;D461&amp;" has a value greater than 0"&amp;CHAR(10),""),IF(E545&gt;0," * F01-23 for Age "&amp;D460&amp;" "&amp;E461&amp;" has a value greater than 0"&amp;CHAR(10),""),"")</f>
        <v/>
      </c>
      <c r="AN474" s="744"/>
      <c r="AO474" s="13">
        <v>33</v>
      </c>
      <c r="AP474" s="81"/>
      <c r="AQ474" s="82"/>
    </row>
    <row r="475" spans="1:43" s="83" customFormat="1" ht="26.25" x14ac:dyDescent="0.4">
      <c r="A475" s="1204"/>
      <c r="B475" s="690" t="s">
        <v>1005</v>
      </c>
      <c r="C475" s="694" t="s">
        <v>1031</v>
      </c>
      <c r="D475" s="678"/>
      <c r="E475" s="706"/>
      <c r="F475" s="519"/>
      <c r="G475" s="462"/>
      <c r="H475" s="462"/>
      <c r="I475" s="462"/>
      <c r="J475" s="462"/>
      <c r="K475" s="462"/>
      <c r="L475" s="462"/>
      <c r="M475" s="462"/>
      <c r="N475" s="462"/>
      <c r="O475" s="462"/>
      <c r="P475" s="462"/>
      <c r="Q475" s="462"/>
      <c r="R475" s="462"/>
      <c r="S475" s="462"/>
      <c r="T475" s="462"/>
      <c r="U475" s="462"/>
      <c r="V475" s="462"/>
      <c r="W475" s="462"/>
      <c r="X475" s="462"/>
      <c r="Y475" s="462"/>
      <c r="Z475" s="463">
        <f t="shared" si="142"/>
        <v>0</v>
      </c>
      <c r="AA475" s="463">
        <f t="shared" si="142"/>
        <v>0</v>
      </c>
      <c r="AB475" s="462"/>
      <c r="AC475" s="462"/>
      <c r="AD475" s="462"/>
      <c r="AE475" s="462"/>
      <c r="AF475" s="462"/>
      <c r="AG475" s="462"/>
      <c r="AH475" s="462"/>
      <c r="AI475" s="462"/>
      <c r="AJ475" s="453">
        <f t="shared" si="140"/>
        <v>0</v>
      </c>
      <c r="AK475" s="445"/>
      <c r="AL475" s="1456"/>
      <c r="AM475" s="31" t="str">
        <f>CONCATENATE(IF(D474&gt;0," * F01-12 for Age "&amp;D461&amp;" "&amp;D462&amp;" has a value greater than 0"&amp;CHAR(10),""),IF(E474&gt;0," * F01-12 for Age "&amp;D461&amp;" "&amp;E462&amp;" has a value greater than 0"&amp;CHAR(10),""),IF(D475&gt;0," * F01-13 for Age "&amp;D461&amp;" "&amp;D462&amp;" has a value greater than 0"&amp;CHAR(10),""),IF(E475&gt;0," * F01-13 for Age "&amp;D461&amp;" "&amp;E462&amp;" has a value greater than 0"&amp;CHAR(10),""),IF(D537&gt;0," * F01-14 for Age "&amp;D461&amp;" "&amp;D462&amp;" has a value greater than 0"&amp;CHAR(10),""),IF(E537&gt;0," * F01-14 for Age "&amp;D461&amp;" "&amp;E462&amp;" has a value greater than 0"&amp;CHAR(10),""),IF(D538&gt;0," * F01-15 for Age "&amp;D461&amp;" "&amp;D462&amp;" has a value greater than 0"&amp;CHAR(10),""),IF(E538&gt;0," * F01-15 for Age "&amp;D461&amp;" "&amp;E462&amp;" has a value greater than 0"&amp;CHAR(10),""),IF(D543&gt;0," * F01-20 for Age "&amp;D461&amp;" "&amp;D462&amp;" has a value greater than 0"&amp;CHAR(10),""),IF(E543&gt;0," * F01-20 for Age "&amp;D461&amp;" "&amp;E462&amp;" has a value greater than 0"&amp;CHAR(10),""),IF(D544&gt;0," * F01-21 for Age "&amp;D461&amp;" "&amp;D462&amp;" has a value greater than 0"&amp;CHAR(10),""),IF(E544&gt;0," * F01-21 for Age "&amp;D461&amp;" "&amp;E462&amp;" has a value greater than 0"&amp;CHAR(10),""),IF(D545&gt;0," * F01-22 for Age "&amp;D461&amp;" "&amp;D462&amp;" has a value greater than 0"&amp;CHAR(10),""),IF(E545&gt;0," * F01-22 for Age "&amp;D461&amp;" "&amp;E462&amp;" has a value greater than 0"&amp;CHAR(10),""),IF(D546&gt;0," * F01-23 for Age "&amp;D461&amp;" "&amp;D462&amp;" has a value greater than 0"&amp;CHAR(10),""),IF(E546&gt;0," * F01-23 for Age "&amp;D461&amp;" "&amp;E462&amp;" has a value greater than 0"&amp;CHAR(10),""),"")</f>
        <v/>
      </c>
      <c r="AN475" s="744"/>
      <c r="AO475" s="13">
        <v>33</v>
      </c>
      <c r="AP475" s="81"/>
      <c r="AQ475" s="82"/>
    </row>
    <row r="476" spans="1:43" s="83" customFormat="1" ht="27" thickBot="1" x14ac:dyDescent="0.45">
      <c r="A476" s="1205"/>
      <c r="B476" s="691" t="s">
        <v>1007</v>
      </c>
      <c r="C476" s="695" t="s">
        <v>1032</v>
      </c>
      <c r="D476" s="679"/>
      <c r="E476" s="707"/>
      <c r="F476" s="520"/>
      <c r="G476" s="516"/>
      <c r="H476" s="516"/>
      <c r="I476" s="516"/>
      <c r="J476" s="516"/>
      <c r="K476" s="516"/>
      <c r="L476" s="516"/>
      <c r="M476" s="516"/>
      <c r="N476" s="516"/>
      <c r="O476" s="516"/>
      <c r="P476" s="516"/>
      <c r="Q476" s="516"/>
      <c r="R476" s="516"/>
      <c r="S476" s="516"/>
      <c r="T476" s="516"/>
      <c r="U476" s="516"/>
      <c r="V476" s="516"/>
      <c r="W476" s="516"/>
      <c r="X476" s="516"/>
      <c r="Y476" s="516"/>
      <c r="Z476" s="463">
        <f t="shared" si="142"/>
        <v>0</v>
      </c>
      <c r="AA476" s="463">
        <f t="shared" si="142"/>
        <v>0</v>
      </c>
      <c r="AB476" s="516"/>
      <c r="AC476" s="516"/>
      <c r="AD476" s="516"/>
      <c r="AE476" s="516"/>
      <c r="AF476" s="516"/>
      <c r="AG476" s="516"/>
      <c r="AH476" s="516"/>
      <c r="AI476" s="516"/>
      <c r="AJ476" s="454">
        <f t="shared" si="140"/>
        <v>0</v>
      </c>
      <c r="AK476" s="445"/>
      <c r="AL476" s="1456"/>
      <c r="AM476" s="31" t="str">
        <f>CONCATENATE(IF(D475&gt;0," * F01-12 for Age "&amp;D462&amp;" "&amp;D463&amp;" has a value greater than 0"&amp;CHAR(10),""),IF(E475&gt;0," * F01-12 for Age "&amp;D462&amp;" "&amp;E463&amp;" has a value greater than 0"&amp;CHAR(10),""),IF(D476&gt;0," * F01-13 for Age "&amp;D462&amp;" "&amp;D463&amp;" has a value greater than 0"&amp;CHAR(10),""),IF(E476&gt;0," * F01-13 for Age "&amp;D462&amp;" "&amp;E463&amp;" has a value greater than 0"&amp;CHAR(10),""),IF(D538&gt;0," * F01-14 for Age "&amp;D462&amp;" "&amp;D463&amp;" has a value greater than 0"&amp;CHAR(10),""),IF(E538&gt;0," * F01-14 for Age "&amp;D462&amp;" "&amp;E463&amp;" has a value greater than 0"&amp;CHAR(10),""),IF(D539&gt;0," * F01-15 for Age "&amp;D462&amp;" "&amp;D463&amp;" has a value greater than 0"&amp;CHAR(10),""),IF(E539&gt;0," * F01-15 for Age "&amp;D462&amp;" "&amp;E463&amp;" has a value greater than 0"&amp;CHAR(10),""),IF(D544&gt;0," * F01-20 for Age "&amp;D462&amp;" "&amp;D463&amp;" has a value greater than 0"&amp;CHAR(10),""),IF(E544&gt;0," * F01-20 for Age "&amp;D462&amp;" "&amp;E463&amp;" has a value greater than 0"&amp;CHAR(10),""),IF(D545&gt;0," * F01-21 for Age "&amp;D462&amp;" "&amp;D463&amp;" has a value greater than 0"&amp;CHAR(10),""),IF(E545&gt;0," * F01-21 for Age "&amp;D462&amp;" "&amp;E463&amp;" has a value greater than 0"&amp;CHAR(10),""),IF(D546&gt;0," * F01-22 for Age "&amp;D462&amp;" "&amp;D463&amp;" has a value greater than 0"&amp;CHAR(10),""),IF(E546&gt;0," * F01-22 for Age "&amp;D462&amp;" "&amp;E463&amp;" has a value greater than 0"&amp;CHAR(10),""),IF(D547&gt;0," * F01-23 for Age "&amp;D462&amp;" "&amp;D463&amp;" has a value greater than 0"&amp;CHAR(10),""),IF(E547&gt;0," * F01-23 for Age "&amp;D462&amp;" "&amp;E463&amp;" has a value greater than 0"&amp;CHAR(10),""),"")</f>
        <v/>
      </c>
      <c r="AN476" s="744"/>
      <c r="AO476" s="13">
        <v>33</v>
      </c>
      <c r="AP476" s="81"/>
      <c r="AQ476" s="82"/>
    </row>
    <row r="477" spans="1:43" s="83" customFormat="1" ht="27" thickBot="1" x14ac:dyDescent="0.45">
      <c r="A477" s="1203" t="s">
        <v>16</v>
      </c>
      <c r="B477" s="689" t="s">
        <v>128</v>
      </c>
      <c r="C477" s="693" t="s">
        <v>1033</v>
      </c>
      <c r="D477" s="676"/>
      <c r="E477" s="704"/>
      <c r="F477" s="715">
        <f t="shared" ref="F477:AI477" si="143">F44</f>
        <v>0</v>
      </c>
      <c r="G477" s="461">
        <f t="shared" si="143"/>
        <v>0</v>
      </c>
      <c r="H477" s="461">
        <f t="shared" si="143"/>
        <v>0</v>
      </c>
      <c r="I477" s="461">
        <f t="shared" si="143"/>
        <v>0</v>
      </c>
      <c r="J477" s="461">
        <f t="shared" si="143"/>
        <v>0</v>
      </c>
      <c r="K477" s="461">
        <f t="shared" si="143"/>
        <v>0</v>
      </c>
      <c r="L477" s="461">
        <f t="shared" si="143"/>
        <v>0</v>
      </c>
      <c r="M477" s="461">
        <f t="shared" si="143"/>
        <v>0</v>
      </c>
      <c r="N477" s="461">
        <f t="shared" si="143"/>
        <v>0</v>
      </c>
      <c r="O477" s="461">
        <f t="shared" si="143"/>
        <v>0</v>
      </c>
      <c r="P477" s="461">
        <f t="shared" si="143"/>
        <v>0</v>
      </c>
      <c r="Q477" s="461">
        <f t="shared" si="143"/>
        <v>0</v>
      </c>
      <c r="R477" s="461">
        <f t="shared" si="143"/>
        <v>0</v>
      </c>
      <c r="S477" s="461">
        <f t="shared" si="143"/>
        <v>0</v>
      </c>
      <c r="T477" s="461">
        <f t="shared" si="143"/>
        <v>0</v>
      </c>
      <c r="U477" s="461">
        <f t="shared" si="143"/>
        <v>0</v>
      </c>
      <c r="V477" s="461">
        <f t="shared" si="143"/>
        <v>0</v>
      </c>
      <c r="W477" s="461">
        <f t="shared" si="143"/>
        <v>0</v>
      </c>
      <c r="X477" s="461">
        <f t="shared" si="143"/>
        <v>0</v>
      </c>
      <c r="Y477" s="461">
        <f t="shared" si="143"/>
        <v>0</v>
      </c>
      <c r="Z477" s="461">
        <f t="shared" si="143"/>
        <v>0</v>
      </c>
      <c r="AA477" s="461">
        <f t="shared" si="143"/>
        <v>0</v>
      </c>
      <c r="AB477" s="461">
        <f t="shared" si="143"/>
        <v>0</v>
      </c>
      <c r="AC477" s="461">
        <f t="shared" si="143"/>
        <v>0</v>
      </c>
      <c r="AD477" s="461">
        <f t="shared" si="143"/>
        <v>0</v>
      </c>
      <c r="AE477" s="461">
        <f t="shared" si="143"/>
        <v>0</v>
      </c>
      <c r="AF477" s="461">
        <f t="shared" si="143"/>
        <v>0</v>
      </c>
      <c r="AG477" s="461">
        <f t="shared" si="143"/>
        <v>0</v>
      </c>
      <c r="AH477" s="461">
        <f t="shared" si="143"/>
        <v>0</v>
      </c>
      <c r="AI477" s="461">
        <f t="shared" si="143"/>
        <v>0</v>
      </c>
      <c r="AJ477" s="451">
        <f t="shared" si="140"/>
        <v>0</v>
      </c>
      <c r="AK477" s="512" t="str">
        <f>CONCATENATE(IF((D478+D479+D480+D481)&lt;&gt;D477," * "&amp;$A477&amp;" , "&amp;$B478&amp;" plus "&amp;$B479&amp;" plus "&amp;$B480&amp;" plus "&amp;$B481&amp;" For age "&amp;$D$20&amp;" "&amp;$D$21&amp;" should be equal to "&amp;$B477&amp;""&amp;CHAR(10),""),IF((E478+E479+E480+E481)&lt;&gt;E477," * "&amp;$A477&amp;" , "&amp;$B478&amp;" plus "&amp;$B479&amp;" plus "&amp;$B480&amp;" plus "&amp;$B481&amp;" For age "&amp;$D$20&amp;" "&amp;$E$21&amp;" should be equal to "&amp;$B477&amp;""&amp;CHAR(10),""),IF((F478+F479+F480+F481)&lt;&gt;F477," * "&amp;$A477&amp;" , "&amp;$B478&amp;" plus "&amp;$B479&amp;" plus "&amp;$B480&amp;" plus "&amp;$B481&amp;" For age "&amp;$F$20&amp;" "&amp;$F$21&amp;" should be equal to "&amp;$B477&amp;""&amp;CHAR(10),""),IF((G478+G479+G480+G481)&lt;&gt;G477," * "&amp;$A477&amp;" , "&amp;$B478&amp;" plus "&amp;$B479&amp;" plus "&amp;$B480&amp;" plus "&amp;$B481&amp;" For age "&amp;$F$20&amp;" "&amp;$G$21&amp;" should be equal to "&amp;$B477&amp;""&amp;CHAR(10),""),IF((H478+H479+H480+H481)&lt;&gt;H477," * "&amp;$A477&amp;" , "&amp;$B478&amp;" plus "&amp;$B479&amp;" plus "&amp;$B480&amp;" plus "&amp;$B481&amp;" For age "&amp;$H$20&amp;" "&amp;$H$21&amp;" should be equal to "&amp;$B477&amp;""&amp;CHAR(10),""),IF((I478+I479+I480+I481)&lt;&gt;I477," * "&amp;$A477&amp;" , "&amp;$B478&amp;" plus "&amp;$B479&amp;" plus "&amp;$B480&amp;" plus "&amp;$B481&amp;" For age "&amp;$H$20&amp;" "&amp;$I$21&amp;" should be equal to "&amp;$B477&amp;""&amp;CHAR(10),""),IF((J478+J479+J480+J481)&lt;&gt;J477," * "&amp;$A477&amp;" , "&amp;$B478&amp;" plus "&amp;$B479&amp;" plus "&amp;$B480&amp;" plus "&amp;$B481&amp;" For age "&amp;$J$20&amp;" "&amp;$J$21&amp;" should be equal to "&amp;$B477&amp;""&amp;CHAR(10),""),IF((K478+K479+K480+K481)&lt;&gt;K477," * "&amp;$A477&amp;" , "&amp;$B478&amp;" plus "&amp;$B479&amp;" plus "&amp;$B480&amp;" plus "&amp;$B481&amp;" For age "&amp;$J$20&amp;" "&amp;$K$21&amp;" should be equal to "&amp;$B477&amp;""&amp;CHAR(10),""),IF((L478+L479+L480+L481)&lt;&gt;L477," * "&amp;$A477&amp;" , "&amp;$B478&amp;" plus "&amp;$B479&amp;" plus "&amp;$B480&amp;" plus "&amp;$B481&amp;" For age "&amp;$L$20&amp;" "&amp;$L$21&amp;" should be equal to "&amp;$B477&amp;""&amp;CHAR(10),""),IF((M478+M479+M480+M481)&lt;&gt;M477," * "&amp;$A477&amp;" , "&amp;$B478&amp;" plus "&amp;$B479&amp;" plus "&amp;$B480&amp;" plus "&amp;$B481&amp;" For age "&amp;$L$20&amp;" "&amp;$M$21&amp;" should be equal to "&amp;$B477&amp;""&amp;CHAR(10),""),IF((N478+N479+N480+N481)&lt;&gt;N477," * "&amp;$A477&amp;" , "&amp;$B478&amp;" plus "&amp;$B479&amp;" plus "&amp;$B480&amp;" plus "&amp;$B481&amp;" For age "&amp;$N$20&amp;" "&amp;$N$21&amp;" should be equal to "&amp;$B477&amp;""&amp;CHAR(10),""),IF((O478+O479+O480+O481)&lt;&gt;O477," * "&amp;$A477&amp;" , "&amp;$B478&amp;" plus "&amp;$B479&amp;" plus "&amp;$B480&amp;" plus "&amp;$B481&amp;" For age "&amp;$N$20&amp;" "&amp;$O$21&amp;" should be equal to "&amp;$B477&amp;""&amp;CHAR(10),""),IF((P478+P479+P480+P481)&lt;&gt;P477," * "&amp;$A477&amp;" , "&amp;$B478&amp;" plus "&amp;$B479&amp;" plus "&amp;$B480&amp;" plus "&amp;$B481&amp;" For age "&amp;$P$20&amp;" "&amp;$P$21&amp;" should be equal to "&amp;$B477&amp;""&amp;CHAR(10),""),IF((Q478+Q479+Q480+Q481)&lt;&gt;Q477," * "&amp;$A477&amp;" , "&amp;$B478&amp;" plus "&amp;$B479&amp;" plus "&amp;$B480&amp;" plus "&amp;$B481&amp;" For age "&amp;$P$20&amp;" "&amp;$Q$21&amp;" should be equal to "&amp;$B477&amp;""&amp;CHAR(10),""),IF((R478+R479+R480+R481)&lt;&gt;R477," * "&amp;$A477&amp;" , "&amp;$B478&amp;" plus "&amp;$B479&amp;" plus "&amp;$B480&amp;" plus "&amp;$B481&amp;" For age "&amp;$R$20&amp;" "&amp;$R$21&amp;" should be equal to "&amp;$B477&amp;""&amp;CHAR(10),""),IF((S478+S479+S480+S481)&lt;&gt;S477," * "&amp;$A477&amp;" , "&amp;$B478&amp;" plus "&amp;$B479&amp;" plus "&amp;$B480&amp;" plus "&amp;$B481&amp;" For age "&amp;$R$20&amp;" "&amp;$S$21&amp;" should be equal to "&amp;$B477&amp;""&amp;CHAR(10),""),IF((T478+T479+T480+T481)&lt;&gt;T477," * "&amp;$A477&amp;" , "&amp;$B478&amp;" plus "&amp;$B479&amp;" plus "&amp;$B480&amp;" plus "&amp;$B481&amp;" For age "&amp;$T$20&amp;" "&amp;$T$21&amp;" should be equal to "&amp;$B477&amp;""&amp;CHAR(10),""),IF((U478+U479+U480+U481)&lt;&gt;U477," * "&amp;$A477&amp;" , "&amp;$B478&amp;" plus "&amp;$B479&amp;" plus "&amp;$B480&amp;" plus "&amp;$B481&amp;" For age "&amp;$T$20&amp;" "&amp;$U$21&amp;" should be equal to "&amp;$B477&amp;""&amp;CHAR(10),""),IF((V478+V479+V480+V481)&lt;&gt;V477," * "&amp;$A477&amp;" , "&amp;$B478&amp;" plus "&amp;$B479&amp;" plus "&amp;$B480&amp;" plus "&amp;$B481&amp;" For age "&amp;$V$20&amp;" "&amp;$V$21&amp;" should be equal to "&amp;$B477&amp;""&amp;CHAR(10),""),IF((W478+W479+W480+W481)&lt;&gt;W477," * "&amp;$A477&amp;" , "&amp;$B478&amp;" plus "&amp;$B479&amp;" plus "&amp;$B480&amp;" plus "&amp;$B481&amp;" For age "&amp;$V$20&amp;" "&amp;$W$21&amp;" should be equal to "&amp;$B477&amp;""&amp;CHAR(10),""),IF((X478+X479+X480+X481)&lt;&gt;X477," * "&amp;$A477&amp;" , "&amp;$B478&amp;" plus "&amp;$B479&amp;" plus "&amp;$B480&amp;" plus "&amp;$B481&amp;" For age "&amp;$X$20&amp;" "&amp;$X$21&amp;" should be equal to "&amp;$B477&amp;""&amp;CHAR(10),""),IF((Y478+Y479+Y480+Y481)&lt;&gt;Y477," * "&amp;$A477&amp;" , "&amp;$B478&amp;" plus "&amp;$B479&amp;" plus "&amp;$B480&amp;" plus "&amp;$B481&amp;" For age "&amp;$X$20&amp;" "&amp;$Y$21&amp;" should be equal to "&amp;$B477&amp;""&amp;CHAR(10),""),IF((Z478+Z479+Z480+Z481)&lt;&gt;Z477," * "&amp;$A477&amp;" , "&amp;$B478&amp;" plus "&amp;$B479&amp;" plus "&amp;$B480&amp;" plus "&amp;$B481&amp;" For age "&amp;$Z$20&amp;" "&amp;$Z$21&amp;" should be equal to "&amp;$B477&amp;""&amp;CHAR(10),""),IF((AA478+AA479+AA480+AA481)&lt;&gt;AA477," * "&amp;$A477&amp;" , "&amp;$B478&amp;" plus "&amp;$B479&amp;" plus "&amp;$B480&amp;" plus "&amp;$B481&amp;" For age "&amp;$Z$20&amp;" "&amp;$AA$21&amp;" should be equal to "&amp;$B477&amp;""&amp;CHAR(10),""))</f>
        <v/>
      </c>
      <c r="AL477" s="1456"/>
      <c r="AM477" s="31"/>
      <c r="AN477" s="744"/>
      <c r="AO477" s="13">
        <v>31</v>
      </c>
      <c r="AP477" s="81"/>
      <c r="AQ477" s="82"/>
    </row>
    <row r="478" spans="1:43" s="83" customFormat="1" ht="26.25" x14ac:dyDescent="0.4">
      <c r="A478" s="1204"/>
      <c r="B478" s="690" t="s">
        <v>1022</v>
      </c>
      <c r="C478" s="694" t="s">
        <v>1034</v>
      </c>
      <c r="D478" s="586"/>
      <c r="E478" s="705"/>
      <c r="F478" s="517"/>
      <c r="G478" s="514"/>
      <c r="H478" s="514"/>
      <c r="I478" s="514"/>
      <c r="J478" s="514"/>
      <c r="K478" s="514"/>
      <c r="L478" s="514"/>
      <c r="M478" s="514"/>
      <c r="N478" s="514"/>
      <c r="O478" s="514"/>
      <c r="P478" s="514"/>
      <c r="Q478" s="514"/>
      <c r="R478" s="514"/>
      <c r="S478" s="514"/>
      <c r="T478" s="514"/>
      <c r="U478" s="514"/>
      <c r="V478" s="514"/>
      <c r="W478" s="514"/>
      <c r="X478" s="514"/>
      <c r="Y478" s="514"/>
      <c r="Z478" s="463">
        <f t="shared" ref="Z478:AA481" si="144">SUM(AB478,AD478,AF478,AH478)</f>
        <v>0</v>
      </c>
      <c r="AA478" s="463">
        <f t="shared" si="144"/>
        <v>0</v>
      </c>
      <c r="AB478" s="514"/>
      <c r="AC478" s="514"/>
      <c r="AD478" s="514"/>
      <c r="AE478" s="514"/>
      <c r="AF478" s="514"/>
      <c r="AG478" s="514"/>
      <c r="AH478" s="514"/>
      <c r="AI478" s="514"/>
      <c r="AJ478" s="452">
        <f t="shared" si="140"/>
        <v>0</v>
      </c>
      <c r="AK478" s="1206"/>
      <c r="AL478" s="1456"/>
      <c r="AM478" s="31" t="str">
        <f>CONCATENATE(IF(AND(IFERROR((AJ479*100)/AJ478,0)&gt;10,AJ479&gt;5)," * This facility has a high positivity rate for Index Testing. Kindly confirm if this is the true reflection"&amp;CHAR(10),""),"")</f>
        <v/>
      </c>
      <c r="AN478" s="744"/>
      <c r="AO478" s="13">
        <v>32</v>
      </c>
      <c r="AP478" s="81"/>
      <c r="AQ478" s="82"/>
    </row>
    <row r="479" spans="1:43" s="83" customFormat="1" ht="26.25" x14ac:dyDescent="0.4">
      <c r="A479" s="1204"/>
      <c r="B479" s="690" t="s">
        <v>1003</v>
      </c>
      <c r="C479" s="694" t="s">
        <v>1035</v>
      </c>
      <c r="D479" s="678"/>
      <c r="E479" s="706"/>
      <c r="F479" s="518"/>
      <c r="G479" s="455"/>
      <c r="H479" s="455"/>
      <c r="I479" s="455"/>
      <c r="J479" s="455"/>
      <c r="K479" s="455"/>
      <c r="L479" s="455"/>
      <c r="M479" s="455"/>
      <c r="N479" s="455"/>
      <c r="O479" s="455"/>
      <c r="P479" s="455"/>
      <c r="Q479" s="455"/>
      <c r="R479" s="455"/>
      <c r="S479" s="455"/>
      <c r="T479" s="455"/>
      <c r="U479" s="455"/>
      <c r="V479" s="455"/>
      <c r="W479" s="455"/>
      <c r="X479" s="455"/>
      <c r="Y479" s="455"/>
      <c r="Z479" s="463">
        <f t="shared" si="144"/>
        <v>0</v>
      </c>
      <c r="AA479" s="463">
        <f t="shared" si="144"/>
        <v>0</v>
      </c>
      <c r="AB479" s="455"/>
      <c r="AC479" s="455"/>
      <c r="AD479" s="455"/>
      <c r="AE479" s="455"/>
      <c r="AF479" s="455"/>
      <c r="AG479" s="455"/>
      <c r="AH479" s="455"/>
      <c r="AI479" s="455"/>
      <c r="AJ479" s="453">
        <f t="shared" si="140"/>
        <v>0</v>
      </c>
      <c r="AK479" s="1206"/>
      <c r="AL479" s="1456"/>
      <c r="AM479" s="31" t="str">
        <f>CONCATENATE(IF(D478&gt;0," * F01-12 for Age "&amp;D465&amp;" "&amp;D466&amp;" has a value greater than 0"&amp;CHAR(10),""),IF(E478&gt;0," * F01-12 for Age "&amp;D465&amp;" "&amp;E466&amp;" has a value greater than 0"&amp;CHAR(10),""),IF(D479&gt;0," * F01-13 for Age "&amp;D465&amp;" "&amp;D466&amp;" has a value greater than 0"&amp;CHAR(10),""),IF(E479&gt;0," * F01-13 for Age "&amp;D465&amp;" "&amp;E466&amp;" has a value greater than 0"&amp;CHAR(10),""),IF(D542&gt;0," * F01-15 for Age "&amp;D465&amp;" "&amp;D466&amp;" has a value greater than 0"&amp;CHAR(10),""),IF(E542&gt;0," * F01-15 for Age "&amp;D465&amp;" "&amp;E466&amp;" has a value greater than 0"&amp;CHAR(10),""),IF(D547&gt;0," * F01-20 for Age "&amp;D465&amp;" "&amp;D466&amp;" has a value greater than 0"&amp;CHAR(10),""),IF(E547&gt;0," * F01-20 for Age "&amp;D465&amp;" "&amp;E466&amp;" has a value greater than 0"&amp;CHAR(10),""),IF(D548&gt;0," * F01-21 for Age "&amp;D465&amp;" "&amp;D466&amp;" has a value greater than 0"&amp;CHAR(10),""),IF(E548&gt;0," * F01-21 for Age "&amp;D465&amp;" "&amp;E466&amp;" has a value greater than 0"&amp;CHAR(10),""),IF(D549&gt;0," * F01-22 for Age "&amp;D465&amp;" "&amp;D466&amp;" has a value greater than 0"&amp;CHAR(10),""),IF(E549&gt;0," * F01-22 for Age "&amp;D465&amp;" "&amp;E466&amp;" has a value greater than 0"&amp;CHAR(10),""),IF(D550&gt;0," * F01-23 for Age "&amp;D465&amp;" "&amp;D466&amp;" has a value greater than 0"&amp;CHAR(10),""),IF(E550&gt;0," * F01-23 for Age "&amp;D465&amp;" "&amp;E466&amp;" has a value greater than 0"&amp;CHAR(10),""),"")</f>
        <v/>
      </c>
      <c r="AN479" s="744"/>
      <c r="AO479" s="13">
        <v>33</v>
      </c>
      <c r="AP479" s="81"/>
      <c r="AQ479" s="82"/>
    </row>
    <row r="480" spans="1:43" s="83" customFormat="1" ht="26.25" x14ac:dyDescent="0.4">
      <c r="A480" s="1204"/>
      <c r="B480" s="690" t="s">
        <v>1005</v>
      </c>
      <c r="C480" s="694" t="s">
        <v>1036</v>
      </c>
      <c r="D480" s="678"/>
      <c r="E480" s="706"/>
      <c r="F480" s="519"/>
      <c r="G480" s="462"/>
      <c r="H480" s="462"/>
      <c r="I480" s="462"/>
      <c r="J480" s="462"/>
      <c r="K480" s="462"/>
      <c r="L480" s="462"/>
      <c r="M480" s="462"/>
      <c r="N480" s="462"/>
      <c r="O480" s="462"/>
      <c r="P480" s="462"/>
      <c r="Q480" s="462"/>
      <c r="R480" s="462"/>
      <c r="S480" s="462"/>
      <c r="T480" s="462"/>
      <c r="U480" s="462"/>
      <c r="V480" s="462"/>
      <c r="W480" s="462"/>
      <c r="X480" s="462"/>
      <c r="Y480" s="462"/>
      <c r="Z480" s="463">
        <f t="shared" si="144"/>
        <v>0</v>
      </c>
      <c r="AA480" s="463">
        <f t="shared" si="144"/>
        <v>0</v>
      </c>
      <c r="AB480" s="462"/>
      <c r="AC480" s="462"/>
      <c r="AD480" s="462"/>
      <c r="AE480" s="462"/>
      <c r="AF480" s="462"/>
      <c r="AG480" s="462"/>
      <c r="AH480" s="462"/>
      <c r="AI480" s="462"/>
      <c r="AJ480" s="453">
        <f t="shared" si="140"/>
        <v>0</v>
      </c>
      <c r="AK480" s="445"/>
      <c r="AL480" s="1456"/>
      <c r="AM480" s="31" t="str">
        <f>CONCATENATE(IF(D479&gt;0," * F01-12 for Age "&amp;D466&amp;" "&amp;D467&amp;" has a value greater than 0"&amp;CHAR(10),""),IF(E479&gt;0," * F01-12 for Age "&amp;D466&amp;" "&amp;E467&amp;" has a value greater than 0"&amp;CHAR(10),""),IF(D480&gt;0," * F01-13 for Age "&amp;D466&amp;" "&amp;D467&amp;" has a value greater than 0"&amp;CHAR(10),""),IF(E480&gt;0," * F01-13 for Age "&amp;D466&amp;" "&amp;E467&amp;" has a value greater than 0"&amp;CHAR(10),""),IF(D542&gt;0," * F01-14 for Age "&amp;D466&amp;" "&amp;D467&amp;" has a value greater than 0"&amp;CHAR(10),""),IF(E542&gt;0," * F01-14 for Age "&amp;D466&amp;" "&amp;E467&amp;" has a value greater than 0"&amp;CHAR(10),""),IF(D543&gt;0," * F01-15 for Age "&amp;D466&amp;" "&amp;D467&amp;" has a value greater than 0"&amp;CHAR(10),""),IF(E543&gt;0," * F01-15 for Age "&amp;D466&amp;" "&amp;E467&amp;" has a value greater than 0"&amp;CHAR(10),""),IF(D548&gt;0," * F01-20 for Age "&amp;D466&amp;" "&amp;D467&amp;" has a value greater than 0"&amp;CHAR(10),""),IF(E548&gt;0," * F01-20 for Age "&amp;D466&amp;" "&amp;E467&amp;" has a value greater than 0"&amp;CHAR(10),""),IF(D549&gt;0," * F01-21 for Age "&amp;D466&amp;" "&amp;D467&amp;" has a value greater than 0"&amp;CHAR(10),""),IF(E549&gt;0," * F01-21 for Age "&amp;D466&amp;" "&amp;E467&amp;" has a value greater than 0"&amp;CHAR(10),""),IF(D550&gt;0," * F01-22 for Age "&amp;D466&amp;" "&amp;D467&amp;" has a value greater than 0"&amp;CHAR(10),""),IF(E550&gt;0," * F01-22 for Age "&amp;D466&amp;" "&amp;E467&amp;" has a value greater than 0"&amp;CHAR(10),""),IF(D551&gt;0," * F01-23 for Age "&amp;D466&amp;" "&amp;D467&amp;" has a value greater than 0"&amp;CHAR(10),""),IF(E551&gt;0," * F01-23 for Age "&amp;D466&amp;" "&amp;E467&amp;" has a value greater than 0"&amp;CHAR(10),""),"")</f>
        <v/>
      </c>
      <c r="AN480" s="744"/>
      <c r="AO480" s="13">
        <v>33</v>
      </c>
      <c r="AP480" s="81"/>
      <c r="AQ480" s="82"/>
    </row>
    <row r="481" spans="1:43" s="83" customFormat="1" ht="27" thickBot="1" x14ac:dyDescent="0.45">
      <c r="A481" s="1205"/>
      <c r="B481" s="691" t="s">
        <v>1007</v>
      </c>
      <c r="C481" s="695" t="s">
        <v>1037</v>
      </c>
      <c r="D481" s="679"/>
      <c r="E481" s="707"/>
      <c r="F481" s="520"/>
      <c r="G481" s="516"/>
      <c r="H481" s="516"/>
      <c r="I481" s="516"/>
      <c r="J481" s="516"/>
      <c r="K481" s="516"/>
      <c r="L481" s="516"/>
      <c r="M481" s="516"/>
      <c r="N481" s="516"/>
      <c r="O481" s="516"/>
      <c r="P481" s="516"/>
      <c r="Q481" s="516"/>
      <c r="R481" s="516"/>
      <c r="S481" s="516"/>
      <c r="T481" s="516"/>
      <c r="U481" s="516"/>
      <c r="V481" s="516"/>
      <c r="W481" s="516"/>
      <c r="X481" s="516"/>
      <c r="Y481" s="516"/>
      <c r="Z481" s="463">
        <f t="shared" si="144"/>
        <v>0</v>
      </c>
      <c r="AA481" s="463">
        <f t="shared" si="144"/>
        <v>0</v>
      </c>
      <c r="AB481" s="516"/>
      <c r="AC481" s="516"/>
      <c r="AD481" s="516"/>
      <c r="AE481" s="516"/>
      <c r="AF481" s="516"/>
      <c r="AG481" s="516"/>
      <c r="AH481" s="516"/>
      <c r="AI481" s="516"/>
      <c r="AJ481" s="454">
        <f t="shared" si="140"/>
        <v>0</v>
      </c>
      <c r="AK481" s="445"/>
      <c r="AL481" s="1456"/>
      <c r="AM481" s="31" t="str">
        <f>CONCATENATE(IF(D480&gt;0," * F01-12 for Age "&amp;D467&amp;" "&amp;D468&amp;" has a value greater than 0"&amp;CHAR(10),""),IF(E480&gt;0," * F01-12 for Age "&amp;D467&amp;" "&amp;E468&amp;" has a value greater than 0"&amp;CHAR(10),""),IF(D481&gt;0," * F01-13 for Age "&amp;D467&amp;" "&amp;D468&amp;" has a value greater than 0"&amp;CHAR(10),""),IF(E481&gt;0," * F01-13 for Age "&amp;D467&amp;" "&amp;E468&amp;" has a value greater than 0"&amp;CHAR(10),""),IF(D543&gt;0," * F01-14 for Age "&amp;D467&amp;" "&amp;D468&amp;" has a value greater than 0"&amp;CHAR(10),""),IF(E543&gt;0," * F01-14 for Age "&amp;D467&amp;" "&amp;E468&amp;" has a value greater than 0"&amp;CHAR(10),""),IF(D544&gt;0," * F01-15 for Age "&amp;D467&amp;" "&amp;D468&amp;" has a value greater than 0"&amp;CHAR(10),""),IF(E544&gt;0," * F01-15 for Age "&amp;D467&amp;" "&amp;E468&amp;" has a value greater than 0"&amp;CHAR(10),""),IF(D549&gt;0," * F01-20 for Age "&amp;D467&amp;" "&amp;D468&amp;" has a value greater than 0"&amp;CHAR(10),""),IF(E549&gt;0," * F01-20 for Age "&amp;D467&amp;" "&amp;E468&amp;" has a value greater than 0"&amp;CHAR(10),""),IF(D550&gt;0," * F01-21 for Age "&amp;D467&amp;" "&amp;D468&amp;" has a value greater than 0"&amp;CHAR(10),""),IF(E550&gt;0," * F01-21 for Age "&amp;D467&amp;" "&amp;E468&amp;" has a value greater than 0"&amp;CHAR(10),""),IF(D551&gt;0," * F01-22 for Age "&amp;D467&amp;" "&amp;D468&amp;" has a value greater than 0"&amp;CHAR(10),""),IF(E551&gt;0," * F01-22 for Age "&amp;D467&amp;" "&amp;E468&amp;" has a value greater than 0"&amp;CHAR(10),""),IF(D552&gt;0," * F01-23 for Age "&amp;D467&amp;" "&amp;D468&amp;" has a value greater than 0"&amp;CHAR(10),""),IF(E552&gt;0," * F01-23 for Age "&amp;D467&amp;" "&amp;E468&amp;" has a value greater than 0"&amp;CHAR(10),""),"")</f>
        <v/>
      </c>
      <c r="AN481" s="744"/>
      <c r="AO481" s="13">
        <v>33</v>
      </c>
      <c r="AP481" s="81"/>
      <c r="AQ481" s="82"/>
    </row>
    <row r="482" spans="1:43" s="83" customFormat="1" ht="27" thickBot="1" x14ac:dyDescent="0.45">
      <c r="A482" s="1203" t="s">
        <v>1024</v>
      </c>
      <c r="B482" s="689" t="s">
        <v>128</v>
      </c>
      <c r="C482" s="693" t="s">
        <v>1038</v>
      </c>
      <c r="D482" s="676"/>
      <c r="E482" s="704"/>
      <c r="F482" s="715">
        <f t="shared" ref="F482:AI482" si="145">F46</f>
        <v>0</v>
      </c>
      <c r="G482" s="461">
        <f t="shared" si="145"/>
        <v>0</v>
      </c>
      <c r="H482" s="461">
        <f t="shared" si="145"/>
        <v>0</v>
      </c>
      <c r="I482" s="461">
        <f t="shared" si="145"/>
        <v>0</v>
      </c>
      <c r="J482" s="461">
        <f t="shared" si="145"/>
        <v>0</v>
      </c>
      <c r="K482" s="461">
        <f t="shared" si="145"/>
        <v>0</v>
      </c>
      <c r="L482" s="461">
        <f t="shared" si="145"/>
        <v>0</v>
      </c>
      <c r="M482" s="461">
        <f t="shared" si="145"/>
        <v>0</v>
      </c>
      <c r="N482" s="461">
        <f t="shared" si="145"/>
        <v>0</v>
      </c>
      <c r="O482" s="461">
        <f t="shared" si="145"/>
        <v>0</v>
      </c>
      <c r="P482" s="461">
        <f t="shared" si="145"/>
        <v>0</v>
      </c>
      <c r="Q482" s="461">
        <f t="shared" si="145"/>
        <v>0</v>
      </c>
      <c r="R482" s="461">
        <f t="shared" si="145"/>
        <v>0</v>
      </c>
      <c r="S482" s="461">
        <f t="shared" si="145"/>
        <v>0</v>
      </c>
      <c r="T482" s="461">
        <f t="shared" si="145"/>
        <v>0</v>
      </c>
      <c r="U482" s="461">
        <f t="shared" si="145"/>
        <v>0</v>
      </c>
      <c r="V482" s="461">
        <f t="shared" si="145"/>
        <v>0</v>
      </c>
      <c r="W482" s="461">
        <f t="shared" si="145"/>
        <v>0</v>
      </c>
      <c r="X482" s="461">
        <f t="shared" si="145"/>
        <v>0</v>
      </c>
      <c r="Y482" s="461">
        <f t="shared" si="145"/>
        <v>0</v>
      </c>
      <c r="Z482" s="461">
        <f t="shared" si="145"/>
        <v>0</v>
      </c>
      <c r="AA482" s="461">
        <f t="shared" si="145"/>
        <v>0</v>
      </c>
      <c r="AB482" s="461">
        <f t="shared" si="145"/>
        <v>0</v>
      </c>
      <c r="AC482" s="461">
        <f t="shared" si="145"/>
        <v>0</v>
      </c>
      <c r="AD482" s="461">
        <f t="shared" si="145"/>
        <v>0</v>
      </c>
      <c r="AE482" s="461">
        <f t="shared" si="145"/>
        <v>0</v>
      </c>
      <c r="AF482" s="461">
        <f t="shared" si="145"/>
        <v>0</v>
      </c>
      <c r="AG482" s="461">
        <f t="shared" si="145"/>
        <v>0</v>
      </c>
      <c r="AH482" s="461">
        <f t="shared" si="145"/>
        <v>0</v>
      </c>
      <c r="AI482" s="461">
        <f t="shared" si="145"/>
        <v>0</v>
      </c>
      <c r="AJ482" s="451">
        <f t="shared" si="140"/>
        <v>0</v>
      </c>
      <c r="AK482" s="512" t="str">
        <f>CONCATENATE(IF((D483+D484+D485+D486)&lt;&gt;D482," * "&amp;$A482&amp;" , "&amp;$B483&amp;" plus "&amp;$B484&amp;" plus "&amp;$B485&amp;" plus "&amp;$B486&amp;" For age "&amp;$D$20&amp;" "&amp;$D$21&amp;" should be equal to "&amp;$B482&amp;""&amp;CHAR(10),""),IF((E483+E484+E485+E486)&lt;&gt;E482," * "&amp;$A482&amp;" , "&amp;$B483&amp;" plus "&amp;$B484&amp;" plus "&amp;$B485&amp;" plus "&amp;$B486&amp;" For age "&amp;$D$20&amp;" "&amp;$E$21&amp;" should be equal to "&amp;$B482&amp;""&amp;CHAR(10),""),IF((F483+F484+F485+F486)&lt;&gt;F482," * "&amp;$A482&amp;" , "&amp;$B483&amp;" plus "&amp;$B484&amp;" plus "&amp;$B485&amp;" plus "&amp;$B486&amp;" For age "&amp;$F$20&amp;" "&amp;$F$21&amp;" should be equal to "&amp;$B482&amp;""&amp;CHAR(10),""),IF((G483+G484+G485+G486)&lt;&gt;G482," * "&amp;$A482&amp;" , "&amp;$B483&amp;" plus "&amp;$B484&amp;" plus "&amp;$B485&amp;" plus "&amp;$B486&amp;" For age "&amp;$F$20&amp;" "&amp;$G$21&amp;" should be equal to "&amp;$B482&amp;""&amp;CHAR(10),""),IF((H483+H484+H485+H486)&lt;&gt;H482," * "&amp;$A482&amp;" , "&amp;$B483&amp;" plus "&amp;$B484&amp;" plus "&amp;$B485&amp;" plus "&amp;$B486&amp;" For age "&amp;$H$20&amp;" "&amp;$H$21&amp;" should be equal to "&amp;$B482&amp;""&amp;CHAR(10),""),IF((I483+I484+I485+I486)&lt;&gt;I482," * "&amp;$A482&amp;" , "&amp;$B483&amp;" plus "&amp;$B484&amp;" plus "&amp;$B485&amp;" plus "&amp;$B486&amp;" For age "&amp;$H$20&amp;" "&amp;$I$21&amp;" should be equal to "&amp;$B482&amp;""&amp;CHAR(10),""),IF((J483+J484+J485+J486)&lt;&gt;J482," * "&amp;$A482&amp;" , "&amp;$B483&amp;" plus "&amp;$B484&amp;" plus "&amp;$B485&amp;" plus "&amp;$B486&amp;" For age "&amp;$J$20&amp;" "&amp;$J$21&amp;" should be equal to "&amp;$B482&amp;""&amp;CHAR(10),""),IF((K483+K484+K485+K486)&lt;&gt;K482," * "&amp;$A482&amp;" , "&amp;$B483&amp;" plus "&amp;$B484&amp;" plus "&amp;$B485&amp;" plus "&amp;$B486&amp;" For age "&amp;$J$20&amp;" "&amp;$K$21&amp;" should be equal to "&amp;$B482&amp;""&amp;CHAR(10),""),IF((L483+L484+L485+L486)&lt;&gt;L482," * "&amp;$A482&amp;" , "&amp;$B483&amp;" plus "&amp;$B484&amp;" plus "&amp;$B485&amp;" plus "&amp;$B486&amp;" For age "&amp;$L$20&amp;" "&amp;$L$21&amp;" should be equal to "&amp;$B482&amp;""&amp;CHAR(10),""),IF((M483+M484+M485+M486)&lt;&gt;M482," * "&amp;$A482&amp;" , "&amp;$B483&amp;" plus "&amp;$B484&amp;" plus "&amp;$B485&amp;" plus "&amp;$B486&amp;" For age "&amp;$L$20&amp;" "&amp;$M$21&amp;" should be equal to "&amp;$B482&amp;""&amp;CHAR(10),""),IF((N483+N484+N485+N486)&lt;&gt;N482," * "&amp;$A482&amp;" , "&amp;$B483&amp;" plus "&amp;$B484&amp;" plus "&amp;$B485&amp;" plus "&amp;$B486&amp;" For age "&amp;$N$20&amp;" "&amp;$N$21&amp;" should be equal to "&amp;$B482&amp;""&amp;CHAR(10),""),IF((O483+O484+O485+O486)&lt;&gt;O482," * "&amp;$A482&amp;" , "&amp;$B483&amp;" plus "&amp;$B484&amp;" plus "&amp;$B485&amp;" plus "&amp;$B486&amp;" For age "&amp;$N$20&amp;" "&amp;$O$21&amp;" should be equal to "&amp;$B482&amp;""&amp;CHAR(10),""),IF((P483+P484+P485+P486)&lt;&gt;P482," * "&amp;$A482&amp;" , "&amp;$B483&amp;" plus "&amp;$B484&amp;" plus "&amp;$B485&amp;" plus "&amp;$B486&amp;" For age "&amp;$P$20&amp;" "&amp;$P$21&amp;" should be equal to "&amp;$B482&amp;""&amp;CHAR(10),""),IF((Q483+Q484+Q485+Q486)&lt;&gt;Q482," * "&amp;$A482&amp;" , "&amp;$B483&amp;" plus "&amp;$B484&amp;" plus "&amp;$B485&amp;" plus "&amp;$B486&amp;" For age "&amp;$P$20&amp;" "&amp;$Q$21&amp;" should be equal to "&amp;$B482&amp;""&amp;CHAR(10),""),IF((R483+R484+R485+R486)&lt;&gt;R482," * "&amp;$A482&amp;" , "&amp;$B483&amp;" plus "&amp;$B484&amp;" plus "&amp;$B485&amp;" plus "&amp;$B486&amp;" For age "&amp;$R$20&amp;" "&amp;$R$21&amp;" should be equal to "&amp;$B482&amp;""&amp;CHAR(10),""),IF((S483+S484+S485+S486)&lt;&gt;S482," * "&amp;$A482&amp;" , "&amp;$B483&amp;" plus "&amp;$B484&amp;" plus "&amp;$B485&amp;" plus "&amp;$B486&amp;" For age "&amp;$R$20&amp;" "&amp;$S$21&amp;" should be equal to "&amp;$B482&amp;""&amp;CHAR(10),""),IF((T483+T484+T485+T486)&lt;&gt;T482," * "&amp;$A482&amp;" , "&amp;$B483&amp;" plus "&amp;$B484&amp;" plus "&amp;$B485&amp;" plus "&amp;$B486&amp;" For age "&amp;$T$20&amp;" "&amp;$T$21&amp;" should be equal to "&amp;$B482&amp;""&amp;CHAR(10),""),IF((U483+U484+U485+U486)&lt;&gt;U482," * "&amp;$A482&amp;" , "&amp;$B483&amp;" plus "&amp;$B484&amp;" plus "&amp;$B485&amp;" plus "&amp;$B486&amp;" For age "&amp;$T$20&amp;" "&amp;$U$21&amp;" should be equal to "&amp;$B482&amp;""&amp;CHAR(10),""),IF((V483+V484+V485+V486)&lt;&gt;V482," * "&amp;$A482&amp;" , "&amp;$B483&amp;" plus "&amp;$B484&amp;" plus "&amp;$B485&amp;" plus "&amp;$B486&amp;" For age "&amp;$V$20&amp;" "&amp;$V$21&amp;" should be equal to "&amp;$B482&amp;""&amp;CHAR(10),""),IF((W483+W484+W485+W486)&lt;&gt;W482," * "&amp;$A482&amp;" , "&amp;$B483&amp;" plus "&amp;$B484&amp;" plus "&amp;$B485&amp;" plus "&amp;$B486&amp;" For age "&amp;$V$20&amp;" "&amp;$W$21&amp;" should be equal to "&amp;$B482&amp;""&amp;CHAR(10),""),IF((X483+X484+X485+X486)&lt;&gt;X482," * "&amp;$A482&amp;" , "&amp;$B483&amp;" plus "&amp;$B484&amp;" plus "&amp;$B485&amp;" plus "&amp;$B486&amp;" For age "&amp;$X$20&amp;" "&amp;$X$21&amp;" should be equal to "&amp;$B482&amp;""&amp;CHAR(10),""),IF((Y483+Y484+Y485+Y486)&lt;&gt;Y482," * "&amp;$A482&amp;" , "&amp;$B483&amp;" plus "&amp;$B484&amp;" plus "&amp;$B485&amp;" plus "&amp;$B486&amp;" For age "&amp;$X$20&amp;" "&amp;$Y$21&amp;" should be equal to "&amp;$B482&amp;""&amp;CHAR(10),""),IF((Z483+Z484+Z485+Z486)&lt;&gt;Z482," * "&amp;$A482&amp;" , "&amp;$B483&amp;" plus "&amp;$B484&amp;" plus "&amp;$B485&amp;" plus "&amp;$B486&amp;" For age "&amp;$Z$20&amp;" "&amp;$Z$21&amp;" should be equal to "&amp;$B482&amp;""&amp;CHAR(10),""),IF((AA483+AA484+AA485+AA486)&lt;&gt;AA482," * "&amp;$A482&amp;" , "&amp;$B483&amp;" plus "&amp;$B484&amp;" plus "&amp;$B485&amp;" plus "&amp;$B486&amp;" For age "&amp;$Z$20&amp;" "&amp;$AA$21&amp;" should be equal to "&amp;$B482&amp;""&amp;CHAR(10),""))</f>
        <v/>
      </c>
      <c r="AL482" s="1456"/>
      <c r="AM482" s="31"/>
      <c r="AN482" s="744"/>
      <c r="AO482" s="13">
        <v>31</v>
      </c>
      <c r="AP482" s="81"/>
      <c r="AQ482" s="82"/>
    </row>
    <row r="483" spans="1:43" s="83" customFormat="1" ht="26.25" x14ac:dyDescent="0.4">
      <c r="A483" s="1204"/>
      <c r="B483" s="690" t="s">
        <v>1022</v>
      </c>
      <c r="C483" s="694" t="s">
        <v>1039</v>
      </c>
      <c r="D483" s="586"/>
      <c r="E483" s="705"/>
      <c r="F483" s="517"/>
      <c r="G483" s="514"/>
      <c r="H483" s="514"/>
      <c r="I483" s="514"/>
      <c r="J483" s="514"/>
      <c r="K483" s="514"/>
      <c r="L483" s="514"/>
      <c r="M483" s="514"/>
      <c r="N483" s="514"/>
      <c r="O483" s="514"/>
      <c r="P483" s="514"/>
      <c r="Q483" s="514"/>
      <c r="R483" s="514"/>
      <c r="S483" s="514"/>
      <c r="T483" s="514"/>
      <c r="U483" s="514"/>
      <c r="V483" s="514"/>
      <c r="W483" s="514"/>
      <c r="X483" s="514"/>
      <c r="Y483" s="514"/>
      <c r="Z483" s="463">
        <f t="shared" ref="Z483:AA486" si="146">SUM(AB483,AD483,AF483,AH483)</f>
        <v>0</v>
      </c>
      <c r="AA483" s="463">
        <f t="shared" si="146"/>
        <v>0</v>
      </c>
      <c r="AB483" s="514"/>
      <c r="AC483" s="514"/>
      <c r="AD483" s="514"/>
      <c r="AE483" s="514"/>
      <c r="AF483" s="514"/>
      <c r="AG483" s="514"/>
      <c r="AH483" s="514"/>
      <c r="AI483" s="514"/>
      <c r="AJ483" s="452">
        <f t="shared" si="140"/>
        <v>0</v>
      </c>
      <c r="AK483" s="1206"/>
      <c r="AL483" s="1456"/>
      <c r="AM483" s="31" t="str">
        <f>CONCATENATE(IF(AND(IFERROR((AJ484*100)/AJ483,0)&gt;10,AJ484&gt;5)," * This facility has a high positivity rate for Index Testing. Kindly confirm if this is the true reflection"&amp;CHAR(10),""),"")</f>
        <v/>
      </c>
      <c r="AN483" s="744"/>
      <c r="AO483" s="13">
        <v>32</v>
      </c>
      <c r="AP483" s="81"/>
      <c r="AQ483" s="82"/>
    </row>
    <row r="484" spans="1:43" s="83" customFormat="1" ht="26.25" x14ac:dyDescent="0.4">
      <c r="A484" s="1204"/>
      <c r="B484" s="690" t="s">
        <v>1003</v>
      </c>
      <c r="C484" s="694" t="s">
        <v>1040</v>
      </c>
      <c r="D484" s="678"/>
      <c r="E484" s="706"/>
      <c r="F484" s="518"/>
      <c r="G484" s="455"/>
      <c r="H484" s="455"/>
      <c r="I484" s="455"/>
      <c r="J484" s="455"/>
      <c r="K484" s="455"/>
      <c r="L484" s="455"/>
      <c r="M484" s="455"/>
      <c r="N484" s="455"/>
      <c r="O484" s="455"/>
      <c r="P484" s="455"/>
      <c r="Q484" s="455"/>
      <c r="R484" s="455"/>
      <c r="S484" s="455"/>
      <c r="T484" s="455"/>
      <c r="U484" s="455"/>
      <c r="V484" s="455"/>
      <c r="W484" s="455"/>
      <c r="X484" s="455"/>
      <c r="Y484" s="455"/>
      <c r="Z484" s="463">
        <f t="shared" si="146"/>
        <v>0</v>
      </c>
      <c r="AA484" s="463">
        <f t="shared" si="146"/>
        <v>0</v>
      </c>
      <c r="AB484" s="455"/>
      <c r="AC484" s="455"/>
      <c r="AD484" s="455"/>
      <c r="AE484" s="455"/>
      <c r="AF484" s="455"/>
      <c r="AG484" s="455"/>
      <c r="AH484" s="455"/>
      <c r="AI484" s="455"/>
      <c r="AJ484" s="453">
        <f t="shared" si="140"/>
        <v>0</v>
      </c>
      <c r="AK484" s="1206"/>
      <c r="AL484" s="1456"/>
      <c r="AM484" s="31" t="str">
        <f>CONCATENATE(IF(D483&gt;0," * F01-12 for Age "&amp;D470&amp;" "&amp;D471&amp;" has a value greater than 0"&amp;CHAR(10),""),IF(E483&gt;0," * F01-12 for Age "&amp;D470&amp;" "&amp;E471&amp;" has a value greater than 0"&amp;CHAR(10),""),IF(D484&gt;0," * F01-13 for Age "&amp;D470&amp;" "&amp;D471&amp;" has a value greater than 0"&amp;CHAR(10),""),IF(E484&gt;0," * F01-13 for Age "&amp;D470&amp;" "&amp;E471&amp;" has a value greater than 0"&amp;CHAR(10),""),IF(D547&gt;0," * F01-15 for Age "&amp;D470&amp;" "&amp;D471&amp;" has a value greater than 0"&amp;CHAR(10),""),IF(E547&gt;0," * F01-15 for Age "&amp;D470&amp;" "&amp;E471&amp;" has a value greater than 0"&amp;CHAR(10),""),IF(D552&gt;0," * F01-20 for Age "&amp;D470&amp;" "&amp;D471&amp;" has a value greater than 0"&amp;CHAR(10),""),IF(E552&gt;0," * F01-20 for Age "&amp;D470&amp;" "&amp;E471&amp;" has a value greater than 0"&amp;CHAR(10),""),IF(D553&gt;0," * F01-21 for Age "&amp;D470&amp;" "&amp;D471&amp;" has a value greater than 0"&amp;CHAR(10),""),IF(E553&gt;0," * F01-21 for Age "&amp;D470&amp;" "&amp;E471&amp;" has a value greater than 0"&amp;CHAR(10),""),IF(D554&gt;0," * F01-22 for Age "&amp;D470&amp;" "&amp;D471&amp;" has a value greater than 0"&amp;CHAR(10),""),IF(E554&gt;0," * F01-22 for Age "&amp;D470&amp;" "&amp;E471&amp;" has a value greater than 0"&amp;CHAR(10),""),IF(D555&gt;0," * F01-23 for Age "&amp;D470&amp;" "&amp;D471&amp;" has a value greater than 0"&amp;CHAR(10),""),IF(E555&gt;0," * F01-23 for Age "&amp;D470&amp;" "&amp;E471&amp;" has a value greater than 0"&amp;CHAR(10),""),"")</f>
        <v/>
      </c>
      <c r="AN484" s="744"/>
      <c r="AO484" s="13">
        <v>33</v>
      </c>
      <c r="AP484" s="81"/>
      <c r="AQ484" s="82"/>
    </row>
    <row r="485" spans="1:43" s="83" customFormat="1" ht="26.25" x14ac:dyDescent="0.4">
      <c r="A485" s="1204"/>
      <c r="B485" s="690" t="s">
        <v>1005</v>
      </c>
      <c r="C485" s="694" t="s">
        <v>1041</v>
      </c>
      <c r="D485" s="678"/>
      <c r="E485" s="706"/>
      <c r="F485" s="519"/>
      <c r="G485" s="462"/>
      <c r="H485" s="462"/>
      <c r="I485" s="462"/>
      <c r="J485" s="462"/>
      <c r="K485" s="462"/>
      <c r="L485" s="462"/>
      <c r="M485" s="462"/>
      <c r="N485" s="462"/>
      <c r="O485" s="462"/>
      <c r="P485" s="462"/>
      <c r="Q485" s="462"/>
      <c r="R485" s="462"/>
      <c r="S485" s="462"/>
      <c r="T485" s="462"/>
      <c r="U485" s="462"/>
      <c r="V485" s="462"/>
      <c r="W485" s="462"/>
      <c r="X485" s="462"/>
      <c r="Y485" s="462"/>
      <c r="Z485" s="463">
        <f t="shared" si="146"/>
        <v>0</v>
      </c>
      <c r="AA485" s="463">
        <f t="shared" si="146"/>
        <v>0</v>
      </c>
      <c r="AB485" s="462"/>
      <c r="AC485" s="462"/>
      <c r="AD485" s="462"/>
      <c r="AE485" s="462"/>
      <c r="AF485" s="462"/>
      <c r="AG485" s="462"/>
      <c r="AH485" s="462"/>
      <c r="AI485" s="462"/>
      <c r="AJ485" s="453">
        <f t="shared" si="140"/>
        <v>0</v>
      </c>
      <c r="AK485" s="445"/>
      <c r="AL485" s="1456"/>
      <c r="AM485" s="31" t="str">
        <f>CONCATENATE(IF(D484&gt;0," * F01-12 for Age "&amp;D471&amp;" "&amp;D472&amp;" has a value greater than 0"&amp;CHAR(10),""),IF(E484&gt;0," * F01-12 for Age "&amp;D471&amp;" "&amp;E472&amp;" has a value greater than 0"&amp;CHAR(10),""),IF(D485&gt;0," * F01-13 for Age "&amp;D471&amp;" "&amp;D472&amp;" has a value greater than 0"&amp;CHAR(10),""),IF(E485&gt;0," * F01-13 for Age "&amp;D471&amp;" "&amp;E472&amp;" has a value greater than 0"&amp;CHAR(10),""),IF(D547&gt;0," * F01-14 for Age "&amp;D471&amp;" "&amp;D472&amp;" has a value greater than 0"&amp;CHAR(10),""),IF(E547&gt;0," * F01-14 for Age "&amp;D471&amp;" "&amp;E472&amp;" has a value greater than 0"&amp;CHAR(10),""),IF(D548&gt;0," * F01-15 for Age "&amp;D471&amp;" "&amp;D472&amp;" has a value greater than 0"&amp;CHAR(10),""),IF(E548&gt;0," * F01-15 for Age "&amp;D471&amp;" "&amp;E472&amp;" has a value greater than 0"&amp;CHAR(10),""),IF(D553&gt;0," * F01-20 for Age "&amp;D471&amp;" "&amp;D472&amp;" has a value greater than 0"&amp;CHAR(10),""),IF(E553&gt;0," * F01-20 for Age "&amp;D471&amp;" "&amp;E472&amp;" has a value greater than 0"&amp;CHAR(10),""),IF(D554&gt;0," * F01-21 for Age "&amp;D471&amp;" "&amp;D472&amp;" has a value greater than 0"&amp;CHAR(10),""),IF(E554&gt;0," * F01-21 for Age "&amp;D471&amp;" "&amp;E472&amp;" has a value greater than 0"&amp;CHAR(10),""),IF(D555&gt;0," * F01-22 for Age "&amp;D471&amp;" "&amp;D472&amp;" has a value greater than 0"&amp;CHAR(10),""),IF(E555&gt;0," * F01-22 for Age "&amp;D471&amp;" "&amp;E472&amp;" has a value greater than 0"&amp;CHAR(10),""),IF(D556&gt;0," * F01-23 for Age "&amp;D471&amp;" "&amp;D472&amp;" has a value greater than 0"&amp;CHAR(10),""),IF(E556&gt;0," * F01-23 for Age "&amp;D471&amp;" "&amp;E472&amp;" has a value greater than 0"&amp;CHAR(10),""),"")</f>
        <v/>
      </c>
      <c r="AN485" s="744"/>
      <c r="AO485" s="13">
        <v>33</v>
      </c>
      <c r="AP485" s="81"/>
      <c r="AQ485" s="82"/>
    </row>
    <row r="486" spans="1:43" s="83" customFormat="1" ht="27" thickBot="1" x14ac:dyDescent="0.45">
      <c r="A486" s="1205"/>
      <c r="B486" s="691" t="s">
        <v>1007</v>
      </c>
      <c r="C486" s="695" t="s">
        <v>1042</v>
      </c>
      <c r="D486" s="679"/>
      <c r="E486" s="707"/>
      <c r="F486" s="520"/>
      <c r="G486" s="516"/>
      <c r="H486" s="516"/>
      <c r="I486" s="516"/>
      <c r="J486" s="516"/>
      <c r="K486" s="516"/>
      <c r="L486" s="516"/>
      <c r="M486" s="516"/>
      <c r="N486" s="516"/>
      <c r="O486" s="516"/>
      <c r="P486" s="516"/>
      <c r="Q486" s="516"/>
      <c r="R486" s="516"/>
      <c r="S486" s="516"/>
      <c r="T486" s="516"/>
      <c r="U486" s="516"/>
      <c r="V486" s="516"/>
      <c r="W486" s="516"/>
      <c r="X486" s="516"/>
      <c r="Y486" s="516"/>
      <c r="Z486" s="463">
        <f t="shared" si="146"/>
        <v>0</v>
      </c>
      <c r="AA486" s="463">
        <f t="shared" si="146"/>
        <v>0</v>
      </c>
      <c r="AB486" s="516"/>
      <c r="AC486" s="516"/>
      <c r="AD486" s="516"/>
      <c r="AE486" s="516"/>
      <c r="AF486" s="516"/>
      <c r="AG486" s="516"/>
      <c r="AH486" s="516"/>
      <c r="AI486" s="516"/>
      <c r="AJ486" s="454">
        <f t="shared" si="140"/>
        <v>0</v>
      </c>
      <c r="AK486" s="445"/>
      <c r="AL486" s="1456"/>
      <c r="AM486" s="31" t="str">
        <f>CONCATENATE(IF(D485&gt;0," * F01-12 for Age "&amp;D472&amp;" "&amp;D473&amp;" has a value greater than 0"&amp;CHAR(10),""),IF(E485&gt;0," * F01-12 for Age "&amp;D472&amp;" "&amp;E473&amp;" has a value greater than 0"&amp;CHAR(10),""),IF(D486&gt;0," * F01-13 for Age "&amp;D472&amp;" "&amp;D473&amp;" has a value greater than 0"&amp;CHAR(10),""),IF(E486&gt;0," * F01-13 for Age "&amp;D472&amp;" "&amp;E473&amp;" has a value greater than 0"&amp;CHAR(10),""),IF(D548&gt;0," * F01-14 for Age "&amp;D472&amp;" "&amp;D473&amp;" has a value greater than 0"&amp;CHAR(10),""),IF(E548&gt;0," * F01-14 for Age "&amp;D472&amp;" "&amp;E473&amp;" has a value greater than 0"&amp;CHAR(10),""),IF(D549&gt;0," * F01-15 for Age "&amp;D472&amp;" "&amp;D473&amp;" has a value greater than 0"&amp;CHAR(10),""),IF(E549&gt;0," * F01-15 for Age "&amp;D472&amp;" "&amp;E473&amp;" has a value greater than 0"&amp;CHAR(10),""),IF(D554&gt;0," * F01-20 for Age "&amp;D472&amp;" "&amp;D473&amp;" has a value greater than 0"&amp;CHAR(10),""),IF(E554&gt;0," * F01-20 for Age "&amp;D472&amp;" "&amp;E473&amp;" has a value greater than 0"&amp;CHAR(10),""),IF(D555&gt;0," * F01-21 for Age "&amp;D472&amp;" "&amp;D473&amp;" has a value greater than 0"&amp;CHAR(10),""),IF(E555&gt;0," * F01-21 for Age "&amp;D472&amp;" "&amp;E473&amp;" has a value greater than 0"&amp;CHAR(10),""),IF(D556&gt;0," * F01-22 for Age "&amp;D472&amp;" "&amp;D473&amp;" has a value greater than 0"&amp;CHAR(10),""),IF(E556&gt;0," * F01-22 for Age "&amp;D472&amp;" "&amp;E473&amp;" has a value greater than 0"&amp;CHAR(10),""),IF(D557&gt;0," * F01-23 for Age "&amp;D472&amp;" "&amp;D473&amp;" has a value greater than 0"&amp;CHAR(10),""),IF(E557&gt;0," * F01-23 for Age "&amp;D472&amp;" "&amp;E473&amp;" has a value greater than 0"&amp;CHAR(10),""),"")</f>
        <v/>
      </c>
      <c r="AN486" s="744"/>
      <c r="AO486" s="13">
        <v>33</v>
      </c>
      <c r="AP486" s="81"/>
      <c r="AQ486" s="82"/>
    </row>
    <row r="487" spans="1:43" s="83" customFormat="1" ht="27" thickBot="1" x14ac:dyDescent="0.45">
      <c r="A487" s="1203" t="s">
        <v>22</v>
      </c>
      <c r="B487" s="689" t="s">
        <v>128</v>
      </c>
      <c r="C487" s="693" t="s">
        <v>1043</v>
      </c>
      <c r="D487" s="676"/>
      <c r="E487" s="704"/>
      <c r="F487" s="715">
        <f t="shared" ref="F487:AI487" si="147">F48</f>
        <v>0</v>
      </c>
      <c r="G487" s="461">
        <f t="shared" si="147"/>
        <v>0</v>
      </c>
      <c r="H487" s="461">
        <f t="shared" si="147"/>
        <v>0</v>
      </c>
      <c r="I487" s="461">
        <f t="shared" si="147"/>
        <v>0</v>
      </c>
      <c r="J487" s="461">
        <f t="shared" si="147"/>
        <v>0</v>
      </c>
      <c r="K487" s="461">
        <f t="shared" si="147"/>
        <v>0</v>
      </c>
      <c r="L487" s="461">
        <f t="shared" si="147"/>
        <v>0</v>
      </c>
      <c r="M487" s="461">
        <f t="shared" si="147"/>
        <v>0</v>
      </c>
      <c r="N487" s="461">
        <f t="shared" si="147"/>
        <v>0</v>
      </c>
      <c r="O487" s="461">
        <f t="shared" si="147"/>
        <v>0</v>
      </c>
      <c r="P487" s="461">
        <f t="shared" si="147"/>
        <v>0</v>
      </c>
      <c r="Q487" s="461">
        <f t="shared" si="147"/>
        <v>0</v>
      </c>
      <c r="R487" s="461">
        <f t="shared" si="147"/>
        <v>0</v>
      </c>
      <c r="S487" s="461">
        <f t="shared" si="147"/>
        <v>0</v>
      </c>
      <c r="T487" s="461">
        <f t="shared" si="147"/>
        <v>0</v>
      </c>
      <c r="U487" s="461">
        <f t="shared" si="147"/>
        <v>0</v>
      </c>
      <c r="V487" s="461">
        <f t="shared" si="147"/>
        <v>0</v>
      </c>
      <c r="W487" s="461">
        <f t="shared" si="147"/>
        <v>0</v>
      </c>
      <c r="X487" s="461">
        <f t="shared" si="147"/>
        <v>0</v>
      </c>
      <c r="Y487" s="461">
        <f t="shared" si="147"/>
        <v>0</v>
      </c>
      <c r="Z487" s="461">
        <f t="shared" si="147"/>
        <v>0</v>
      </c>
      <c r="AA487" s="461">
        <f t="shared" si="147"/>
        <v>0</v>
      </c>
      <c r="AB487" s="461">
        <f t="shared" si="147"/>
        <v>0</v>
      </c>
      <c r="AC487" s="461">
        <f t="shared" si="147"/>
        <v>0</v>
      </c>
      <c r="AD487" s="461">
        <f t="shared" si="147"/>
        <v>0</v>
      </c>
      <c r="AE487" s="461">
        <f t="shared" si="147"/>
        <v>0</v>
      </c>
      <c r="AF487" s="461">
        <f t="shared" si="147"/>
        <v>0</v>
      </c>
      <c r="AG487" s="461">
        <f t="shared" si="147"/>
        <v>0</v>
      </c>
      <c r="AH487" s="461">
        <f t="shared" si="147"/>
        <v>0</v>
      </c>
      <c r="AI487" s="461">
        <f t="shared" si="147"/>
        <v>0</v>
      </c>
      <c r="AJ487" s="451">
        <f t="shared" si="140"/>
        <v>0</v>
      </c>
      <c r="AK487" s="512" t="str">
        <f>CONCATENATE(IF((D488+D489+D490+D491)&lt;&gt;D487," * "&amp;$A487&amp;" , "&amp;$B488&amp;" plus "&amp;$B489&amp;" plus "&amp;$B490&amp;" plus "&amp;$B491&amp;" For age "&amp;$D$20&amp;" "&amp;$D$21&amp;" should be equal to "&amp;$B487&amp;""&amp;CHAR(10),""),IF((E488+E489+E490+E491)&lt;&gt;E487," * "&amp;$A487&amp;" , "&amp;$B488&amp;" plus "&amp;$B489&amp;" plus "&amp;$B490&amp;" plus "&amp;$B491&amp;" For age "&amp;$D$20&amp;" "&amp;$E$21&amp;" should be equal to "&amp;$B487&amp;""&amp;CHAR(10),""),IF((F488+F489+F490+F491)&lt;&gt;F487," * "&amp;$A487&amp;" , "&amp;$B488&amp;" plus "&amp;$B489&amp;" plus "&amp;$B490&amp;" plus "&amp;$B491&amp;" For age "&amp;$F$20&amp;" "&amp;$F$21&amp;" should be equal to "&amp;$B487&amp;""&amp;CHAR(10),""),IF((G488+G489+G490+G491)&lt;&gt;G487," * "&amp;$A487&amp;" , "&amp;$B488&amp;" plus "&amp;$B489&amp;" plus "&amp;$B490&amp;" plus "&amp;$B491&amp;" For age "&amp;$F$20&amp;" "&amp;$G$21&amp;" should be equal to "&amp;$B487&amp;""&amp;CHAR(10),""),IF((H488+H489+H490+H491)&lt;&gt;H487," * "&amp;$A487&amp;" , "&amp;$B488&amp;" plus "&amp;$B489&amp;" plus "&amp;$B490&amp;" plus "&amp;$B491&amp;" For age "&amp;$H$20&amp;" "&amp;$H$21&amp;" should be equal to "&amp;$B487&amp;""&amp;CHAR(10),""),IF((I488+I489+I490+I491)&lt;&gt;I487," * "&amp;$A487&amp;" , "&amp;$B488&amp;" plus "&amp;$B489&amp;" plus "&amp;$B490&amp;" plus "&amp;$B491&amp;" For age "&amp;$H$20&amp;" "&amp;$I$21&amp;" should be equal to "&amp;$B487&amp;""&amp;CHAR(10),""),IF((J488+J489+J490+J491)&lt;&gt;J487," * "&amp;$A487&amp;" , "&amp;$B488&amp;" plus "&amp;$B489&amp;" plus "&amp;$B490&amp;" plus "&amp;$B491&amp;" For age "&amp;$J$20&amp;" "&amp;$J$21&amp;" should be equal to "&amp;$B487&amp;""&amp;CHAR(10),""),IF((K488+K489+K490+K491)&lt;&gt;K487," * "&amp;$A487&amp;" , "&amp;$B488&amp;" plus "&amp;$B489&amp;" plus "&amp;$B490&amp;" plus "&amp;$B491&amp;" For age "&amp;$J$20&amp;" "&amp;$K$21&amp;" should be equal to "&amp;$B487&amp;""&amp;CHAR(10),""),IF((L488+L489+L490+L491)&lt;&gt;L487," * "&amp;$A487&amp;" , "&amp;$B488&amp;" plus "&amp;$B489&amp;" plus "&amp;$B490&amp;" plus "&amp;$B491&amp;" For age "&amp;$L$20&amp;" "&amp;$L$21&amp;" should be equal to "&amp;$B487&amp;""&amp;CHAR(10),""),IF((M488+M489+M490+M491)&lt;&gt;M487," * "&amp;$A487&amp;" , "&amp;$B488&amp;" plus "&amp;$B489&amp;" plus "&amp;$B490&amp;" plus "&amp;$B491&amp;" For age "&amp;$L$20&amp;" "&amp;$M$21&amp;" should be equal to "&amp;$B487&amp;""&amp;CHAR(10),""),IF((N488+N489+N490+N491)&lt;&gt;N487," * "&amp;$A487&amp;" , "&amp;$B488&amp;" plus "&amp;$B489&amp;" plus "&amp;$B490&amp;" plus "&amp;$B491&amp;" For age "&amp;$N$20&amp;" "&amp;$N$21&amp;" should be equal to "&amp;$B487&amp;""&amp;CHAR(10),""),IF((O488+O489+O490+O491)&lt;&gt;O487," * "&amp;$A487&amp;" , "&amp;$B488&amp;" plus "&amp;$B489&amp;" plus "&amp;$B490&amp;" plus "&amp;$B491&amp;" For age "&amp;$N$20&amp;" "&amp;$O$21&amp;" should be equal to "&amp;$B487&amp;""&amp;CHAR(10),""),IF((P488+P489+P490+P491)&lt;&gt;P487," * "&amp;$A487&amp;" , "&amp;$B488&amp;" plus "&amp;$B489&amp;" plus "&amp;$B490&amp;" plus "&amp;$B491&amp;" For age "&amp;$P$20&amp;" "&amp;$P$21&amp;" should be equal to "&amp;$B487&amp;""&amp;CHAR(10),""),IF((Q488+Q489+Q490+Q491)&lt;&gt;Q487," * "&amp;$A487&amp;" , "&amp;$B488&amp;" plus "&amp;$B489&amp;" plus "&amp;$B490&amp;" plus "&amp;$B491&amp;" For age "&amp;$P$20&amp;" "&amp;$Q$21&amp;" should be equal to "&amp;$B487&amp;""&amp;CHAR(10),""),IF((R488+R489+R490+R491)&lt;&gt;R487," * "&amp;$A487&amp;" , "&amp;$B488&amp;" plus "&amp;$B489&amp;" plus "&amp;$B490&amp;" plus "&amp;$B491&amp;" For age "&amp;$R$20&amp;" "&amp;$R$21&amp;" should be equal to "&amp;$B487&amp;""&amp;CHAR(10),""),IF((S488+S489+S490+S491)&lt;&gt;S487," * "&amp;$A487&amp;" , "&amp;$B488&amp;" plus "&amp;$B489&amp;" plus "&amp;$B490&amp;" plus "&amp;$B491&amp;" For age "&amp;$R$20&amp;" "&amp;$S$21&amp;" should be equal to "&amp;$B487&amp;""&amp;CHAR(10),""),IF((T488+T489+T490+T491)&lt;&gt;T487," * "&amp;$A487&amp;" , "&amp;$B488&amp;" plus "&amp;$B489&amp;" plus "&amp;$B490&amp;" plus "&amp;$B491&amp;" For age "&amp;$T$20&amp;" "&amp;$T$21&amp;" should be equal to "&amp;$B487&amp;""&amp;CHAR(10),""),IF((U488+U489+U490+U491)&lt;&gt;U487," * "&amp;$A487&amp;" , "&amp;$B488&amp;" plus "&amp;$B489&amp;" plus "&amp;$B490&amp;" plus "&amp;$B491&amp;" For age "&amp;$T$20&amp;" "&amp;$U$21&amp;" should be equal to "&amp;$B487&amp;""&amp;CHAR(10),""),IF((V488+V489+V490+V491)&lt;&gt;V487," * "&amp;$A487&amp;" , "&amp;$B488&amp;" plus "&amp;$B489&amp;" plus "&amp;$B490&amp;" plus "&amp;$B491&amp;" For age "&amp;$V$20&amp;" "&amp;$V$21&amp;" should be equal to "&amp;$B487&amp;""&amp;CHAR(10),""),IF((W488+W489+W490+W491)&lt;&gt;W487," * "&amp;$A487&amp;" , "&amp;$B488&amp;" plus "&amp;$B489&amp;" plus "&amp;$B490&amp;" plus "&amp;$B491&amp;" For age "&amp;$V$20&amp;" "&amp;$W$21&amp;" should be equal to "&amp;$B487&amp;""&amp;CHAR(10),""),IF((X488+X489+X490+X491)&lt;&gt;X487," * "&amp;$A487&amp;" , "&amp;$B488&amp;" plus "&amp;$B489&amp;" plus "&amp;$B490&amp;" plus "&amp;$B491&amp;" For age "&amp;$X$20&amp;" "&amp;$X$21&amp;" should be equal to "&amp;$B487&amp;""&amp;CHAR(10),""),IF((Y488+Y489+Y490+Y491)&lt;&gt;Y487," * "&amp;$A487&amp;" , "&amp;$B488&amp;" plus "&amp;$B489&amp;" plus "&amp;$B490&amp;" plus "&amp;$B491&amp;" For age "&amp;$X$20&amp;" "&amp;$Y$21&amp;" should be equal to "&amp;$B487&amp;""&amp;CHAR(10),""),IF((Z488+Z489+Z490+Z491)&lt;&gt;Z487," * "&amp;$A487&amp;" , "&amp;$B488&amp;" plus "&amp;$B489&amp;" plus "&amp;$B490&amp;" plus "&amp;$B491&amp;" For age "&amp;$Z$20&amp;" "&amp;$Z$21&amp;" should be equal to "&amp;$B487&amp;""&amp;CHAR(10),""),IF((AA488+AA489+AA490+AA491)&lt;&gt;AA487," * "&amp;$A487&amp;" , "&amp;$B488&amp;" plus "&amp;$B489&amp;" plus "&amp;$B490&amp;" plus "&amp;$B491&amp;" For age "&amp;$Z$20&amp;" "&amp;$AA$21&amp;" should be equal to "&amp;$B487&amp;""&amp;CHAR(10),""))</f>
        <v/>
      </c>
      <c r="AL487" s="1456"/>
      <c r="AM487" s="31"/>
      <c r="AN487" s="744"/>
      <c r="AO487" s="13">
        <v>31</v>
      </c>
      <c r="AP487" s="81"/>
      <c r="AQ487" s="82"/>
    </row>
    <row r="488" spans="1:43" s="83" customFormat="1" ht="26.25" x14ac:dyDescent="0.4">
      <c r="A488" s="1204"/>
      <c r="B488" s="690" t="s">
        <v>1022</v>
      </c>
      <c r="C488" s="694" t="s">
        <v>1044</v>
      </c>
      <c r="D488" s="586"/>
      <c r="E488" s="705"/>
      <c r="F488" s="517"/>
      <c r="G488" s="514"/>
      <c r="H488" s="514"/>
      <c r="I488" s="514"/>
      <c r="J488" s="514"/>
      <c r="K488" s="514"/>
      <c r="L488" s="514"/>
      <c r="M488" s="514"/>
      <c r="N488" s="514"/>
      <c r="O488" s="514"/>
      <c r="P488" s="514"/>
      <c r="Q488" s="514"/>
      <c r="R488" s="514"/>
      <c r="S488" s="514"/>
      <c r="T488" s="514"/>
      <c r="U488" s="514"/>
      <c r="V488" s="514"/>
      <c r="W488" s="514"/>
      <c r="X488" s="514"/>
      <c r="Y488" s="514"/>
      <c r="Z488" s="463">
        <f t="shared" ref="Z488:AA491" si="148">SUM(AB488,AD488,AF488,AH488)</f>
        <v>0</v>
      </c>
      <c r="AA488" s="463">
        <f t="shared" si="148"/>
        <v>0</v>
      </c>
      <c r="AB488" s="514"/>
      <c r="AC488" s="514"/>
      <c r="AD488" s="514"/>
      <c r="AE488" s="514"/>
      <c r="AF488" s="514"/>
      <c r="AG488" s="514"/>
      <c r="AH488" s="514"/>
      <c r="AI488" s="514"/>
      <c r="AJ488" s="452">
        <f t="shared" si="140"/>
        <v>0</v>
      </c>
      <c r="AK488" s="1206"/>
      <c r="AL488" s="1456"/>
      <c r="AM488" s="31" t="str">
        <f>CONCATENATE(IF(AND(IFERROR((AJ489*100)/AJ488,0)&gt;10,AJ489&gt;5)," * This facility has a high positivity rate for Index Testing. Kindly confirm if this is the true reflection"&amp;CHAR(10),""),"")</f>
        <v/>
      </c>
      <c r="AN488" s="744"/>
      <c r="AO488" s="13">
        <v>32</v>
      </c>
      <c r="AP488" s="81"/>
      <c r="AQ488" s="82"/>
    </row>
    <row r="489" spans="1:43" s="83" customFormat="1" ht="26.25" x14ac:dyDescent="0.4">
      <c r="A489" s="1204"/>
      <c r="B489" s="690" t="s">
        <v>1003</v>
      </c>
      <c r="C489" s="694" t="s">
        <v>1045</v>
      </c>
      <c r="D489" s="678"/>
      <c r="E489" s="706"/>
      <c r="F489" s="518"/>
      <c r="G489" s="455"/>
      <c r="H489" s="455"/>
      <c r="I489" s="455"/>
      <c r="J489" s="455"/>
      <c r="K489" s="455"/>
      <c r="L489" s="455"/>
      <c r="M489" s="455"/>
      <c r="N489" s="455"/>
      <c r="O489" s="455"/>
      <c r="P489" s="455"/>
      <c r="Q489" s="455"/>
      <c r="R489" s="455"/>
      <c r="S489" s="455"/>
      <c r="T489" s="455"/>
      <c r="U489" s="455"/>
      <c r="V489" s="455"/>
      <c r="W489" s="455"/>
      <c r="X489" s="455"/>
      <c r="Y489" s="455"/>
      <c r="Z489" s="463">
        <f t="shared" si="148"/>
        <v>0</v>
      </c>
      <c r="AA489" s="463">
        <f t="shared" si="148"/>
        <v>0</v>
      </c>
      <c r="AB489" s="455"/>
      <c r="AC489" s="455"/>
      <c r="AD489" s="455"/>
      <c r="AE489" s="455"/>
      <c r="AF489" s="455"/>
      <c r="AG489" s="455"/>
      <c r="AH489" s="455"/>
      <c r="AI489" s="455"/>
      <c r="AJ489" s="453">
        <f t="shared" si="140"/>
        <v>0</v>
      </c>
      <c r="AK489" s="1206"/>
      <c r="AL489" s="1456"/>
      <c r="AM489" s="31" t="str">
        <f>CONCATENATE(IF(D488&gt;0," * F01-12 for Age "&amp;D475&amp;" "&amp;D476&amp;" has a value greater than 0"&amp;CHAR(10),""),IF(E488&gt;0," * F01-12 for Age "&amp;D475&amp;" "&amp;E476&amp;" has a value greater than 0"&amp;CHAR(10),""),IF(D489&gt;0," * F01-13 for Age "&amp;D475&amp;" "&amp;D476&amp;" has a value greater than 0"&amp;CHAR(10),""),IF(E489&gt;0," * F01-13 for Age "&amp;D475&amp;" "&amp;E476&amp;" has a value greater than 0"&amp;CHAR(10),""),IF(D552&gt;0," * F01-15 for Age "&amp;D475&amp;" "&amp;D476&amp;" has a value greater than 0"&amp;CHAR(10),""),IF(E552&gt;0," * F01-15 for Age "&amp;D475&amp;" "&amp;E476&amp;" has a value greater than 0"&amp;CHAR(10),""),IF(D557&gt;0," * F01-20 for Age "&amp;D475&amp;" "&amp;D476&amp;" has a value greater than 0"&amp;CHAR(10),""),IF(E557&gt;0," * F01-20 for Age "&amp;D475&amp;" "&amp;E476&amp;" has a value greater than 0"&amp;CHAR(10),""),IF(D558&gt;0," * F01-21 for Age "&amp;D475&amp;" "&amp;D476&amp;" has a value greater than 0"&amp;CHAR(10),""),IF(E558&gt;0," * F01-21 for Age "&amp;D475&amp;" "&amp;E476&amp;" has a value greater than 0"&amp;CHAR(10),""),IF(D559&gt;0," * F01-22 for Age "&amp;D475&amp;" "&amp;D476&amp;" has a value greater than 0"&amp;CHAR(10),""),IF(E559&gt;0," * F01-22 for Age "&amp;D475&amp;" "&amp;E476&amp;" has a value greater than 0"&amp;CHAR(10),""),IF(D560&gt;0," * F01-23 for Age "&amp;D475&amp;" "&amp;D476&amp;" has a value greater than 0"&amp;CHAR(10),""),IF(E560&gt;0," * F01-23 for Age "&amp;D475&amp;" "&amp;E476&amp;" has a value greater than 0"&amp;CHAR(10),""),"")</f>
        <v/>
      </c>
      <c r="AN489" s="744"/>
      <c r="AO489" s="13">
        <v>33</v>
      </c>
      <c r="AP489" s="81"/>
      <c r="AQ489" s="82"/>
    </row>
    <row r="490" spans="1:43" s="83" customFormat="1" ht="26.25" x14ac:dyDescent="0.4">
      <c r="A490" s="1204"/>
      <c r="B490" s="690" t="s">
        <v>1005</v>
      </c>
      <c r="C490" s="694" t="s">
        <v>1046</v>
      </c>
      <c r="D490" s="678"/>
      <c r="E490" s="706"/>
      <c r="F490" s="519"/>
      <c r="G490" s="462"/>
      <c r="H490" s="462"/>
      <c r="I490" s="462"/>
      <c r="J490" s="462"/>
      <c r="K490" s="462"/>
      <c r="L490" s="462"/>
      <c r="M490" s="462"/>
      <c r="N490" s="462"/>
      <c r="O490" s="462"/>
      <c r="P490" s="462"/>
      <c r="Q490" s="462"/>
      <c r="R490" s="462"/>
      <c r="S490" s="462"/>
      <c r="T490" s="462"/>
      <c r="U490" s="462"/>
      <c r="V490" s="462"/>
      <c r="W490" s="462"/>
      <c r="X490" s="462"/>
      <c r="Y490" s="462"/>
      <c r="Z490" s="463">
        <f t="shared" si="148"/>
        <v>0</v>
      </c>
      <c r="AA490" s="463">
        <f t="shared" si="148"/>
        <v>0</v>
      </c>
      <c r="AB490" s="462"/>
      <c r="AC490" s="462"/>
      <c r="AD490" s="462"/>
      <c r="AE490" s="462"/>
      <c r="AF490" s="462"/>
      <c r="AG490" s="462"/>
      <c r="AH490" s="462"/>
      <c r="AI490" s="462"/>
      <c r="AJ490" s="453">
        <f t="shared" si="140"/>
        <v>0</v>
      </c>
      <c r="AK490" s="445"/>
      <c r="AL490" s="1456"/>
      <c r="AM490" s="31" t="str">
        <f>CONCATENATE(IF(D489&gt;0," * F01-12 for Age "&amp;D476&amp;" "&amp;D477&amp;" has a value greater than 0"&amp;CHAR(10),""),IF(E489&gt;0," * F01-12 for Age "&amp;D476&amp;" "&amp;E477&amp;" has a value greater than 0"&amp;CHAR(10),""),IF(D490&gt;0," * F01-13 for Age "&amp;D476&amp;" "&amp;D477&amp;" has a value greater than 0"&amp;CHAR(10),""),IF(E490&gt;0," * F01-13 for Age "&amp;D476&amp;" "&amp;E477&amp;" has a value greater than 0"&amp;CHAR(10),""),IF(D552&gt;0," * F01-14 for Age "&amp;D476&amp;" "&amp;D477&amp;" has a value greater than 0"&amp;CHAR(10),""),IF(E552&gt;0," * F01-14 for Age "&amp;D476&amp;" "&amp;E477&amp;" has a value greater than 0"&amp;CHAR(10),""),IF(D553&gt;0," * F01-15 for Age "&amp;D476&amp;" "&amp;D477&amp;" has a value greater than 0"&amp;CHAR(10),""),IF(E553&gt;0," * F01-15 for Age "&amp;D476&amp;" "&amp;E477&amp;" has a value greater than 0"&amp;CHAR(10),""),IF(D558&gt;0," * F01-20 for Age "&amp;D476&amp;" "&amp;D477&amp;" has a value greater than 0"&amp;CHAR(10),""),IF(E558&gt;0," * F01-20 for Age "&amp;D476&amp;" "&amp;E477&amp;" has a value greater than 0"&amp;CHAR(10),""),IF(D559&gt;0," * F01-21 for Age "&amp;D476&amp;" "&amp;D477&amp;" has a value greater than 0"&amp;CHAR(10),""),IF(E559&gt;0," * F01-21 for Age "&amp;D476&amp;" "&amp;E477&amp;" has a value greater than 0"&amp;CHAR(10),""),IF(D560&gt;0," * F01-22 for Age "&amp;D476&amp;" "&amp;D477&amp;" has a value greater than 0"&amp;CHAR(10),""),IF(E560&gt;0," * F01-22 for Age "&amp;D476&amp;" "&amp;E477&amp;" has a value greater than 0"&amp;CHAR(10),""),IF(D561&gt;0," * F01-23 for Age "&amp;D476&amp;" "&amp;D477&amp;" has a value greater than 0"&amp;CHAR(10),""),IF(E561&gt;0," * F01-23 for Age "&amp;D476&amp;" "&amp;E477&amp;" has a value greater than 0"&amp;CHAR(10),""),"")</f>
        <v/>
      </c>
      <c r="AN490" s="744"/>
      <c r="AO490" s="13">
        <v>33</v>
      </c>
      <c r="AP490" s="81"/>
      <c r="AQ490" s="82"/>
    </row>
    <row r="491" spans="1:43" s="83" customFormat="1" ht="27" thickBot="1" x14ac:dyDescent="0.45">
      <c r="A491" s="1205"/>
      <c r="B491" s="691" t="s">
        <v>1007</v>
      </c>
      <c r="C491" s="695" t="s">
        <v>1047</v>
      </c>
      <c r="D491" s="679"/>
      <c r="E491" s="707"/>
      <c r="F491" s="711"/>
      <c r="G491" s="669"/>
      <c r="H491" s="669"/>
      <c r="I491" s="669"/>
      <c r="J491" s="669"/>
      <c r="K491" s="669"/>
      <c r="L491" s="669"/>
      <c r="M491" s="669"/>
      <c r="N491" s="669"/>
      <c r="O491" s="669"/>
      <c r="P491" s="669"/>
      <c r="Q491" s="669"/>
      <c r="R491" s="669"/>
      <c r="S491" s="669"/>
      <c r="T491" s="669"/>
      <c r="U491" s="669"/>
      <c r="V491" s="669"/>
      <c r="W491" s="669"/>
      <c r="X491" s="669"/>
      <c r="Y491" s="669"/>
      <c r="Z491" s="463">
        <f t="shared" si="148"/>
        <v>0</v>
      </c>
      <c r="AA491" s="463">
        <f t="shared" si="148"/>
        <v>0</v>
      </c>
      <c r="AB491" s="669"/>
      <c r="AC491" s="669"/>
      <c r="AD491" s="669"/>
      <c r="AE491" s="669"/>
      <c r="AF491" s="669"/>
      <c r="AG491" s="669"/>
      <c r="AH491" s="669"/>
      <c r="AI491" s="669"/>
      <c r="AJ491" s="454">
        <f t="shared" ref="AJ491:AJ510" si="149">SUM(D491:AA491)</f>
        <v>0</v>
      </c>
      <c r="AK491" s="445"/>
      <c r="AL491" s="1456"/>
      <c r="AM491" s="31" t="str">
        <f>CONCATENATE(IF(D490&gt;0," * F01-12 for Age "&amp;D477&amp;" "&amp;D478&amp;" has a value greater than 0"&amp;CHAR(10),""),IF(E490&gt;0," * F01-12 for Age "&amp;D477&amp;" "&amp;E478&amp;" has a value greater than 0"&amp;CHAR(10),""),IF(D491&gt;0," * F01-13 for Age "&amp;D477&amp;" "&amp;D478&amp;" has a value greater than 0"&amp;CHAR(10),""),IF(E491&gt;0," * F01-13 for Age "&amp;D477&amp;" "&amp;E478&amp;" has a value greater than 0"&amp;CHAR(10),""),IF(D553&gt;0," * F01-14 for Age "&amp;D477&amp;" "&amp;D478&amp;" has a value greater than 0"&amp;CHAR(10),""),IF(E553&gt;0," * F01-14 for Age "&amp;D477&amp;" "&amp;E478&amp;" has a value greater than 0"&amp;CHAR(10),""),IF(D554&gt;0," * F01-15 for Age "&amp;D477&amp;" "&amp;D478&amp;" has a value greater than 0"&amp;CHAR(10),""),IF(E554&gt;0," * F01-15 for Age "&amp;D477&amp;" "&amp;E478&amp;" has a value greater than 0"&amp;CHAR(10),""),IF(D559&gt;0," * F01-20 for Age "&amp;D477&amp;" "&amp;D478&amp;" has a value greater than 0"&amp;CHAR(10),""),IF(E559&gt;0," * F01-20 for Age "&amp;D477&amp;" "&amp;E478&amp;" has a value greater than 0"&amp;CHAR(10),""),IF(D560&gt;0," * F01-21 for Age "&amp;D477&amp;" "&amp;D478&amp;" has a value greater than 0"&amp;CHAR(10),""),IF(E560&gt;0," * F01-21 for Age "&amp;D477&amp;" "&amp;E478&amp;" has a value greater than 0"&amp;CHAR(10),""),IF(D561&gt;0," * F01-22 for Age "&amp;D477&amp;" "&amp;D478&amp;" has a value greater than 0"&amp;CHAR(10),""),IF(E561&gt;0," * F01-22 for Age "&amp;D477&amp;" "&amp;E478&amp;" has a value greater than 0"&amp;CHAR(10),""),IF(D562&gt;0," * F01-23 for Age "&amp;D477&amp;" "&amp;D478&amp;" has a value greater than 0"&amp;CHAR(10),""),IF(E562&gt;0," * F01-23 for Age "&amp;D477&amp;" "&amp;E478&amp;" has a value greater than 0"&amp;CHAR(10),""),"")</f>
        <v/>
      </c>
      <c r="AN491" s="744"/>
      <c r="AO491" s="13">
        <v>33</v>
      </c>
      <c r="AP491" s="81"/>
      <c r="AQ491" s="82"/>
    </row>
    <row r="492" spans="1:43" s="83" customFormat="1" ht="26.25" x14ac:dyDescent="0.4">
      <c r="A492" s="1203" t="s">
        <v>18</v>
      </c>
      <c r="B492" s="689" t="s">
        <v>128</v>
      </c>
      <c r="C492" s="693" t="s">
        <v>1048</v>
      </c>
      <c r="D492" s="676"/>
      <c r="E492" s="704"/>
      <c r="F492" s="688">
        <f t="shared" ref="F492:AI492" si="150">F50</f>
        <v>0</v>
      </c>
      <c r="G492" s="682">
        <f t="shared" si="150"/>
        <v>0</v>
      </c>
      <c r="H492" s="682">
        <f t="shared" si="150"/>
        <v>0</v>
      </c>
      <c r="I492" s="682">
        <f t="shared" si="150"/>
        <v>0</v>
      </c>
      <c r="J492" s="682">
        <f t="shared" si="150"/>
        <v>0</v>
      </c>
      <c r="K492" s="682">
        <f t="shared" si="150"/>
        <v>0</v>
      </c>
      <c r="L492" s="682">
        <f t="shared" si="150"/>
        <v>0</v>
      </c>
      <c r="M492" s="682">
        <f t="shared" si="150"/>
        <v>0</v>
      </c>
      <c r="N492" s="682">
        <f t="shared" si="150"/>
        <v>0</v>
      </c>
      <c r="O492" s="682">
        <f t="shared" si="150"/>
        <v>0</v>
      </c>
      <c r="P492" s="682">
        <f t="shared" si="150"/>
        <v>0</v>
      </c>
      <c r="Q492" s="682">
        <f t="shared" si="150"/>
        <v>0</v>
      </c>
      <c r="R492" s="682">
        <f t="shared" si="150"/>
        <v>0</v>
      </c>
      <c r="S492" s="682">
        <f t="shared" si="150"/>
        <v>0</v>
      </c>
      <c r="T492" s="682">
        <f t="shared" si="150"/>
        <v>0</v>
      </c>
      <c r="U492" s="682">
        <f t="shared" si="150"/>
        <v>0</v>
      </c>
      <c r="V492" s="682">
        <f t="shared" si="150"/>
        <v>0</v>
      </c>
      <c r="W492" s="682">
        <f t="shared" si="150"/>
        <v>0</v>
      </c>
      <c r="X492" s="682">
        <f t="shared" si="150"/>
        <v>0</v>
      </c>
      <c r="Y492" s="682">
        <f t="shared" si="150"/>
        <v>0</v>
      </c>
      <c r="Z492" s="682">
        <f t="shared" si="150"/>
        <v>0</v>
      </c>
      <c r="AA492" s="683">
        <f t="shared" si="150"/>
        <v>0</v>
      </c>
      <c r="AB492" s="682">
        <f t="shared" si="150"/>
        <v>0</v>
      </c>
      <c r="AC492" s="683">
        <f t="shared" si="150"/>
        <v>0</v>
      </c>
      <c r="AD492" s="682">
        <f t="shared" si="150"/>
        <v>0</v>
      </c>
      <c r="AE492" s="683">
        <f t="shared" si="150"/>
        <v>0</v>
      </c>
      <c r="AF492" s="682">
        <f t="shared" si="150"/>
        <v>0</v>
      </c>
      <c r="AG492" s="683">
        <f t="shared" si="150"/>
        <v>0</v>
      </c>
      <c r="AH492" s="682">
        <f t="shared" si="150"/>
        <v>0</v>
      </c>
      <c r="AI492" s="683">
        <f t="shared" si="150"/>
        <v>0</v>
      </c>
      <c r="AJ492" s="451">
        <f t="shared" si="149"/>
        <v>0</v>
      </c>
      <c r="AK492" s="512" t="str">
        <f>CONCATENATE(IF((D493+D494+D495+D496)&lt;&gt;D492," * "&amp;$A492&amp;" , "&amp;$B493&amp;" plus "&amp;$B494&amp;" plus "&amp;$B495&amp;" plus "&amp;$B496&amp;" For age "&amp;$D$20&amp;" "&amp;$D$21&amp;" should be equal to "&amp;$B492&amp;""&amp;CHAR(10),""),IF((E493+E494+E495+E496)&lt;&gt;E492," * "&amp;$A492&amp;" , "&amp;$B493&amp;" plus "&amp;$B494&amp;" plus "&amp;$B495&amp;" plus "&amp;$B496&amp;" For age "&amp;$D$20&amp;" "&amp;$E$21&amp;" should be equal to "&amp;$B492&amp;""&amp;CHAR(10),""),IF((F493+F494+F495+F496)&lt;&gt;F492," * "&amp;$A492&amp;" , "&amp;$B493&amp;" plus "&amp;$B494&amp;" plus "&amp;$B495&amp;" plus "&amp;$B496&amp;" For age "&amp;$F$20&amp;" "&amp;$F$21&amp;" should be equal to "&amp;$B492&amp;""&amp;CHAR(10),""),IF((G493+G494+G495+G496)&lt;&gt;G492," * "&amp;$A492&amp;" , "&amp;$B493&amp;" plus "&amp;$B494&amp;" plus "&amp;$B495&amp;" plus "&amp;$B496&amp;" For age "&amp;$F$20&amp;" "&amp;$G$21&amp;" should be equal to "&amp;$B492&amp;""&amp;CHAR(10),""),IF((H493+H494+H495+H496)&lt;&gt;H492," * "&amp;$A492&amp;" , "&amp;$B493&amp;" plus "&amp;$B494&amp;" plus "&amp;$B495&amp;" plus "&amp;$B496&amp;" For age "&amp;$H$20&amp;" "&amp;$H$21&amp;" should be equal to "&amp;$B492&amp;""&amp;CHAR(10),""),IF((I493+I494+I495+I496)&lt;&gt;I492," * "&amp;$A492&amp;" , "&amp;$B493&amp;" plus "&amp;$B494&amp;" plus "&amp;$B495&amp;" plus "&amp;$B496&amp;" For age "&amp;$H$20&amp;" "&amp;$I$21&amp;" should be equal to "&amp;$B492&amp;""&amp;CHAR(10),""),IF((J493+J494+J495+J496)&lt;&gt;J492," * "&amp;$A492&amp;" , "&amp;$B493&amp;" plus "&amp;$B494&amp;" plus "&amp;$B495&amp;" plus "&amp;$B496&amp;" For age "&amp;$J$20&amp;" "&amp;$J$21&amp;" should be equal to "&amp;$B492&amp;""&amp;CHAR(10),""),IF((K493+K494+K495+K496)&lt;&gt;K492," * "&amp;$A492&amp;" , "&amp;$B493&amp;" plus "&amp;$B494&amp;" plus "&amp;$B495&amp;" plus "&amp;$B496&amp;" For age "&amp;$J$20&amp;" "&amp;$K$21&amp;" should be equal to "&amp;$B492&amp;""&amp;CHAR(10),""),IF((L493+L494+L495+L496)&lt;&gt;L492," * "&amp;$A492&amp;" , "&amp;$B493&amp;" plus "&amp;$B494&amp;" plus "&amp;$B495&amp;" plus "&amp;$B496&amp;" For age "&amp;$L$20&amp;" "&amp;$L$21&amp;" should be equal to "&amp;$B492&amp;""&amp;CHAR(10),""),IF((M493+M494+M495+M496)&lt;&gt;M492," * "&amp;$A492&amp;" , "&amp;$B493&amp;" plus "&amp;$B494&amp;" plus "&amp;$B495&amp;" plus "&amp;$B496&amp;" For age "&amp;$L$20&amp;" "&amp;$M$21&amp;" should be equal to "&amp;$B492&amp;""&amp;CHAR(10),""),IF((N493+N494+N495+N496)&lt;&gt;N492," * "&amp;$A492&amp;" , "&amp;$B493&amp;" plus "&amp;$B494&amp;" plus "&amp;$B495&amp;" plus "&amp;$B496&amp;" For age "&amp;$N$20&amp;" "&amp;$N$21&amp;" should be equal to "&amp;$B492&amp;""&amp;CHAR(10),""),IF((O493+O494+O495+O496)&lt;&gt;O492," * "&amp;$A492&amp;" , "&amp;$B493&amp;" plus "&amp;$B494&amp;" plus "&amp;$B495&amp;" plus "&amp;$B496&amp;" For age "&amp;$N$20&amp;" "&amp;$O$21&amp;" should be equal to "&amp;$B492&amp;""&amp;CHAR(10),""),IF((P493+P494+P495+P496)&lt;&gt;P492," * "&amp;$A492&amp;" , "&amp;$B493&amp;" plus "&amp;$B494&amp;" plus "&amp;$B495&amp;" plus "&amp;$B496&amp;" For age "&amp;$P$20&amp;" "&amp;$P$21&amp;" should be equal to "&amp;$B492&amp;""&amp;CHAR(10),""),IF((Q493+Q494+Q495+Q496)&lt;&gt;Q492," * "&amp;$A492&amp;" , "&amp;$B493&amp;" plus "&amp;$B494&amp;" plus "&amp;$B495&amp;" plus "&amp;$B496&amp;" For age "&amp;$P$20&amp;" "&amp;$Q$21&amp;" should be equal to "&amp;$B492&amp;""&amp;CHAR(10),""),IF((R493+R494+R495+R496)&lt;&gt;R492," * "&amp;$A492&amp;" , "&amp;$B493&amp;" plus "&amp;$B494&amp;" plus "&amp;$B495&amp;" plus "&amp;$B496&amp;" For age "&amp;$R$20&amp;" "&amp;$R$21&amp;" should be equal to "&amp;$B492&amp;""&amp;CHAR(10),""),IF((S493+S494+S495+S496)&lt;&gt;S492," * "&amp;$A492&amp;" , "&amp;$B493&amp;" plus "&amp;$B494&amp;" plus "&amp;$B495&amp;" plus "&amp;$B496&amp;" For age "&amp;$R$20&amp;" "&amp;$S$21&amp;" should be equal to "&amp;$B492&amp;""&amp;CHAR(10),""),IF((T493+T494+T495+T496)&lt;&gt;T492," * "&amp;$A492&amp;" , "&amp;$B493&amp;" plus "&amp;$B494&amp;" plus "&amp;$B495&amp;" plus "&amp;$B496&amp;" For age "&amp;$T$20&amp;" "&amp;$T$21&amp;" should be equal to "&amp;$B492&amp;""&amp;CHAR(10),""),IF((U493+U494+U495+U496)&lt;&gt;U492," * "&amp;$A492&amp;" , "&amp;$B493&amp;" plus "&amp;$B494&amp;" plus "&amp;$B495&amp;" plus "&amp;$B496&amp;" For age "&amp;$T$20&amp;" "&amp;$U$21&amp;" should be equal to "&amp;$B492&amp;""&amp;CHAR(10),""),IF((V493+V494+V495+V496)&lt;&gt;V492," * "&amp;$A492&amp;" , "&amp;$B493&amp;" plus "&amp;$B494&amp;" plus "&amp;$B495&amp;" plus "&amp;$B496&amp;" For age "&amp;$V$20&amp;" "&amp;$V$21&amp;" should be equal to "&amp;$B492&amp;""&amp;CHAR(10),""),IF((W493+W494+W495+W496)&lt;&gt;W492," * "&amp;$A492&amp;" , "&amp;$B493&amp;" plus "&amp;$B494&amp;" plus "&amp;$B495&amp;" plus "&amp;$B496&amp;" For age "&amp;$V$20&amp;" "&amp;$W$21&amp;" should be equal to "&amp;$B492&amp;""&amp;CHAR(10),""),IF((X493+X494+X495+X496)&lt;&gt;X492," * "&amp;$A492&amp;" , "&amp;$B493&amp;" plus "&amp;$B494&amp;" plus "&amp;$B495&amp;" plus "&amp;$B496&amp;" For age "&amp;$X$20&amp;" "&amp;$X$21&amp;" should be equal to "&amp;$B492&amp;""&amp;CHAR(10),""),IF((Y493+Y494+Y495+Y496)&lt;&gt;Y492," * "&amp;$A492&amp;" , "&amp;$B493&amp;" plus "&amp;$B494&amp;" plus "&amp;$B495&amp;" plus "&amp;$B496&amp;" For age "&amp;$X$20&amp;" "&amp;$Y$21&amp;" should be equal to "&amp;$B492&amp;""&amp;CHAR(10),""),IF((Z493+Z494+Z495+Z496)&lt;&gt;Z492," * "&amp;$A492&amp;" , "&amp;$B493&amp;" plus "&amp;$B494&amp;" plus "&amp;$B495&amp;" plus "&amp;$B496&amp;" For age "&amp;$Z$20&amp;" "&amp;$Z$21&amp;" should be equal to "&amp;$B492&amp;""&amp;CHAR(10),""),IF((AA493+AA494+AA495+AA496)&lt;&gt;AA492," * "&amp;$A492&amp;" , "&amp;$B493&amp;" plus "&amp;$B494&amp;" plus "&amp;$B495&amp;" plus "&amp;$B496&amp;" For age "&amp;$Z$20&amp;" "&amp;$AA$21&amp;" should be equal to "&amp;$B492&amp;""&amp;CHAR(10),""))</f>
        <v/>
      </c>
      <c r="AL492" s="1456"/>
      <c r="AM492" s="31"/>
      <c r="AN492" s="744"/>
      <c r="AO492" s="13">
        <v>31</v>
      </c>
      <c r="AP492" s="81"/>
      <c r="AQ492" s="82"/>
    </row>
    <row r="493" spans="1:43" s="83" customFormat="1" ht="26.25" x14ac:dyDescent="0.4">
      <c r="A493" s="1204"/>
      <c r="B493" s="690" t="s">
        <v>1022</v>
      </c>
      <c r="C493" s="694" t="s">
        <v>1049</v>
      </c>
      <c r="D493" s="586"/>
      <c r="E493" s="705"/>
      <c r="F493" s="709"/>
      <c r="G493" s="671"/>
      <c r="H493" s="671"/>
      <c r="I493" s="671"/>
      <c r="J493" s="671"/>
      <c r="K493" s="671"/>
      <c r="L493" s="455"/>
      <c r="M493" s="455"/>
      <c r="N493" s="455"/>
      <c r="O493" s="455"/>
      <c r="P493" s="455"/>
      <c r="Q493" s="455"/>
      <c r="R493" s="455"/>
      <c r="S493" s="455"/>
      <c r="T493" s="455"/>
      <c r="U493" s="455"/>
      <c r="V493" s="455"/>
      <c r="W493" s="455"/>
      <c r="X493" s="455"/>
      <c r="Y493" s="455"/>
      <c r="Z493" s="463">
        <f t="shared" ref="Z493:AA496" si="151">SUM(AB493,AD493,AF493,AH493)</f>
        <v>0</v>
      </c>
      <c r="AA493" s="463">
        <f t="shared" si="151"/>
        <v>0</v>
      </c>
      <c r="AB493" s="455"/>
      <c r="AC493" s="684"/>
      <c r="AD493" s="455"/>
      <c r="AE493" s="684"/>
      <c r="AF493" s="455"/>
      <c r="AG493" s="684"/>
      <c r="AH493" s="455"/>
      <c r="AI493" s="684"/>
      <c r="AJ493" s="452">
        <f t="shared" si="149"/>
        <v>0</v>
      </c>
      <c r="AK493" s="1206"/>
      <c r="AL493" s="1456"/>
      <c r="AM493" s="31" t="str">
        <f>CONCATENATE(IF(AND(IFERROR((AJ494*100)/AJ493,0)&gt;10,AJ494&gt;5)," * This facility has a high positivity rate for Index Testing. Kindly confirm if this is the true reflection"&amp;CHAR(10),""),"")</f>
        <v/>
      </c>
      <c r="AN493" s="744"/>
      <c r="AO493" s="13">
        <v>32</v>
      </c>
      <c r="AP493" s="81"/>
      <c r="AQ493" s="82"/>
    </row>
    <row r="494" spans="1:43" s="83" customFormat="1" ht="26.25" x14ac:dyDescent="0.4">
      <c r="A494" s="1204"/>
      <c r="B494" s="690" t="s">
        <v>1003</v>
      </c>
      <c r="C494" s="694" t="s">
        <v>1050</v>
      </c>
      <c r="D494" s="678"/>
      <c r="E494" s="706"/>
      <c r="F494" s="709"/>
      <c r="G494" s="671"/>
      <c r="H494" s="671"/>
      <c r="I494" s="671"/>
      <c r="J494" s="671"/>
      <c r="K494" s="671"/>
      <c r="L494" s="455"/>
      <c r="M494" s="455"/>
      <c r="N494" s="455"/>
      <c r="O494" s="455"/>
      <c r="P494" s="455"/>
      <c r="Q494" s="455"/>
      <c r="R494" s="455"/>
      <c r="S494" s="455"/>
      <c r="T494" s="455"/>
      <c r="U494" s="455"/>
      <c r="V494" s="455"/>
      <c r="W494" s="455"/>
      <c r="X494" s="455"/>
      <c r="Y494" s="455"/>
      <c r="Z494" s="463">
        <f t="shared" si="151"/>
        <v>0</v>
      </c>
      <c r="AA494" s="463">
        <f t="shared" si="151"/>
        <v>0</v>
      </c>
      <c r="AB494" s="455"/>
      <c r="AC494" s="684"/>
      <c r="AD494" s="455"/>
      <c r="AE494" s="684"/>
      <c r="AF494" s="455"/>
      <c r="AG494" s="684"/>
      <c r="AH494" s="455"/>
      <c r="AI494" s="684"/>
      <c r="AJ494" s="453">
        <f t="shared" si="149"/>
        <v>0</v>
      </c>
      <c r="AK494" s="1206"/>
      <c r="AL494" s="1456"/>
      <c r="AM494" s="31" t="str">
        <f>CONCATENATE(IF(D493&gt;0," * F01-12 for Age "&amp;D480&amp;" "&amp;D481&amp;" has a value greater than 0"&amp;CHAR(10),""),IF(E493&gt;0," * F01-12 for Age "&amp;D480&amp;" "&amp;E481&amp;" has a value greater than 0"&amp;CHAR(10),""),IF(D494&gt;0," * F01-13 for Age "&amp;D480&amp;" "&amp;D481&amp;" has a value greater than 0"&amp;CHAR(10),""),IF(E494&gt;0," * F01-13 for Age "&amp;D480&amp;" "&amp;E481&amp;" has a value greater than 0"&amp;CHAR(10),""),IF(D557&gt;0," * F01-15 for Age "&amp;D480&amp;" "&amp;D481&amp;" has a value greater than 0"&amp;CHAR(10),""),IF(E557&gt;0," * F01-15 for Age "&amp;D480&amp;" "&amp;E481&amp;" has a value greater than 0"&amp;CHAR(10),""),IF(D562&gt;0," * F01-20 for Age "&amp;D480&amp;" "&amp;D481&amp;" has a value greater than 0"&amp;CHAR(10),""),IF(E562&gt;0," * F01-20 for Age "&amp;D480&amp;" "&amp;E481&amp;" has a value greater than 0"&amp;CHAR(10),""),IF(D563&gt;0," * F01-21 for Age "&amp;D480&amp;" "&amp;D481&amp;" has a value greater than 0"&amp;CHAR(10),""),IF(E563&gt;0," * F01-21 for Age "&amp;D480&amp;" "&amp;E481&amp;" has a value greater than 0"&amp;CHAR(10),""),IF(D564&gt;0," * F01-22 for Age "&amp;D480&amp;" "&amp;D481&amp;" has a value greater than 0"&amp;CHAR(10),""),IF(E564&gt;0," * F01-22 for Age "&amp;D480&amp;" "&amp;E481&amp;" has a value greater than 0"&amp;CHAR(10),""),IF(D565&gt;0," * F01-23 for Age "&amp;D480&amp;" "&amp;D481&amp;" has a value greater than 0"&amp;CHAR(10),""),IF(E565&gt;0," * F01-23 for Age "&amp;D480&amp;" "&amp;E481&amp;" has a value greater than 0"&amp;CHAR(10),""),"")</f>
        <v/>
      </c>
      <c r="AN494" s="744"/>
      <c r="AO494" s="13">
        <v>33</v>
      </c>
      <c r="AP494" s="81"/>
      <c r="AQ494" s="82"/>
    </row>
    <row r="495" spans="1:43" s="83" customFormat="1" ht="26.25" x14ac:dyDescent="0.4">
      <c r="A495" s="1204"/>
      <c r="B495" s="690" t="s">
        <v>1005</v>
      </c>
      <c r="C495" s="694" t="s">
        <v>1051</v>
      </c>
      <c r="D495" s="678"/>
      <c r="E495" s="706"/>
      <c r="F495" s="709"/>
      <c r="G495" s="671"/>
      <c r="H495" s="671"/>
      <c r="I495" s="671"/>
      <c r="J495" s="671"/>
      <c r="K495" s="671"/>
      <c r="L495" s="455"/>
      <c r="M495" s="455"/>
      <c r="N495" s="455"/>
      <c r="O495" s="455"/>
      <c r="P495" s="455"/>
      <c r="Q495" s="455"/>
      <c r="R495" s="455"/>
      <c r="S495" s="455"/>
      <c r="T495" s="455"/>
      <c r="U495" s="455"/>
      <c r="V495" s="455"/>
      <c r="W495" s="455"/>
      <c r="X495" s="455"/>
      <c r="Y495" s="455"/>
      <c r="Z495" s="463">
        <f t="shared" si="151"/>
        <v>0</v>
      </c>
      <c r="AA495" s="463">
        <f t="shared" si="151"/>
        <v>0</v>
      </c>
      <c r="AB495" s="455"/>
      <c r="AC495" s="684"/>
      <c r="AD495" s="455"/>
      <c r="AE495" s="684"/>
      <c r="AF495" s="455"/>
      <c r="AG495" s="684"/>
      <c r="AH495" s="455"/>
      <c r="AI495" s="684"/>
      <c r="AJ495" s="453">
        <f t="shared" si="149"/>
        <v>0</v>
      </c>
      <c r="AK495" s="445"/>
      <c r="AL495" s="1456"/>
      <c r="AM495" s="31" t="str">
        <f>CONCATENATE(IF(D494&gt;0," * F01-12 for Age "&amp;D481&amp;" "&amp;D482&amp;" has a value greater than 0"&amp;CHAR(10),""),IF(E494&gt;0," * F01-12 for Age "&amp;D481&amp;" "&amp;E482&amp;" has a value greater than 0"&amp;CHAR(10),""),IF(D495&gt;0," * F01-13 for Age "&amp;D481&amp;" "&amp;D482&amp;" has a value greater than 0"&amp;CHAR(10),""),IF(E495&gt;0," * F01-13 for Age "&amp;D481&amp;" "&amp;E482&amp;" has a value greater than 0"&amp;CHAR(10),""),IF(D557&gt;0," * F01-14 for Age "&amp;D481&amp;" "&amp;D482&amp;" has a value greater than 0"&amp;CHAR(10),""),IF(E557&gt;0," * F01-14 for Age "&amp;D481&amp;" "&amp;E482&amp;" has a value greater than 0"&amp;CHAR(10),""),IF(D558&gt;0," * F01-15 for Age "&amp;D481&amp;" "&amp;D482&amp;" has a value greater than 0"&amp;CHAR(10),""),IF(E558&gt;0," * F01-15 for Age "&amp;D481&amp;" "&amp;E482&amp;" has a value greater than 0"&amp;CHAR(10),""),IF(D563&gt;0," * F01-20 for Age "&amp;D481&amp;" "&amp;D482&amp;" has a value greater than 0"&amp;CHAR(10),""),IF(E563&gt;0," * F01-20 for Age "&amp;D481&amp;" "&amp;E482&amp;" has a value greater than 0"&amp;CHAR(10),""),IF(D564&gt;0," * F01-21 for Age "&amp;D481&amp;" "&amp;D482&amp;" has a value greater than 0"&amp;CHAR(10),""),IF(E564&gt;0," * F01-21 for Age "&amp;D481&amp;" "&amp;E482&amp;" has a value greater than 0"&amp;CHAR(10),""),IF(D565&gt;0," * F01-22 for Age "&amp;D481&amp;" "&amp;D482&amp;" has a value greater than 0"&amp;CHAR(10),""),IF(E565&gt;0," * F01-22 for Age "&amp;D481&amp;" "&amp;E482&amp;" has a value greater than 0"&amp;CHAR(10),""),IF(D566&gt;0," * F01-23 for Age "&amp;D481&amp;" "&amp;D482&amp;" has a value greater than 0"&amp;CHAR(10),""),IF(E566&gt;0," * F01-23 for Age "&amp;D481&amp;" "&amp;E482&amp;" has a value greater than 0"&amp;CHAR(10),""),"")</f>
        <v/>
      </c>
      <c r="AN495" s="744"/>
      <c r="AO495" s="13">
        <v>33</v>
      </c>
      <c r="AP495" s="81"/>
      <c r="AQ495" s="82"/>
    </row>
    <row r="496" spans="1:43" s="83" customFormat="1" ht="27" thickBot="1" x14ac:dyDescent="0.45">
      <c r="A496" s="1205"/>
      <c r="B496" s="691" t="s">
        <v>1007</v>
      </c>
      <c r="C496" s="695" t="s">
        <v>1052</v>
      </c>
      <c r="D496" s="679"/>
      <c r="E496" s="707"/>
      <c r="F496" s="710">
        <f t="shared" ref="F496:K496" si="152">F492-SUM(F493:F495)</f>
        <v>0</v>
      </c>
      <c r="G496" s="680">
        <f t="shared" si="152"/>
        <v>0</v>
      </c>
      <c r="H496" s="680">
        <f t="shared" si="152"/>
        <v>0</v>
      </c>
      <c r="I496" s="680">
        <f t="shared" si="152"/>
        <v>0</v>
      </c>
      <c r="J496" s="680">
        <f t="shared" si="152"/>
        <v>0</v>
      </c>
      <c r="K496" s="680">
        <f t="shared" si="152"/>
        <v>0</v>
      </c>
      <c r="L496" s="516"/>
      <c r="M496" s="516"/>
      <c r="N496" s="516"/>
      <c r="O496" s="516"/>
      <c r="P496" s="516"/>
      <c r="Q496" s="516"/>
      <c r="R496" s="516"/>
      <c r="S496" s="516"/>
      <c r="T496" s="516"/>
      <c r="U496" s="516"/>
      <c r="V496" s="516"/>
      <c r="W496" s="516"/>
      <c r="X496" s="516"/>
      <c r="Y496" s="516"/>
      <c r="Z496" s="463">
        <f t="shared" si="151"/>
        <v>0</v>
      </c>
      <c r="AA496" s="463">
        <f t="shared" si="151"/>
        <v>0</v>
      </c>
      <c r="AB496" s="516"/>
      <c r="AC496" s="686"/>
      <c r="AD496" s="516"/>
      <c r="AE496" s="686"/>
      <c r="AF496" s="516"/>
      <c r="AG496" s="686"/>
      <c r="AH496" s="516"/>
      <c r="AI496" s="686"/>
      <c r="AJ496" s="454">
        <f t="shared" si="149"/>
        <v>0</v>
      </c>
      <c r="AK496" s="445"/>
      <c r="AL496" s="1456"/>
      <c r="AM496" s="31" t="str">
        <f>CONCATENATE(IF(D495&gt;0," * F01-12 for Age "&amp;D482&amp;" "&amp;D483&amp;" has a value greater than 0"&amp;CHAR(10),""),IF(E495&gt;0," * F01-12 for Age "&amp;D482&amp;" "&amp;E483&amp;" has a value greater than 0"&amp;CHAR(10),""),IF(D496&gt;0," * F01-13 for Age "&amp;D482&amp;" "&amp;D483&amp;" has a value greater than 0"&amp;CHAR(10),""),IF(E496&gt;0," * F01-13 for Age "&amp;D482&amp;" "&amp;E483&amp;" has a value greater than 0"&amp;CHAR(10),""),IF(D558&gt;0," * F01-14 for Age "&amp;D482&amp;" "&amp;D483&amp;" has a value greater than 0"&amp;CHAR(10),""),IF(E558&gt;0," * F01-14 for Age "&amp;D482&amp;" "&amp;E483&amp;" has a value greater than 0"&amp;CHAR(10),""),IF(D559&gt;0," * F01-15 for Age "&amp;D482&amp;" "&amp;D483&amp;" has a value greater than 0"&amp;CHAR(10),""),IF(E559&gt;0," * F01-15 for Age "&amp;D482&amp;" "&amp;E483&amp;" has a value greater than 0"&amp;CHAR(10),""),IF(D564&gt;0," * F01-20 for Age "&amp;D482&amp;" "&amp;D483&amp;" has a value greater than 0"&amp;CHAR(10),""),IF(E564&gt;0," * F01-20 for Age "&amp;D482&amp;" "&amp;E483&amp;" has a value greater than 0"&amp;CHAR(10),""),IF(D565&gt;0," * F01-21 for Age "&amp;D482&amp;" "&amp;D483&amp;" has a value greater than 0"&amp;CHAR(10),""),IF(E565&gt;0," * F01-21 for Age "&amp;D482&amp;" "&amp;E483&amp;" has a value greater than 0"&amp;CHAR(10),""),IF(D566&gt;0," * F01-22 for Age "&amp;D482&amp;" "&amp;D483&amp;" has a value greater than 0"&amp;CHAR(10),""),IF(E566&gt;0," * F01-22 for Age "&amp;D482&amp;" "&amp;E483&amp;" has a value greater than 0"&amp;CHAR(10),""),IF(D567&gt;0," * F01-23 for Age "&amp;D482&amp;" "&amp;D483&amp;" has a value greater than 0"&amp;CHAR(10),""),IF(E567&gt;0," * F01-23 for Age "&amp;D482&amp;" "&amp;E483&amp;" has a value greater than 0"&amp;CHAR(10),""),"")</f>
        <v/>
      </c>
      <c r="AN496" s="744"/>
      <c r="AO496" s="13">
        <v>33</v>
      </c>
      <c r="AP496" s="81"/>
      <c r="AQ496" s="82"/>
    </row>
    <row r="497" spans="1:43" s="83" customFormat="1" ht="27" thickBot="1" x14ac:dyDescent="0.45">
      <c r="A497" s="1203" t="s">
        <v>947</v>
      </c>
      <c r="B497" s="689" t="s">
        <v>128</v>
      </c>
      <c r="C497" s="693" t="s">
        <v>1053</v>
      </c>
      <c r="D497" s="676"/>
      <c r="E497" s="704"/>
      <c r="F497" s="715">
        <f t="shared" ref="F497:AI497" si="153">F55</f>
        <v>0</v>
      </c>
      <c r="G497" s="461">
        <f t="shared" si="153"/>
        <v>0</v>
      </c>
      <c r="H497" s="461">
        <f t="shared" si="153"/>
        <v>0</v>
      </c>
      <c r="I497" s="461">
        <f t="shared" si="153"/>
        <v>0</v>
      </c>
      <c r="J497" s="461">
        <f t="shared" si="153"/>
        <v>0</v>
      </c>
      <c r="K497" s="461">
        <f t="shared" si="153"/>
        <v>0</v>
      </c>
      <c r="L497" s="461">
        <f t="shared" si="153"/>
        <v>0</v>
      </c>
      <c r="M497" s="461">
        <f t="shared" si="153"/>
        <v>0</v>
      </c>
      <c r="N497" s="461">
        <f t="shared" si="153"/>
        <v>0</v>
      </c>
      <c r="O497" s="461">
        <f t="shared" si="153"/>
        <v>0</v>
      </c>
      <c r="P497" s="461">
        <f t="shared" si="153"/>
        <v>0</v>
      </c>
      <c r="Q497" s="461">
        <f t="shared" si="153"/>
        <v>0</v>
      </c>
      <c r="R497" s="461">
        <f t="shared" si="153"/>
        <v>0</v>
      </c>
      <c r="S497" s="461">
        <f t="shared" si="153"/>
        <v>0</v>
      </c>
      <c r="T497" s="461">
        <f t="shared" si="153"/>
        <v>0</v>
      </c>
      <c r="U497" s="461">
        <f t="shared" si="153"/>
        <v>0</v>
      </c>
      <c r="V497" s="461">
        <f t="shared" si="153"/>
        <v>0</v>
      </c>
      <c r="W497" s="461">
        <f t="shared" si="153"/>
        <v>0</v>
      </c>
      <c r="X497" s="461">
        <f t="shared" si="153"/>
        <v>0</v>
      </c>
      <c r="Y497" s="461">
        <f t="shared" si="153"/>
        <v>0</v>
      </c>
      <c r="Z497" s="461">
        <f t="shared" si="153"/>
        <v>0</v>
      </c>
      <c r="AA497" s="701">
        <f t="shared" si="153"/>
        <v>0</v>
      </c>
      <c r="AB497" s="461">
        <f t="shared" si="153"/>
        <v>0</v>
      </c>
      <c r="AC497" s="701">
        <f t="shared" si="153"/>
        <v>0</v>
      </c>
      <c r="AD497" s="461">
        <f t="shared" si="153"/>
        <v>0</v>
      </c>
      <c r="AE497" s="701">
        <f t="shared" si="153"/>
        <v>0</v>
      </c>
      <c r="AF497" s="461">
        <f t="shared" si="153"/>
        <v>0</v>
      </c>
      <c r="AG497" s="701">
        <f t="shared" si="153"/>
        <v>0</v>
      </c>
      <c r="AH497" s="461">
        <f t="shared" si="153"/>
        <v>0</v>
      </c>
      <c r="AI497" s="701">
        <f t="shared" si="153"/>
        <v>0</v>
      </c>
      <c r="AJ497" s="451">
        <f t="shared" si="149"/>
        <v>0</v>
      </c>
      <c r="AK497" s="512" t="str">
        <f>CONCATENATE(IF((D498+D499+D500+D501)&lt;&gt;D497," * "&amp;$A497&amp;" , "&amp;$B498&amp;" plus "&amp;$B499&amp;" plus "&amp;$B500&amp;" plus "&amp;$B501&amp;" For age "&amp;$D$20&amp;" "&amp;$D$21&amp;" should be equal to "&amp;$B497&amp;""&amp;CHAR(10),""),IF((E498+E499+E500+E501)&lt;&gt;E497," * "&amp;$A497&amp;" , "&amp;$B498&amp;" plus "&amp;$B499&amp;" plus "&amp;$B500&amp;" plus "&amp;$B501&amp;" For age "&amp;$D$20&amp;" "&amp;$E$21&amp;" should be equal to "&amp;$B497&amp;""&amp;CHAR(10),""),IF((F498+F499+F500+F501)&lt;&gt;F497," * "&amp;$A497&amp;" , "&amp;$B498&amp;" plus "&amp;$B499&amp;" plus "&amp;$B500&amp;" plus "&amp;$B501&amp;" For age "&amp;$F$20&amp;" "&amp;$F$21&amp;" should be equal to "&amp;$B497&amp;""&amp;CHAR(10),""),IF((G498+G499+G500+G501)&lt;&gt;G497," * "&amp;$A497&amp;" , "&amp;$B498&amp;" plus "&amp;$B499&amp;" plus "&amp;$B500&amp;" plus "&amp;$B501&amp;" For age "&amp;$F$20&amp;" "&amp;$G$21&amp;" should be equal to "&amp;$B497&amp;""&amp;CHAR(10),""),IF((H498+H499+H500+H501)&lt;&gt;H497," * "&amp;$A497&amp;" , "&amp;$B498&amp;" plus "&amp;$B499&amp;" plus "&amp;$B500&amp;" plus "&amp;$B501&amp;" For age "&amp;$H$20&amp;" "&amp;$H$21&amp;" should be equal to "&amp;$B497&amp;""&amp;CHAR(10),""),IF((I498+I499+I500+I501)&lt;&gt;I497," * "&amp;$A497&amp;" , "&amp;$B498&amp;" plus "&amp;$B499&amp;" plus "&amp;$B500&amp;" plus "&amp;$B501&amp;" For age "&amp;$H$20&amp;" "&amp;$I$21&amp;" should be equal to "&amp;$B497&amp;""&amp;CHAR(10),""),IF((J498+J499+J500+J501)&lt;&gt;J497," * "&amp;$A497&amp;" , "&amp;$B498&amp;" plus "&amp;$B499&amp;" plus "&amp;$B500&amp;" plus "&amp;$B501&amp;" For age "&amp;$J$20&amp;" "&amp;$J$21&amp;" should be equal to "&amp;$B497&amp;""&amp;CHAR(10),""),IF((K498+K499+K500+K501)&lt;&gt;K497," * "&amp;$A497&amp;" , "&amp;$B498&amp;" plus "&amp;$B499&amp;" plus "&amp;$B500&amp;" plus "&amp;$B501&amp;" For age "&amp;$J$20&amp;" "&amp;$K$21&amp;" should be equal to "&amp;$B497&amp;""&amp;CHAR(10),""),IF((L498+L499+L500+L501)&lt;&gt;L497," * "&amp;$A497&amp;" , "&amp;$B498&amp;" plus "&amp;$B499&amp;" plus "&amp;$B500&amp;" plus "&amp;$B501&amp;" For age "&amp;$L$20&amp;" "&amp;$L$21&amp;" should be equal to "&amp;$B497&amp;""&amp;CHAR(10),""),IF((M498+M499+M500+M501)&lt;&gt;M497," * "&amp;$A497&amp;" , "&amp;$B498&amp;" plus "&amp;$B499&amp;" plus "&amp;$B500&amp;" plus "&amp;$B501&amp;" For age "&amp;$L$20&amp;" "&amp;$M$21&amp;" should be equal to "&amp;$B497&amp;""&amp;CHAR(10),""),IF((N498+N499+N500+N501)&lt;&gt;N497," * "&amp;$A497&amp;" , "&amp;$B498&amp;" plus "&amp;$B499&amp;" plus "&amp;$B500&amp;" plus "&amp;$B501&amp;" For age "&amp;$N$20&amp;" "&amp;$N$21&amp;" should be equal to "&amp;$B497&amp;""&amp;CHAR(10),""),IF((O498+O499+O500+O501)&lt;&gt;O497," * "&amp;$A497&amp;" , "&amp;$B498&amp;" plus "&amp;$B499&amp;" plus "&amp;$B500&amp;" plus "&amp;$B501&amp;" For age "&amp;$N$20&amp;" "&amp;$O$21&amp;" should be equal to "&amp;$B497&amp;""&amp;CHAR(10),""),IF((P498+P499+P500+P501)&lt;&gt;P497," * "&amp;$A497&amp;" , "&amp;$B498&amp;" plus "&amp;$B499&amp;" plus "&amp;$B500&amp;" plus "&amp;$B501&amp;" For age "&amp;$P$20&amp;" "&amp;$P$21&amp;" should be equal to "&amp;$B497&amp;""&amp;CHAR(10),""),IF((Q498+Q499+Q500+Q501)&lt;&gt;Q497," * "&amp;$A497&amp;" , "&amp;$B498&amp;" plus "&amp;$B499&amp;" plus "&amp;$B500&amp;" plus "&amp;$B501&amp;" For age "&amp;$P$20&amp;" "&amp;$Q$21&amp;" should be equal to "&amp;$B497&amp;""&amp;CHAR(10),""),IF((R498+R499+R500+R501)&lt;&gt;R497," * "&amp;$A497&amp;" , "&amp;$B498&amp;" plus "&amp;$B499&amp;" plus "&amp;$B500&amp;" plus "&amp;$B501&amp;" For age "&amp;$R$20&amp;" "&amp;$R$21&amp;" should be equal to "&amp;$B497&amp;""&amp;CHAR(10),""),IF((S498+S499+S500+S501)&lt;&gt;S497," * "&amp;$A497&amp;" , "&amp;$B498&amp;" plus "&amp;$B499&amp;" plus "&amp;$B500&amp;" plus "&amp;$B501&amp;" For age "&amp;$R$20&amp;" "&amp;$S$21&amp;" should be equal to "&amp;$B497&amp;""&amp;CHAR(10),""),IF((T498+T499+T500+T501)&lt;&gt;T497," * "&amp;$A497&amp;" , "&amp;$B498&amp;" plus "&amp;$B499&amp;" plus "&amp;$B500&amp;" plus "&amp;$B501&amp;" For age "&amp;$T$20&amp;" "&amp;$T$21&amp;" should be equal to "&amp;$B497&amp;""&amp;CHAR(10),""),IF((U498+U499+U500+U501)&lt;&gt;U497," * "&amp;$A497&amp;" , "&amp;$B498&amp;" plus "&amp;$B499&amp;" plus "&amp;$B500&amp;" plus "&amp;$B501&amp;" For age "&amp;$T$20&amp;" "&amp;$U$21&amp;" should be equal to "&amp;$B497&amp;""&amp;CHAR(10),""),IF((V498+V499+V500+V501)&lt;&gt;V497," * "&amp;$A497&amp;" , "&amp;$B498&amp;" plus "&amp;$B499&amp;" plus "&amp;$B500&amp;" plus "&amp;$B501&amp;" For age "&amp;$V$20&amp;" "&amp;$V$21&amp;" should be equal to "&amp;$B497&amp;""&amp;CHAR(10),""),IF((W498+W499+W500+W501)&lt;&gt;W497," * "&amp;$A497&amp;" , "&amp;$B498&amp;" plus "&amp;$B499&amp;" plus "&amp;$B500&amp;" plus "&amp;$B501&amp;" For age "&amp;$V$20&amp;" "&amp;$W$21&amp;" should be equal to "&amp;$B497&amp;""&amp;CHAR(10),""),IF((X498+X499+X500+X501)&lt;&gt;X497," * "&amp;$A497&amp;" , "&amp;$B498&amp;" plus "&amp;$B499&amp;" plus "&amp;$B500&amp;" plus "&amp;$B501&amp;" For age "&amp;$X$20&amp;" "&amp;$X$21&amp;" should be equal to "&amp;$B497&amp;""&amp;CHAR(10),""),IF((Y498+Y499+Y500+Y501)&lt;&gt;Y497," * "&amp;$A497&amp;" , "&amp;$B498&amp;" plus "&amp;$B499&amp;" plus "&amp;$B500&amp;" plus "&amp;$B501&amp;" For age "&amp;$X$20&amp;" "&amp;$Y$21&amp;" should be equal to "&amp;$B497&amp;""&amp;CHAR(10),""),IF((Z498+Z499+Z500+Z501)&lt;&gt;Z497," * "&amp;$A497&amp;" , "&amp;$B498&amp;" plus "&amp;$B499&amp;" plus "&amp;$B500&amp;" plus "&amp;$B501&amp;" For age "&amp;$Z$20&amp;" "&amp;$Z$21&amp;" should be equal to "&amp;$B497&amp;""&amp;CHAR(10),""),IF((AA498+AA499+AA500+AA501)&lt;&gt;AA497," * "&amp;$A497&amp;" , "&amp;$B498&amp;" plus "&amp;$B499&amp;" plus "&amp;$B500&amp;" plus "&amp;$B501&amp;" For age "&amp;$Z$20&amp;" "&amp;$AA$21&amp;" should be equal to "&amp;$B497&amp;""&amp;CHAR(10),""))</f>
        <v/>
      </c>
      <c r="AL497" s="1456"/>
      <c r="AM497" s="31"/>
      <c r="AN497" s="744"/>
      <c r="AO497" s="13">
        <v>31</v>
      </c>
      <c r="AP497" s="81"/>
      <c r="AQ497" s="82"/>
    </row>
    <row r="498" spans="1:43" s="83" customFormat="1" ht="26.25" x14ac:dyDescent="0.4">
      <c r="A498" s="1204"/>
      <c r="B498" s="690" t="s">
        <v>1022</v>
      </c>
      <c r="C498" s="694" t="s">
        <v>1054</v>
      </c>
      <c r="D498" s="586"/>
      <c r="E498" s="705"/>
      <c r="F498" s="517"/>
      <c r="G498" s="514"/>
      <c r="H498" s="514"/>
      <c r="I498" s="514"/>
      <c r="J498" s="514"/>
      <c r="K498" s="514"/>
      <c r="L498" s="514"/>
      <c r="M498" s="514"/>
      <c r="N498" s="514"/>
      <c r="O498" s="514"/>
      <c r="P498" s="514"/>
      <c r="Q498" s="514"/>
      <c r="R498" s="514"/>
      <c r="S498" s="514"/>
      <c r="T498" s="514"/>
      <c r="U498" s="514"/>
      <c r="V498" s="514"/>
      <c r="W498" s="514"/>
      <c r="X498" s="514"/>
      <c r="Y498" s="514"/>
      <c r="Z498" s="463">
        <f>SUM(AB498,AD498,AF498,AH498)</f>
        <v>0</v>
      </c>
      <c r="AA498" s="463">
        <f t="shared" ref="AA498:AA511" si="154">SUM(AC498,AE498,AG498,AI498)</f>
        <v>0</v>
      </c>
      <c r="AB498" s="514"/>
      <c r="AC498" s="702"/>
      <c r="AD498" s="514"/>
      <c r="AE498" s="702"/>
      <c r="AF498" s="514"/>
      <c r="AG498" s="702"/>
      <c r="AH498" s="514"/>
      <c r="AI498" s="702"/>
      <c r="AJ498" s="452">
        <f t="shared" si="149"/>
        <v>0</v>
      </c>
      <c r="AK498" s="1206"/>
      <c r="AL498" s="1456"/>
      <c r="AM498" s="31" t="str">
        <f>CONCATENATE(IF(AND(IFERROR((AJ499*100)/AJ498,0)&gt;10,AJ499&gt;5)," * This facility has a high positivity rate for Index Testing. Kindly confirm if this is the true reflection"&amp;CHAR(10),""),"")</f>
        <v/>
      </c>
      <c r="AN498" s="744"/>
      <c r="AO498" s="13">
        <v>32</v>
      </c>
      <c r="AP498" s="81"/>
      <c r="AQ498" s="82"/>
    </row>
    <row r="499" spans="1:43" s="83" customFormat="1" ht="26.25" x14ac:dyDescent="0.4">
      <c r="A499" s="1204"/>
      <c r="B499" s="690" t="s">
        <v>1003</v>
      </c>
      <c r="C499" s="694" t="s">
        <v>1055</v>
      </c>
      <c r="D499" s="678"/>
      <c r="E499" s="706"/>
      <c r="F499" s="518"/>
      <c r="G499" s="455"/>
      <c r="H499" s="455"/>
      <c r="I499" s="455"/>
      <c r="J499" s="455"/>
      <c r="K499" s="455"/>
      <c r="L499" s="455"/>
      <c r="M499" s="455"/>
      <c r="N499" s="455"/>
      <c r="O499" s="455"/>
      <c r="P499" s="455"/>
      <c r="Q499" s="455"/>
      <c r="R499" s="455"/>
      <c r="S499" s="455"/>
      <c r="T499" s="455"/>
      <c r="U499" s="455"/>
      <c r="V499" s="455"/>
      <c r="W499" s="455"/>
      <c r="X499" s="455"/>
      <c r="Y499" s="455"/>
      <c r="Z499" s="463">
        <f>SUM(AB499,AD499,AF499,AH499)</f>
        <v>0</v>
      </c>
      <c r="AA499" s="463">
        <f t="shared" si="154"/>
        <v>0</v>
      </c>
      <c r="AB499" s="455"/>
      <c r="AC499" s="684"/>
      <c r="AD499" s="455"/>
      <c r="AE499" s="684"/>
      <c r="AF499" s="455"/>
      <c r="AG499" s="684"/>
      <c r="AH499" s="455"/>
      <c r="AI499" s="684"/>
      <c r="AJ499" s="453">
        <f t="shared" si="149"/>
        <v>0</v>
      </c>
      <c r="AK499" s="1206"/>
      <c r="AL499" s="1456"/>
      <c r="AM499" s="31" t="str">
        <f>CONCATENATE(IF(D498&gt;0," * F01-12 for Age "&amp;D485&amp;" "&amp;D486&amp;" has a value greater than 0"&amp;CHAR(10),""),IF(E498&gt;0," * F01-12 for Age "&amp;D485&amp;" "&amp;E486&amp;" has a value greater than 0"&amp;CHAR(10),""),IF(D499&gt;0," * F01-13 for Age "&amp;D485&amp;" "&amp;D486&amp;" has a value greater than 0"&amp;CHAR(10),""),IF(E499&gt;0," * F01-13 for Age "&amp;D485&amp;" "&amp;E486&amp;" has a value greater than 0"&amp;CHAR(10),""),IF(D562&gt;0," * F01-15 for Age "&amp;D485&amp;" "&amp;D486&amp;" has a value greater than 0"&amp;CHAR(10),""),IF(E562&gt;0," * F01-15 for Age "&amp;D485&amp;" "&amp;E486&amp;" has a value greater than 0"&amp;CHAR(10),""),IF(D567&gt;0," * F01-20 for Age "&amp;D485&amp;" "&amp;D486&amp;" has a value greater than 0"&amp;CHAR(10),""),IF(E567&gt;0," * F01-20 for Age "&amp;D485&amp;" "&amp;E486&amp;" has a value greater than 0"&amp;CHAR(10),""),IF(D568&gt;0," * F01-21 for Age "&amp;D485&amp;" "&amp;D486&amp;" has a value greater than 0"&amp;CHAR(10),""),IF(E568&gt;0," * F01-21 for Age "&amp;D485&amp;" "&amp;E486&amp;" has a value greater than 0"&amp;CHAR(10),""),IF(D569&gt;0," * F01-22 for Age "&amp;D485&amp;" "&amp;D486&amp;" has a value greater than 0"&amp;CHAR(10),""),IF(E569&gt;0," * F01-22 for Age "&amp;D485&amp;" "&amp;E486&amp;" has a value greater than 0"&amp;CHAR(10),""),IF(D570&gt;0," * F01-23 for Age "&amp;D485&amp;" "&amp;D486&amp;" has a value greater than 0"&amp;CHAR(10),""),IF(E570&gt;0," * F01-23 for Age "&amp;D485&amp;" "&amp;E486&amp;" has a value greater than 0"&amp;CHAR(10),""),"")</f>
        <v/>
      </c>
      <c r="AN499" s="744"/>
      <c r="AO499" s="13">
        <v>33</v>
      </c>
      <c r="AP499" s="81"/>
      <c r="AQ499" s="82"/>
    </row>
    <row r="500" spans="1:43" s="83" customFormat="1" ht="26.25" x14ac:dyDescent="0.4">
      <c r="A500" s="1204"/>
      <c r="B500" s="690" t="s">
        <v>1005</v>
      </c>
      <c r="C500" s="694" t="s">
        <v>1056</v>
      </c>
      <c r="D500" s="678"/>
      <c r="E500" s="706"/>
      <c r="F500" s="519"/>
      <c r="G500" s="462"/>
      <c r="H500" s="462"/>
      <c r="I500" s="462"/>
      <c r="J500" s="462"/>
      <c r="K500" s="462"/>
      <c r="L500" s="462"/>
      <c r="M500" s="462"/>
      <c r="N500" s="462"/>
      <c r="O500" s="462"/>
      <c r="P500" s="462"/>
      <c r="Q500" s="462"/>
      <c r="R500" s="462"/>
      <c r="S500" s="462"/>
      <c r="T500" s="462"/>
      <c r="U500" s="462"/>
      <c r="V500" s="462"/>
      <c r="W500" s="462"/>
      <c r="X500" s="462"/>
      <c r="Y500" s="462"/>
      <c r="Z500" s="463">
        <f>SUM(AB500,AD500,AF500,AH500)</f>
        <v>0</v>
      </c>
      <c r="AA500" s="463">
        <f t="shared" si="154"/>
        <v>0</v>
      </c>
      <c r="AB500" s="462"/>
      <c r="AC500" s="703"/>
      <c r="AD500" s="462"/>
      <c r="AE500" s="703"/>
      <c r="AF500" s="462"/>
      <c r="AG500" s="703"/>
      <c r="AH500" s="462"/>
      <c r="AI500" s="703"/>
      <c r="AJ500" s="453">
        <f t="shared" si="149"/>
        <v>0</v>
      </c>
      <c r="AK500" s="445"/>
      <c r="AL500" s="1456"/>
      <c r="AM500" s="31" t="str">
        <f>CONCATENATE(IF(D499&gt;0," * F01-12 for Age "&amp;D486&amp;" "&amp;D487&amp;" has a value greater than 0"&amp;CHAR(10),""),IF(E499&gt;0," * F01-12 for Age "&amp;D486&amp;" "&amp;E487&amp;" has a value greater than 0"&amp;CHAR(10),""),IF(D500&gt;0," * F01-13 for Age "&amp;D486&amp;" "&amp;D487&amp;" has a value greater than 0"&amp;CHAR(10),""),IF(E500&gt;0," * F01-13 for Age "&amp;D486&amp;" "&amp;E487&amp;" has a value greater than 0"&amp;CHAR(10),""),IF(D562&gt;0," * F01-14 for Age "&amp;D486&amp;" "&amp;D487&amp;" has a value greater than 0"&amp;CHAR(10),""),IF(E562&gt;0," * F01-14 for Age "&amp;D486&amp;" "&amp;E487&amp;" has a value greater than 0"&amp;CHAR(10),""),IF(D563&gt;0," * F01-15 for Age "&amp;D486&amp;" "&amp;D487&amp;" has a value greater than 0"&amp;CHAR(10),""),IF(E563&gt;0," * F01-15 for Age "&amp;D486&amp;" "&amp;E487&amp;" has a value greater than 0"&amp;CHAR(10),""),IF(D568&gt;0," * F01-20 for Age "&amp;D486&amp;" "&amp;D487&amp;" has a value greater than 0"&amp;CHAR(10),""),IF(E568&gt;0," * F01-20 for Age "&amp;D486&amp;" "&amp;E487&amp;" has a value greater than 0"&amp;CHAR(10),""),IF(D569&gt;0," * F01-21 for Age "&amp;D486&amp;" "&amp;D487&amp;" has a value greater than 0"&amp;CHAR(10),""),IF(E569&gt;0," * F01-21 for Age "&amp;D486&amp;" "&amp;E487&amp;" has a value greater than 0"&amp;CHAR(10),""),IF(D570&gt;0," * F01-22 for Age "&amp;D486&amp;" "&amp;D487&amp;" has a value greater than 0"&amp;CHAR(10),""),IF(E570&gt;0," * F01-22 for Age "&amp;D486&amp;" "&amp;E487&amp;" has a value greater than 0"&amp;CHAR(10),""),IF(D571&gt;0," * F01-23 for Age "&amp;D486&amp;" "&amp;D487&amp;" has a value greater than 0"&amp;CHAR(10),""),IF(E571&gt;0," * F01-23 for Age "&amp;D486&amp;" "&amp;E487&amp;" has a value greater than 0"&amp;CHAR(10),""),"")</f>
        <v/>
      </c>
      <c r="AN500" s="744"/>
      <c r="AO500" s="13">
        <v>33</v>
      </c>
      <c r="AP500" s="81"/>
      <c r="AQ500" s="82"/>
    </row>
    <row r="501" spans="1:43" s="83" customFormat="1" ht="27" thickBot="1" x14ac:dyDescent="0.45">
      <c r="A501" s="1205"/>
      <c r="B501" s="691" t="s">
        <v>1007</v>
      </c>
      <c r="C501" s="695" t="s">
        <v>1057</v>
      </c>
      <c r="D501" s="679"/>
      <c r="E501" s="707"/>
      <c r="F501" s="520"/>
      <c r="G501" s="516"/>
      <c r="H501" s="516"/>
      <c r="I501" s="516"/>
      <c r="J501" s="516"/>
      <c r="K501" s="516"/>
      <c r="L501" s="516"/>
      <c r="M501" s="516"/>
      <c r="N501" s="516"/>
      <c r="O501" s="516"/>
      <c r="P501" s="516"/>
      <c r="Q501" s="516"/>
      <c r="R501" s="516"/>
      <c r="S501" s="516"/>
      <c r="T501" s="516"/>
      <c r="U501" s="516"/>
      <c r="V501" s="516"/>
      <c r="W501" s="516"/>
      <c r="X501" s="516"/>
      <c r="Y501" s="516"/>
      <c r="Z501" s="463">
        <f>SUM(AB501,AD501,AF501,AH501)</f>
        <v>0</v>
      </c>
      <c r="AA501" s="463">
        <f t="shared" si="154"/>
        <v>0</v>
      </c>
      <c r="AB501" s="516"/>
      <c r="AC501" s="686"/>
      <c r="AD501" s="516"/>
      <c r="AE501" s="686"/>
      <c r="AF501" s="516"/>
      <c r="AG501" s="686"/>
      <c r="AH501" s="516"/>
      <c r="AI501" s="686"/>
      <c r="AJ501" s="454">
        <f t="shared" si="149"/>
        <v>0</v>
      </c>
      <c r="AK501" s="445"/>
      <c r="AL501" s="1456"/>
      <c r="AM501" s="31" t="str">
        <f>CONCATENATE(IF(D500&gt;0," * F01-12 for Age "&amp;D487&amp;" "&amp;D488&amp;" has a value greater than 0"&amp;CHAR(10),""),IF(E500&gt;0," * F01-12 for Age "&amp;D487&amp;" "&amp;E488&amp;" has a value greater than 0"&amp;CHAR(10),""),IF(D501&gt;0," * F01-13 for Age "&amp;D487&amp;" "&amp;D488&amp;" has a value greater than 0"&amp;CHAR(10),""),IF(E501&gt;0," * F01-13 for Age "&amp;D487&amp;" "&amp;E488&amp;" has a value greater than 0"&amp;CHAR(10),""),IF(D563&gt;0," * F01-14 for Age "&amp;D487&amp;" "&amp;D488&amp;" has a value greater than 0"&amp;CHAR(10),""),IF(E563&gt;0," * F01-14 for Age "&amp;D487&amp;" "&amp;E488&amp;" has a value greater than 0"&amp;CHAR(10),""),IF(D564&gt;0," * F01-15 for Age "&amp;D487&amp;" "&amp;D488&amp;" has a value greater than 0"&amp;CHAR(10),""),IF(E564&gt;0," * F01-15 for Age "&amp;D487&amp;" "&amp;E488&amp;" has a value greater than 0"&amp;CHAR(10),""),IF(D569&gt;0," * F01-20 for Age "&amp;D487&amp;" "&amp;D488&amp;" has a value greater than 0"&amp;CHAR(10),""),IF(E569&gt;0," * F01-20 for Age "&amp;D487&amp;" "&amp;E488&amp;" has a value greater than 0"&amp;CHAR(10),""),IF(D570&gt;0," * F01-21 for Age "&amp;D487&amp;" "&amp;D488&amp;" has a value greater than 0"&amp;CHAR(10),""),IF(E570&gt;0," * F01-21 for Age "&amp;D487&amp;" "&amp;E488&amp;" has a value greater than 0"&amp;CHAR(10),""),IF(D571&gt;0," * F01-22 for Age "&amp;D487&amp;" "&amp;D488&amp;" has a value greater than 0"&amp;CHAR(10),""),IF(E571&gt;0," * F01-22 for Age "&amp;D487&amp;" "&amp;E488&amp;" has a value greater than 0"&amp;CHAR(10),""),IF(D572&gt;0," * F01-23 for Age "&amp;D487&amp;" "&amp;D488&amp;" has a value greater than 0"&amp;CHAR(10),""),IF(E572&gt;0," * F01-23 for Age "&amp;D487&amp;" "&amp;E488&amp;" has a value greater than 0"&amp;CHAR(10),""),"")</f>
        <v/>
      </c>
      <c r="AN501" s="744"/>
      <c r="AO501" s="13">
        <v>33</v>
      </c>
      <c r="AP501" s="81"/>
      <c r="AQ501" s="82"/>
    </row>
    <row r="502" spans="1:43" s="83" customFormat="1" ht="29.65" customHeight="1" x14ac:dyDescent="0.4">
      <c r="A502" s="1203" t="s">
        <v>1025</v>
      </c>
      <c r="B502" s="689" t="s">
        <v>128</v>
      </c>
      <c r="C502" s="693" t="s">
        <v>1058</v>
      </c>
      <c r="D502" s="676"/>
      <c r="E502" s="704"/>
      <c r="F502" s="697">
        <f>F305</f>
        <v>0</v>
      </c>
      <c r="G502" s="698"/>
      <c r="H502" s="687">
        <f t="shared" ref="H502:AI502" si="155">H305</f>
        <v>0</v>
      </c>
      <c r="I502" s="699">
        <f t="shared" si="155"/>
        <v>0</v>
      </c>
      <c r="J502" s="687">
        <f t="shared" si="155"/>
        <v>0</v>
      </c>
      <c r="K502" s="699">
        <f t="shared" si="155"/>
        <v>0</v>
      </c>
      <c r="L502" s="687">
        <f t="shared" si="155"/>
        <v>0</v>
      </c>
      <c r="M502" s="699">
        <f t="shared" si="155"/>
        <v>0</v>
      </c>
      <c r="N502" s="687">
        <f t="shared" si="155"/>
        <v>0</v>
      </c>
      <c r="O502" s="699">
        <f t="shared" si="155"/>
        <v>0</v>
      </c>
      <c r="P502" s="687">
        <f t="shared" si="155"/>
        <v>0</v>
      </c>
      <c r="Q502" s="699">
        <f t="shared" si="155"/>
        <v>0</v>
      </c>
      <c r="R502" s="687">
        <f t="shared" si="155"/>
        <v>0</v>
      </c>
      <c r="S502" s="699">
        <f t="shared" si="155"/>
        <v>0</v>
      </c>
      <c r="T502" s="687">
        <f t="shared" si="155"/>
        <v>0</v>
      </c>
      <c r="U502" s="699">
        <f t="shared" si="155"/>
        <v>0</v>
      </c>
      <c r="V502" s="687">
        <f t="shared" si="155"/>
        <v>0</v>
      </c>
      <c r="W502" s="699">
        <f t="shared" si="155"/>
        <v>0</v>
      </c>
      <c r="X502" s="687">
        <f t="shared" si="155"/>
        <v>0</v>
      </c>
      <c r="Y502" s="699">
        <f t="shared" si="155"/>
        <v>0</v>
      </c>
      <c r="Z502" s="687">
        <f t="shared" si="155"/>
        <v>0</v>
      </c>
      <c r="AA502" s="700">
        <f t="shared" si="155"/>
        <v>0</v>
      </c>
      <c r="AB502" s="687">
        <f t="shared" si="155"/>
        <v>0</v>
      </c>
      <c r="AC502" s="700">
        <f t="shared" si="155"/>
        <v>0</v>
      </c>
      <c r="AD502" s="687">
        <f t="shared" si="155"/>
        <v>0</v>
      </c>
      <c r="AE502" s="700">
        <f t="shared" si="155"/>
        <v>0</v>
      </c>
      <c r="AF502" s="687">
        <f t="shared" si="155"/>
        <v>0</v>
      </c>
      <c r="AG502" s="700">
        <f t="shared" si="155"/>
        <v>0</v>
      </c>
      <c r="AH502" s="687">
        <f t="shared" si="155"/>
        <v>0</v>
      </c>
      <c r="AI502" s="700">
        <f t="shared" si="155"/>
        <v>0</v>
      </c>
      <c r="AJ502" s="451">
        <f t="shared" si="149"/>
        <v>0</v>
      </c>
      <c r="AK502" s="512" t="str">
        <f>CONCATENATE(IF((D503+D504+D505+D506)&lt;&gt;D502," * "&amp;$A502&amp;" , "&amp;$B503&amp;" plus "&amp;$B504&amp;" plus "&amp;$B505&amp;" plus "&amp;$B506&amp;" For age "&amp;$D$20&amp;" "&amp;$D$21&amp;" should be equal to "&amp;$B502&amp;""&amp;CHAR(10),""),IF((E503+E504+E505+E506)&lt;&gt;E502," * "&amp;$A502&amp;" , "&amp;$B503&amp;" plus "&amp;$B504&amp;" plus "&amp;$B505&amp;" plus "&amp;$B506&amp;" For age "&amp;$D$20&amp;" "&amp;$E$21&amp;" should be equal to "&amp;$B502&amp;""&amp;CHAR(10),""),IF((F503+F504+F505+F506)&lt;&gt;F502," * "&amp;$A502&amp;" , "&amp;$B503&amp;" plus "&amp;$B504&amp;" plus "&amp;$B505&amp;" plus "&amp;$B506&amp;" For age "&amp;$F$20&amp;" "&amp;$F$21&amp;" should be equal to "&amp;$B502&amp;""&amp;CHAR(10),""),IF((G503+G504+G505+G506)&lt;&gt;G502," * "&amp;$A502&amp;" , "&amp;$B503&amp;" plus "&amp;$B504&amp;" plus "&amp;$B505&amp;" plus "&amp;$B506&amp;" For age "&amp;$F$20&amp;" "&amp;$G$21&amp;" should be equal to "&amp;$B502&amp;""&amp;CHAR(10),""),IF((H503+H504+H505+H506)&lt;&gt;H502," * "&amp;$A502&amp;" , "&amp;$B503&amp;" plus "&amp;$B504&amp;" plus "&amp;$B505&amp;" plus "&amp;$B506&amp;" For age "&amp;$H$20&amp;" "&amp;$H$21&amp;" should be equal to "&amp;$B502&amp;""&amp;CHAR(10),""),IF((I503+I504+I505+I506)&lt;&gt;I502," * "&amp;$A502&amp;" , "&amp;$B503&amp;" plus "&amp;$B504&amp;" plus "&amp;$B505&amp;" plus "&amp;$B506&amp;" For age "&amp;$H$20&amp;" "&amp;$I$21&amp;" should be equal to "&amp;$B502&amp;""&amp;CHAR(10),""),IF((J503+J504+J505+J506)&lt;&gt;J502," * "&amp;$A502&amp;" , "&amp;$B503&amp;" plus "&amp;$B504&amp;" plus "&amp;$B505&amp;" plus "&amp;$B506&amp;" For age "&amp;$J$20&amp;" "&amp;$J$21&amp;" should be equal to "&amp;$B502&amp;""&amp;CHAR(10),""),IF((K503+K504+K505+K506)&lt;&gt;K502," * "&amp;$A502&amp;" , "&amp;$B503&amp;" plus "&amp;$B504&amp;" plus "&amp;$B505&amp;" plus "&amp;$B506&amp;" For age "&amp;$J$20&amp;" "&amp;$K$21&amp;" should be equal to "&amp;$B502&amp;""&amp;CHAR(10),""),IF((L503+L504+L505+L506)&lt;&gt;L502," * "&amp;$A502&amp;" , "&amp;$B503&amp;" plus "&amp;$B504&amp;" plus "&amp;$B505&amp;" plus "&amp;$B506&amp;" For age "&amp;$L$20&amp;" "&amp;$L$21&amp;" should be equal to "&amp;$B502&amp;""&amp;CHAR(10),""),IF((M503+M504+M505+M506)&lt;&gt;M502," * "&amp;$A502&amp;" , "&amp;$B503&amp;" plus "&amp;$B504&amp;" plus "&amp;$B505&amp;" plus "&amp;$B506&amp;" For age "&amp;$L$20&amp;" "&amp;$M$21&amp;" should be equal to "&amp;$B502&amp;""&amp;CHAR(10),""),IF((N503+N504+N505+N506)&lt;&gt;N502," * "&amp;$A502&amp;" , "&amp;$B503&amp;" plus "&amp;$B504&amp;" plus "&amp;$B505&amp;" plus "&amp;$B506&amp;" For age "&amp;$N$20&amp;" "&amp;$N$21&amp;" should be equal to "&amp;$B502&amp;""&amp;CHAR(10),""),IF((O503+O504+O505+O506)&lt;&gt;O502," * "&amp;$A502&amp;" , "&amp;$B503&amp;" plus "&amp;$B504&amp;" plus "&amp;$B505&amp;" plus "&amp;$B506&amp;" For age "&amp;$N$20&amp;" "&amp;$O$21&amp;" should be equal to "&amp;$B502&amp;""&amp;CHAR(10),""),IF((P503+P504+P505+P506)&lt;&gt;P502," * "&amp;$A502&amp;" , "&amp;$B503&amp;" plus "&amp;$B504&amp;" plus "&amp;$B505&amp;" plus "&amp;$B506&amp;" For age "&amp;$P$20&amp;" "&amp;$P$21&amp;" should be equal to "&amp;$B502&amp;""&amp;CHAR(10),""),IF((Q503+Q504+Q505+Q506)&lt;&gt;Q502," * "&amp;$A502&amp;" , "&amp;$B503&amp;" plus "&amp;$B504&amp;" plus "&amp;$B505&amp;" plus "&amp;$B506&amp;" For age "&amp;$P$20&amp;" "&amp;$Q$21&amp;" should be equal to "&amp;$B502&amp;""&amp;CHAR(10),""),IF((R503+R504+R505+R506)&lt;&gt;R502," * "&amp;$A502&amp;" , "&amp;$B503&amp;" plus "&amp;$B504&amp;" plus "&amp;$B505&amp;" plus "&amp;$B506&amp;" For age "&amp;$R$20&amp;" "&amp;$R$21&amp;" should be equal to "&amp;$B502&amp;""&amp;CHAR(10),""),IF((S503+S504+S505+S506)&lt;&gt;S502," * "&amp;$A502&amp;" , "&amp;$B503&amp;" plus "&amp;$B504&amp;" plus "&amp;$B505&amp;" plus "&amp;$B506&amp;" For age "&amp;$R$20&amp;" "&amp;$S$21&amp;" should be equal to "&amp;$B502&amp;""&amp;CHAR(10),""),IF((T503+T504+T505+T506)&lt;&gt;T502," * "&amp;$A502&amp;" , "&amp;$B503&amp;" plus "&amp;$B504&amp;" plus "&amp;$B505&amp;" plus "&amp;$B506&amp;" For age "&amp;$T$20&amp;" "&amp;$T$21&amp;" should be equal to "&amp;$B502&amp;""&amp;CHAR(10),""),IF((U503+U504+U505+U506)&lt;&gt;U502," * "&amp;$A502&amp;" , "&amp;$B503&amp;" plus "&amp;$B504&amp;" plus "&amp;$B505&amp;" plus "&amp;$B506&amp;" For age "&amp;$T$20&amp;" "&amp;$U$21&amp;" should be equal to "&amp;$B502&amp;""&amp;CHAR(10),""),IF((V503+V504+V505+V506)&lt;&gt;V502," * "&amp;$A502&amp;" , "&amp;$B503&amp;" plus "&amp;$B504&amp;" plus "&amp;$B505&amp;" plus "&amp;$B506&amp;" For age "&amp;$V$20&amp;" "&amp;$V$21&amp;" should be equal to "&amp;$B502&amp;""&amp;CHAR(10),""),IF((W503+W504+W505+W506)&lt;&gt;W502," * "&amp;$A502&amp;" , "&amp;$B503&amp;" plus "&amp;$B504&amp;" plus "&amp;$B505&amp;" plus "&amp;$B506&amp;" For age "&amp;$V$20&amp;" "&amp;$W$21&amp;" should be equal to "&amp;$B502&amp;""&amp;CHAR(10),""),IF((X503+X504+X505+X506)&lt;&gt;X502," * "&amp;$A502&amp;" , "&amp;$B503&amp;" plus "&amp;$B504&amp;" plus "&amp;$B505&amp;" plus "&amp;$B506&amp;" For age "&amp;$X$20&amp;" "&amp;$X$21&amp;" should be equal to "&amp;$B502&amp;""&amp;CHAR(10),""),IF((Y503+Y504+Y505+Y506)&lt;&gt;Y502," * "&amp;$A502&amp;" , "&amp;$B503&amp;" plus "&amp;$B504&amp;" plus "&amp;$B505&amp;" plus "&amp;$B506&amp;" For age "&amp;$X$20&amp;" "&amp;$Y$21&amp;" should be equal to "&amp;$B502&amp;""&amp;CHAR(10),""),IF((Z503+Z504+Z505+Z506)&lt;&gt;Z502," * "&amp;$A502&amp;" , "&amp;$B503&amp;" plus "&amp;$B504&amp;" plus "&amp;$B505&amp;" plus "&amp;$B506&amp;" For age "&amp;$Z$20&amp;" "&amp;$Z$21&amp;" should be equal to "&amp;$B502&amp;""&amp;CHAR(10),""),IF((AA503+AA504+AA505+AA506)&lt;&gt;AA502," * "&amp;$A502&amp;" , "&amp;$B503&amp;" plus "&amp;$B504&amp;" plus "&amp;$B505&amp;" plus "&amp;$B506&amp;" For age "&amp;$Z$20&amp;" "&amp;$AA$21&amp;" should be equal to "&amp;$B502&amp;""&amp;CHAR(10),""))</f>
        <v/>
      </c>
      <c r="AL502" s="1456"/>
      <c r="AM502" s="31"/>
      <c r="AN502" s="744"/>
      <c r="AO502" s="13">
        <v>31</v>
      </c>
      <c r="AP502" s="81"/>
      <c r="AQ502" s="82"/>
    </row>
    <row r="503" spans="1:43" s="83" customFormat="1" ht="26.25" x14ac:dyDescent="0.4">
      <c r="A503" s="1204"/>
      <c r="B503" s="690" t="s">
        <v>1022</v>
      </c>
      <c r="C503" s="694" t="s">
        <v>1059</v>
      </c>
      <c r="D503" s="586"/>
      <c r="E503" s="705"/>
      <c r="F503" s="692"/>
      <c r="G503" s="518"/>
      <c r="H503" s="670"/>
      <c r="I503" s="455"/>
      <c r="J503" s="670"/>
      <c r="K503" s="455"/>
      <c r="L503" s="670"/>
      <c r="M503" s="455"/>
      <c r="N503" s="670"/>
      <c r="O503" s="455"/>
      <c r="P503" s="670"/>
      <c r="Q503" s="455"/>
      <c r="R503" s="670"/>
      <c r="S503" s="455"/>
      <c r="T503" s="670"/>
      <c r="U503" s="455"/>
      <c r="V503" s="670"/>
      <c r="W503" s="455"/>
      <c r="X503" s="670"/>
      <c r="Y503" s="455"/>
      <c r="Z503" s="670"/>
      <c r="AA503" s="463">
        <f>SUM(AC503,AE503,AG503,AI503)</f>
        <v>0</v>
      </c>
      <c r="AB503" s="670"/>
      <c r="AC503" s="684"/>
      <c r="AD503" s="670"/>
      <c r="AE503" s="684"/>
      <c r="AF503" s="670"/>
      <c r="AG503" s="684"/>
      <c r="AH503" s="670"/>
      <c r="AI503" s="684"/>
      <c r="AJ503" s="452">
        <f t="shared" si="149"/>
        <v>0</v>
      </c>
      <c r="AK503" s="1206"/>
      <c r="AL503" s="1456"/>
      <c r="AM503" s="31" t="str">
        <f>CONCATENATE(IF(AND(IFERROR((AJ504*100)/AJ503,0)&gt;10,AJ504&gt;5)," * This facility has a high positivity rate for Index Testing. Kindly confirm if this is the true reflection"&amp;CHAR(10),""),"")</f>
        <v/>
      </c>
      <c r="AN503" s="744"/>
      <c r="AO503" s="13">
        <v>32</v>
      </c>
      <c r="AP503" s="81"/>
      <c r="AQ503" s="82"/>
    </row>
    <row r="504" spans="1:43" s="83" customFormat="1" ht="26.25" x14ac:dyDescent="0.4">
      <c r="A504" s="1204"/>
      <c r="B504" s="690" t="s">
        <v>1003</v>
      </c>
      <c r="C504" s="694" t="s">
        <v>1060</v>
      </c>
      <c r="D504" s="678"/>
      <c r="E504" s="706"/>
      <c r="F504" s="692"/>
      <c r="G504" s="518"/>
      <c r="H504" s="670"/>
      <c r="I504" s="455"/>
      <c r="J504" s="670"/>
      <c r="K504" s="455"/>
      <c r="L504" s="670"/>
      <c r="M504" s="455"/>
      <c r="N504" s="670"/>
      <c r="O504" s="455"/>
      <c r="P504" s="670"/>
      <c r="Q504" s="455"/>
      <c r="R504" s="670"/>
      <c r="S504" s="455"/>
      <c r="T504" s="670"/>
      <c r="U504" s="455"/>
      <c r="V504" s="670"/>
      <c r="W504" s="455"/>
      <c r="X504" s="670"/>
      <c r="Y504" s="455"/>
      <c r="Z504" s="670"/>
      <c r="AA504" s="463">
        <f t="shared" si="154"/>
        <v>0</v>
      </c>
      <c r="AB504" s="670"/>
      <c r="AC504" s="684"/>
      <c r="AD504" s="670"/>
      <c r="AE504" s="684"/>
      <c r="AF504" s="670"/>
      <c r="AG504" s="684"/>
      <c r="AH504" s="670"/>
      <c r="AI504" s="684"/>
      <c r="AJ504" s="453">
        <f t="shared" si="149"/>
        <v>0</v>
      </c>
      <c r="AK504" s="1206"/>
      <c r="AL504" s="1456"/>
      <c r="AM504" s="31" t="str">
        <f>CONCATENATE(IF(D503&gt;0," * F01-12 for Age "&amp;D490&amp;" "&amp;D491&amp;" has a value greater than 0"&amp;CHAR(10),""),IF(E503&gt;0," * F01-12 for Age "&amp;D490&amp;" "&amp;E491&amp;" has a value greater than 0"&amp;CHAR(10),""),IF(D504&gt;0," * F01-13 for Age "&amp;D490&amp;" "&amp;D491&amp;" has a value greater than 0"&amp;CHAR(10),""),IF(E504&gt;0," * F01-13 for Age "&amp;D490&amp;" "&amp;E491&amp;" has a value greater than 0"&amp;CHAR(10),""),IF(D567&gt;0," * F01-15 for Age "&amp;D490&amp;" "&amp;D491&amp;" has a value greater than 0"&amp;CHAR(10),""),IF(E567&gt;0," * F01-15 for Age "&amp;D490&amp;" "&amp;E491&amp;" has a value greater than 0"&amp;CHAR(10),""),IF(D572&gt;0," * F01-20 for Age "&amp;D490&amp;" "&amp;D491&amp;" has a value greater than 0"&amp;CHAR(10),""),IF(E572&gt;0," * F01-20 for Age "&amp;D490&amp;" "&amp;E491&amp;" has a value greater than 0"&amp;CHAR(10),""),IF(D573&gt;0," * F01-21 for Age "&amp;D490&amp;" "&amp;D491&amp;" has a value greater than 0"&amp;CHAR(10),""),IF(E573&gt;0," * F01-21 for Age "&amp;D490&amp;" "&amp;E491&amp;" has a value greater than 0"&amp;CHAR(10),""),IF(D574&gt;0," * F01-22 for Age "&amp;D490&amp;" "&amp;D491&amp;" has a value greater than 0"&amp;CHAR(10),""),IF(E574&gt;0," * F01-22 for Age "&amp;D490&amp;" "&amp;E491&amp;" has a value greater than 0"&amp;CHAR(10),""),IF(D575&gt;0," * F01-23 for Age "&amp;D490&amp;" "&amp;D491&amp;" has a value greater than 0"&amp;CHAR(10),""),IF(E575&gt;0," * F01-23 for Age "&amp;D490&amp;" "&amp;E491&amp;" has a value greater than 0"&amp;CHAR(10),""),"")</f>
        <v/>
      </c>
      <c r="AN504" s="744"/>
      <c r="AO504" s="13">
        <v>33</v>
      </c>
      <c r="AP504" s="81"/>
      <c r="AQ504" s="82"/>
    </row>
    <row r="505" spans="1:43" s="83" customFormat="1" ht="26.25" x14ac:dyDescent="0.4">
      <c r="A505" s="1204"/>
      <c r="B505" s="690" t="s">
        <v>1005</v>
      </c>
      <c r="C505" s="694" t="s">
        <v>1061</v>
      </c>
      <c r="D505" s="678"/>
      <c r="E505" s="706"/>
      <c r="F505" s="692"/>
      <c r="G505" s="518"/>
      <c r="H505" s="670"/>
      <c r="I505" s="455"/>
      <c r="J505" s="670"/>
      <c r="K505" s="455"/>
      <c r="L505" s="670"/>
      <c r="M505" s="455"/>
      <c r="N505" s="670"/>
      <c r="O505" s="455"/>
      <c r="P505" s="670"/>
      <c r="Q505" s="455"/>
      <c r="R505" s="670"/>
      <c r="S505" s="455"/>
      <c r="T505" s="670"/>
      <c r="U505" s="455"/>
      <c r="V505" s="670"/>
      <c r="W505" s="455"/>
      <c r="X505" s="670"/>
      <c r="Y505" s="455"/>
      <c r="Z505" s="670"/>
      <c r="AA505" s="463">
        <f t="shared" si="154"/>
        <v>0</v>
      </c>
      <c r="AB505" s="670"/>
      <c r="AC505" s="684"/>
      <c r="AD505" s="670"/>
      <c r="AE505" s="684"/>
      <c r="AF505" s="670"/>
      <c r="AG505" s="684"/>
      <c r="AH505" s="670"/>
      <c r="AI505" s="684"/>
      <c r="AJ505" s="453">
        <f t="shared" si="149"/>
        <v>0</v>
      </c>
      <c r="AK505" s="445"/>
      <c r="AL505" s="1456"/>
      <c r="AM505" s="31" t="str">
        <f>CONCATENATE(IF(D504&gt;0," * F01-12 for Age "&amp;D491&amp;" "&amp;D492&amp;" has a value greater than 0"&amp;CHAR(10),""),IF(E504&gt;0," * F01-12 for Age "&amp;D491&amp;" "&amp;E492&amp;" has a value greater than 0"&amp;CHAR(10),""),IF(D505&gt;0," * F01-13 for Age "&amp;D491&amp;" "&amp;D492&amp;" has a value greater than 0"&amp;CHAR(10),""),IF(E505&gt;0," * F01-13 for Age "&amp;D491&amp;" "&amp;E492&amp;" has a value greater than 0"&amp;CHAR(10),""),IF(D567&gt;0," * F01-14 for Age "&amp;D491&amp;" "&amp;D492&amp;" has a value greater than 0"&amp;CHAR(10),""),IF(E567&gt;0," * F01-14 for Age "&amp;D491&amp;" "&amp;E492&amp;" has a value greater than 0"&amp;CHAR(10),""),IF(D568&gt;0," * F01-15 for Age "&amp;D491&amp;" "&amp;D492&amp;" has a value greater than 0"&amp;CHAR(10),""),IF(E568&gt;0," * F01-15 for Age "&amp;D491&amp;" "&amp;E492&amp;" has a value greater than 0"&amp;CHAR(10),""),IF(D573&gt;0," * F01-20 for Age "&amp;D491&amp;" "&amp;D492&amp;" has a value greater than 0"&amp;CHAR(10),""),IF(E573&gt;0," * F01-20 for Age "&amp;D491&amp;" "&amp;E492&amp;" has a value greater than 0"&amp;CHAR(10),""),IF(D574&gt;0," * F01-21 for Age "&amp;D491&amp;" "&amp;D492&amp;" has a value greater than 0"&amp;CHAR(10),""),IF(E574&gt;0," * F01-21 for Age "&amp;D491&amp;" "&amp;E492&amp;" has a value greater than 0"&amp;CHAR(10),""),IF(D575&gt;0," * F01-22 for Age "&amp;D491&amp;" "&amp;D492&amp;" has a value greater than 0"&amp;CHAR(10),""),IF(E575&gt;0," * F01-22 for Age "&amp;D491&amp;" "&amp;E492&amp;" has a value greater than 0"&amp;CHAR(10),""),IF(D576&gt;0," * F01-23 for Age "&amp;D491&amp;" "&amp;D492&amp;" has a value greater than 0"&amp;CHAR(10),""),IF(E576&gt;0," * F01-23 for Age "&amp;D491&amp;" "&amp;E492&amp;" has a value greater than 0"&amp;CHAR(10),""),"")</f>
        <v/>
      </c>
      <c r="AN505" s="744"/>
      <c r="AO505" s="13">
        <v>33</v>
      </c>
      <c r="AP505" s="81"/>
      <c r="AQ505" s="82"/>
    </row>
    <row r="506" spans="1:43" s="83" customFormat="1" ht="27" thickBot="1" x14ac:dyDescent="0.45">
      <c r="A506" s="1205"/>
      <c r="B506" s="691" t="s">
        <v>1007</v>
      </c>
      <c r="C506" s="695" t="s">
        <v>1062</v>
      </c>
      <c r="D506" s="679"/>
      <c r="E506" s="707"/>
      <c r="F506" s="696"/>
      <c r="G506" s="711"/>
      <c r="H506" s="675"/>
      <c r="I506" s="669"/>
      <c r="J506" s="675"/>
      <c r="K506" s="669"/>
      <c r="L506" s="675"/>
      <c r="M506" s="669"/>
      <c r="N506" s="675"/>
      <c r="O506" s="669"/>
      <c r="P506" s="675"/>
      <c r="Q506" s="669"/>
      <c r="R506" s="675"/>
      <c r="S506" s="669"/>
      <c r="T506" s="675"/>
      <c r="U506" s="669"/>
      <c r="V506" s="675"/>
      <c r="W506" s="669"/>
      <c r="X506" s="675"/>
      <c r="Y506" s="669"/>
      <c r="Z506" s="675"/>
      <c r="AA506" s="463">
        <f t="shared" si="154"/>
        <v>0</v>
      </c>
      <c r="AB506" s="675"/>
      <c r="AC506" s="712"/>
      <c r="AD506" s="675"/>
      <c r="AE506" s="712"/>
      <c r="AF506" s="675"/>
      <c r="AG506" s="712"/>
      <c r="AH506" s="675"/>
      <c r="AI506" s="712"/>
      <c r="AJ506" s="454">
        <f t="shared" si="149"/>
        <v>0</v>
      </c>
      <c r="AK506" s="445"/>
      <c r="AL506" s="1456"/>
      <c r="AM506" s="31" t="str">
        <f>CONCATENATE(IF(D505&gt;0," * F01-12 for Age "&amp;D492&amp;" "&amp;D493&amp;" has a value greater than 0"&amp;CHAR(10),""),IF(E505&gt;0," * F01-12 for Age "&amp;D492&amp;" "&amp;E493&amp;" has a value greater than 0"&amp;CHAR(10),""),IF(D506&gt;0," * F01-13 for Age "&amp;D492&amp;" "&amp;D493&amp;" has a value greater than 0"&amp;CHAR(10),""),IF(E506&gt;0," * F01-13 for Age "&amp;D492&amp;" "&amp;E493&amp;" has a value greater than 0"&amp;CHAR(10),""),IF(D568&gt;0," * F01-14 for Age "&amp;D492&amp;" "&amp;D493&amp;" has a value greater than 0"&amp;CHAR(10),""),IF(E568&gt;0," * F01-14 for Age "&amp;D492&amp;" "&amp;E493&amp;" has a value greater than 0"&amp;CHAR(10),""),IF(D569&gt;0," * F01-15 for Age "&amp;D492&amp;" "&amp;D493&amp;" has a value greater than 0"&amp;CHAR(10),""),IF(E569&gt;0," * F01-15 for Age "&amp;D492&amp;" "&amp;E493&amp;" has a value greater than 0"&amp;CHAR(10),""),IF(D574&gt;0," * F01-20 for Age "&amp;D492&amp;" "&amp;D493&amp;" has a value greater than 0"&amp;CHAR(10),""),IF(E574&gt;0," * F01-20 for Age "&amp;D492&amp;" "&amp;E493&amp;" has a value greater than 0"&amp;CHAR(10),""),IF(D575&gt;0," * F01-21 for Age "&amp;D492&amp;" "&amp;D493&amp;" has a value greater than 0"&amp;CHAR(10),""),IF(E575&gt;0," * F01-21 for Age "&amp;D492&amp;" "&amp;E493&amp;" has a value greater than 0"&amp;CHAR(10),""),IF(D576&gt;0," * F01-22 for Age "&amp;D492&amp;" "&amp;D493&amp;" has a value greater than 0"&amp;CHAR(10),""),IF(E576&gt;0," * F01-22 for Age "&amp;D492&amp;" "&amp;E493&amp;" has a value greater than 0"&amp;CHAR(10),""),IF(D577&gt;0," * F01-23 for Age "&amp;D492&amp;" "&amp;D493&amp;" has a value greater than 0"&amp;CHAR(10),""),IF(E577&gt;0," * F01-23 for Age "&amp;D492&amp;" "&amp;E493&amp;" has a value greater than 0"&amp;CHAR(10),""),"")</f>
        <v/>
      </c>
      <c r="AN506" s="744"/>
      <c r="AO506" s="13">
        <v>33</v>
      </c>
      <c r="AP506" s="81"/>
      <c r="AQ506" s="82"/>
    </row>
    <row r="507" spans="1:43" s="83" customFormat="1" ht="26.25" x14ac:dyDescent="0.4">
      <c r="A507" s="1203" t="s">
        <v>1026</v>
      </c>
      <c r="B507" s="689" t="s">
        <v>128</v>
      </c>
      <c r="C507" s="693" t="s">
        <v>1063</v>
      </c>
      <c r="D507" s="676"/>
      <c r="E507" s="704"/>
      <c r="F507" s="676">
        <f>F309+F311+F313+F315+F317+F319+F321</f>
        <v>0</v>
      </c>
      <c r="G507" s="688">
        <f t="shared" ref="G507:AI507" si="156">G309+G311+G313+G315+G317+G319+G321+G323</f>
        <v>0</v>
      </c>
      <c r="H507" s="688">
        <f t="shared" si="156"/>
        <v>0</v>
      </c>
      <c r="I507" s="688">
        <f t="shared" si="156"/>
        <v>0</v>
      </c>
      <c r="J507" s="688">
        <f t="shared" si="156"/>
        <v>0</v>
      </c>
      <c r="K507" s="688">
        <f t="shared" si="156"/>
        <v>0</v>
      </c>
      <c r="L507" s="688">
        <f t="shared" si="156"/>
        <v>0</v>
      </c>
      <c r="M507" s="688">
        <f t="shared" si="156"/>
        <v>0</v>
      </c>
      <c r="N507" s="688">
        <f t="shared" si="156"/>
        <v>0</v>
      </c>
      <c r="O507" s="688">
        <f t="shared" si="156"/>
        <v>0</v>
      </c>
      <c r="P507" s="688">
        <f t="shared" si="156"/>
        <v>0</v>
      </c>
      <c r="Q507" s="688">
        <f t="shared" si="156"/>
        <v>0</v>
      </c>
      <c r="R507" s="688">
        <f t="shared" si="156"/>
        <v>0</v>
      </c>
      <c r="S507" s="688">
        <f t="shared" si="156"/>
        <v>0</v>
      </c>
      <c r="T507" s="688">
        <f t="shared" si="156"/>
        <v>0</v>
      </c>
      <c r="U507" s="688">
        <f t="shared" si="156"/>
        <v>0</v>
      </c>
      <c r="V507" s="688">
        <f t="shared" si="156"/>
        <v>0</v>
      </c>
      <c r="W507" s="688">
        <f t="shared" si="156"/>
        <v>0</v>
      </c>
      <c r="X507" s="688">
        <f t="shared" si="156"/>
        <v>0</v>
      </c>
      <c r="Y507" s="688">
        <f t="shared" si="156"/>
        <v>0</v>
      </c>
      <c r="Z507" s="688">
        <f t="shared" si="156"/>
        <v>0</v>
      </c>
      <c r="AA507" s="688">
        <f t="shared" si="156"/>
        <v>0</v>
      </c>
      <c r="AB507" s="688">
        <f t="shared" si="156"/>
        <v>0</v>
      </c>
      <c r="AC507" s="688">
        <f t="shared" si="156"/>
        <v>0</v>
      </c>
      <c r="AD507" s="688">
        <f t="shared" si="156"/>
        <v>0</v>
      </c>
      <c r="AE507" s="688">
        <f t="shared" si="156"/>
        <v>0</v>
      </c>
      <c r="AF507" s="688">
        <f t="shared" si="156"/>
        <v>0</v>
      </c>
      <c r="AG507" s="688">
        <f t="shared" si="156"/>
        <v>0</v>
      </c>
      <c r="AH507" s="688">
        <f t="shared" si="156"/>
        <v>0</v>
      </c>
      <c r="AI507" s="688">
        <f t="shared" si="156"/>
        <v>0</v>
      </c>
      <c r="AJ507" s="451">
        <f t="shared" si="149"/>
        <v>0</v>
      </c>
      <c r="AK507" s="512" t="str">
        <f>CONCATENATE(IF((D508+D509+D510+D511)&lt;&gt;D507," * "&amp;$A507&amp;" , "&amp;$B508&amp;" plus "&amp;$B509&amp;" plus "&amp;$B510&amp;" plus "&amp;$B511&amp;" For age "&amp;$D$20&amp;" "&amp;$D$21&amp;" should be equal to "&amp;$B507&amp;""&amp;CHAR(10),""),IF((E508+E509+E510+E511)&lt;&gt;E507," * "&amp;$A507&amp;" , "&amp;$B508&amp;" plus "&amp;$B509&amp;" plus "&amp;$B510&amp;" plus "&amp;$B511&amp;" For age "&amp;$D$20&amp;" "&amp;$E$21&amp;" should be equal to "&amp;$B507&amp;""&amp;CHAR(10),""),IF((F508+F509+F510+F511)&lt;&gt;F507," * "&amp;$A507&amp;" , "&amp;$B508&amp;" plus "&amp;$B509&amp;" plus "&amp;$B510&amp;" plus "&amp;$B511&amp;" For age "&amp;$F$20&amp;" "&amp;$F$21&amp;" should be equal to "&amp;$B507&amp;""&amp;CHAR(10),""),IF((G508+G509+G510+G511)&lt;&gt;G507," * "&amp;$A507&amp;" , "&amp;$B508&amp;" plus "&amp;$B509&amp;" plus "&amp;$B510&amp;" plus "&amp;$B511&amp;" For age "&amp;$F$20&amp;" "&amp;$G$21&amp;" should be equal to "&amp;$B507&amp;""&amp;CHAR(10),""),IF((H508+H509+H510+H511)&lt;&gt;H507," * "&amp;$A507&amp;" , "&amp;$B508&amp;" plus "&amp;$B509&amp;" plus "&amp;$B510&amp;" plus "&amp;$B511&amp;" For age "&amp;$H$20&amp;" "&amp;$H$21&amp;" should be equal to "&amp;$B507&amp;""&amp;CHAR(10),""),IF((I508+I509+I510+I511)&lt;&gt;I507," * "&amp;$A507&amp;" , "&amp;$B508&amp;" plus "&amp;$B509&amp;" plus "&amp;$B510&amp;" plus "&amp;$B511&amp;" For age "&amp;$H$20&amp;" "&amp;$I$21&amp;" should be equal to "&amp;$B507&amp;""&amp;CHAR(10),""),IF((J508+J509+J510+J511)&lt;&gt;J507," * "&amp;$A507&amp;" , "&amp;$B508&amp;" plus "&amp;$B509&amp;" plus "&amp;$B510&amp;" plus "&amp;$B511&amp;" For age "&amp;$J$20&amp;" "&amp;$J$21&amp;" should be equal to "&amp;$B507&amp;""&amp;CHAR(10),""),IF((K508+K509+K510+K511)&lt;&gt;K507," * "&amp;$A507&amp;" , "&amp;$B508&amp;" plus "&amp;$B509&amp;" plus "&amp;$B510&amp;" plus "&amp;$B511&amp;" For age "&amp;$J$20&amp;" "&amp;$K$21&amp;" should be equal to "&amp;$B507&amp;""&amp;CHAR(10),""),IF((L508+L509+L510+L511)&lt;&gt;L507," * "&amp;$A507&amp;" , "&amp;$B508&amp;" plus "&amp;$B509&amp;" plus "&amp;$B510&amp;" plus "&amp;$B511&amp;" For age "&amp;$L$20&amp;" "&amp;$L$21&amp;" should be equal to "&amp;$B507&amp;""&amp;CHAR(10),""),IF((M508+M509+M510+M511)&lt;&gt;M507," * "&amp;$A507&amp;" , "&amp;$B508&amp;" plus "&amp;$B509&amp;" plus "&amp;$B510&amp;" plus "&amp;$B511&amp;" For age "&amp;$L$20&amp;" "&amp;$M$21&amp;" should be equal to "&amp;$B507&amp;""&amp;CHAR(10),""),IF((N508+N509+N510+N511)&lt;&gt;N507," * "&amp;$A507&amp;" , "&amp;$B508&amp;" plus "&amp;$B509&amp;" plus "&amp;$B510&amp;" plus "&amp;$B511&amp;" For age "&amp;$N$20&amp;" "&amp;$N$21&amp;" should be equal to "&amp;$B507&amp;""&amp;CHAR(10),""),IF((O508+O509+O510+O511)&lt;&gt;O507," * "&amp;$A507&amp;" , "&amp;$B508&amp;" plus "&amp;$B509&amp;" plus "&amp;$B510&amp;" plus "&amp;$B511&amp;" For age "&amp;$N$20&amp;" "&amp;$O$21&amp;" should be equal to "&amp;$B507&amp;""&amp;CHAR(10),""),IF((P508+P509+P510+P511)&lt;&gt;P507," * "&amp;$A507&amp;" , "&amp;$B508&amp;" plus "&amp;$B509&amp;" plus "&amp;$B510&amp;" plus "&amp;$B511&amp;" For age "&amp;$P$20&amp;" "&amp;$P$21&amp;" should be equal to "&amp;$B507&amp;""&amp;CHAR(10),""),IF((Q508+Q509+Q510+Q511)&lt;&gt;Q507," * "&amp;$A507&amp;" , "&amp;$B508&amp;" plus "&amp;$B509&amp;" plus "&amp;$B510&amp;" plus "&amp;$B511&amp;" For age "&amp;$P$20&amp;" "&amp;$Q$21&amp;" should be equal to "&amp;$B507&amp;""&amp;CHAR(10),""),IF((R508+R509+R510+R511)&lt;&gt;R507," * "&amp;$A507&amp;" , "&amp;$B508&amp;" plus "&amp;$B509&amp;" plus "&amp;$B510&amp;" plus "&amp;$B511&amp;" For age "&amp;$R$20&amp;" "&amp;$R$21&amp;" should be equal to "&amp;$B507&amp;""&amp;CHAR(10),""),IF((S508+S509+S510+S511)&lt;&gt;S507," * "&amp;$A507&amp;" , "&amp;$B508&amp;" plus "&amp;$B509&amp;" plus "&amp;$B510&amp;" plus "&amp;$B511&amp;" For age "&amp;$R$20&amp;" "&amp;$S$21&amp;" should be equal to "&amp;$B507&amp;""&amp;CHAR(10),""),IF((T508+T509+T510+T511)&lt;&gt;T507," * "&amp;$A507&amp;" , "&amp;$B508&amp;" plus "&amp;$B509&amp;" plus "&amp;$B510&amp;" plus "&amp;$B511&amp;" For age "&amp;$T$20&amp;" "&amp;$T$21&amp;" should be equal to "&amp;$B507&amp;""&amp;CHAR(10),""),IF((U508+U509+U510+U511)&lt;&gt;U507," * "&amp;$A507&amp;" , "&amp;$B508&amp;" plus "&amp;$B509&amp;" plus "&amp;$B510&amp;" plus "&amp;$B511&amp;" For age "&amp;$T$20&amp;" "&amp;$U$21&amp;" should be equal to "&amp;$B507&amp;""&amp;CHAR(10),""),IF((V508+V509+V510+V511)&lt;&gt;V507," * "&amp;$A507&amp;" , "&amp;$B508&amp;" plus "&amp;$B509&amp;" plus "&amp;$B510&amp;" plus "&amp;$B511&amp;" For age "&amp;$V$20&amp;" "&amp;$V$21&amp;" should be equal to "&amp;$B507&amp;""&amp;CHAR(10),""),IF((W508+W509+W510+W511)&lt;&gt;W507," * "&amp;$A507&amp;" , "&amp;$B508&amp;" plus "&amp;$B509&amp;" plus "&amp;$B510&amp;" plus "&amp;$B511&amp;" For age "&amp;$V$20&amp;" "&amp;$W$21&amp;" should be equal to "&amp;$B507&amp;""&amp;CHAR(10),""),IF((X508+X509+X510+X511)&lt;&gt;X507," * "&amp;$A507&amp;" , "&amp;$B508&amp;" plus "&amp;$B509&amp;" plus "&amp;$B510&amp;" plus "&amp;$B511&amp;" For age "&amp;$X$20&amp;" "&amp;$X$21&amp;" should be equal to "&amp;$B507&amp;""&amp;CHAR(10),""),IF((Y508+Y509+Y510+Y511)&lt;&gt;Y507," * "&amp;$A507&amp;" , "&amp;$B508&amp;" plus "&amp;$B509&amp;" plus "&amp;$B510&amp;" plus "&amp;$B511&amp;" For age "&amp;$X$20&amp;" "&amp;$Y$21&amp;" should be equal to "&amp;$B507&amp;""&amp;CHAR(10),""),IF((Z508+Z509+Z510+Z511)&lt;&gt;Z507," * "&amp;$A507&amp;" , "&amp;$B508&amp;" plus "&amp;$B509&amp;" plus "&amp;$B510&amp;" plus "&amp;$B511&amp;" For age "&amp;$Z$20&amp;" "&amp;$Z$21&amp;" should be equal to "&amp;$B507&amp;""&amp;CHAR(10),""),IF((AA508+AA509+AA510+AA511)&lt;&gt;AA507," * "&amp;$A507&amp;" , "&amp;$B508&amp;" plus "&amp;$B509&amp;" plus "&amp;$B510&amp;" plus "&amp;$B511&amp;" For age "&amp;$Z$20&amp;" "&amp;$AA$21&amp;" should be equal to "&amp;$B507&amp;""&amp;CHAR(10),""))</f>
        <v/>
      </c>
      <c r="AL507" s="1456"/>
      <c r="AM507" s="31"/>
      <c r="AN507" s="744"/>
      <c r="AO507" s="13">
        <v>31</v>
      </c>
      <c r="AP507" s="81"/>
      <c r="AQ507" s="82"/>
    </row>
    <row r="508" spans="1:43" s="83" customFormat="1" ht="26.25" x14ac:dyDescent="0.4">
      <c r="A508" s="1204"/>
      <c r="B508" s="690" t="s">
        <v>1022</v>
      </c>
      <c r="C508" s="694" t="s">
        <v>1064</v>
      </c>
      <c r="D508" s="586"/>
      <c r="E508" s="705"/>
      <c r="F508" s="678"/>
      <c r="G508" s="518"/>
      <c r="H508" s="670"/>
      <c r="I508" s="455"/>
      <c r="J508" s="670"/>
      <c r="K508" s="455"/>
      <c r="L508" s="670"/>
      <c r="M508" s="455"/>
      <c r="N508" s="670"/>
      <c r="O508" s="455"/>
      <c r="P508" s="670"/>
      <c r="Q508" s="455"/>
      <c r="R508" s="670"/>
      <c r="S508" s="455"/>
      <c r="T508" s="670"/>
      <c r="U508" s="455"/>
      <c r="V508" s="670"/>
      <c r="W508" s="455"/>
      <c r="X508" s="670"/>
      <c r="Y508" s="455"/>
      <c r="Z508" s="670"/>
      <c r="AA508" s="463">
        <f t="shared" si="154"/>
        <v>0</v>
      </c>
      <c r="AB508" s="670"/>
      <c r="AC508" s="684"/>
      <c r="AD508" s="670"/>
      <c r="AE508" s="684"/>
      <c r="AF508" s="670"/>
      <c r="AG508" s="684"/>
      <c r="AH508" s="670"/>
      <c r="AI508" s="684"/>
      <c r="AJ508" s="452">
        <f t="shared" si="149"/>
        <v>0</v>
      </c>
      <c r="AK508" s="1206"/>
      <c r="AL508" s="1456"/>
      <c r="AM508" s="31" t="str">
        <f>CONCATENATE(IF(AND(IFERROR((AJ509*100)/AJ508,0)&gt;10,AJ509&gt;5)," * This facility has a high positivity rate for Index Testing. Kindly confirm if this is the true reflection"&amp;CHAR(10),""),"")</f>
        <v/>
      </c>
      <c r="AN508" s="744"/>
      <c r="AO508" s="13">
        <v>32</v>
      </c>
      <c r="AP508" s="81"/>
      <c r="AQ508" s="82"/>
    </row>
    <row r="509" spans="1:43" s="83" customFormat="1" ht="26.25" x14ac:dyDescent="0.4">
      <c r="A509" s="1204"/>
      <c r="B509" s="690" t="s">
        <v>1003</v>
      </c>
      <c r="C509" s="694" t="s">
        <v>1065</v>
      </c>
      <c r="D509" s="678"/>
      <c r="E509" s="706"/>
      <c r="F509" s="678"/>
      <c r="G509" s="518"/>
      <c r="H509" s="670"/>
      <c r="I509" s="455"/>
      <c r="J509" s="670"/>
      <c r="K509" s="455"/>
      <c r="L509" s="670"/>
      <c r="M509" s="455"/>
      <c r="N509" s="670"/>
      <c r="O509" s="455"/>
      <c r="P509" s="670"/>
      <c r="Q509" s="455"/>
      <c r="R509" s="670"/>
      <c r="S509" s="455"/>
      <c r="T509" s="670"/>
      <c r="U509" s="455"/>
      <c r="V509" s="670"/>
      <c r="W509" s="455"/>
      <c r="X509" s="670"/>
      <c r="Y509" s="455"/>
      <c r="Z509" s="670"/>
      <c r="AA509" s="463">
        <f t="shared" si="154"/>
        <v>0</v>
      </c>
      <c r="AB509" s="670"/>
      <c r="AC509" s="684"/>
      <c r="AD509" s="670"/>
      <c r="AE509" s="684"/>
      <c r="AF509" s="670"/>
      <c r="AG509" s="684"/>
      <c r="AH509" s="670"/>
      <c r="AI509" s="684"/>
      <c r="AJ509" s="453">
        <f t="shared" si="149"/>
        <v>0</v>
      </c>
      <c r="AK509" s="1206"/>
      <c r="AL509" s="1456"/>
      <c r="AM509" s="31" t="str">
        <f>CONCATENATE(IF(D508&gt;0," * F01-12 for Age "&amp;D495&amp;" "&amp;D496&amp;" has a value greater than 0"&amp;CHAR(10),""),IF(E508&gt;0," * F01-12 for Age "&amp;D495&amp;" "&amp;E496&amp;" has a value greater than 0"&amp;CHAR(10),""),IF(D509&gt;0," * F01-13 for Age "&amp;D495&amp;" "&amp;D496&amp;" has a value greater than 0"&amp;CHAR(10),""),IF(E509&gt;0," * F01-13 for Age "&amp;D495&amp;" "&amp;E496&amp;" has a value greater than 0"&amp;CHAR(10),""),IF(D572&gt;0," * F01-15 for Age "&amp;D495&amp;" "&amp;D496&amp;" has a value greater than 0"&amp;CHAR(10),""),IF(E572&gt;0," * F01-15 for Age "&amp;D495&amp;" "&amp;E496&amp;" has a value greater than 0"&amp;CHAR(10),""),IF(D577&gt;0," * F01-20 for Age "&amp;D495&amp;" "&amp;D496&amp;" has a value greater than 0"&amp;CHAR(10),""),IF(E577&gt;0," * F01-20 for Age "&amp;D495&amp;" "&amp;E496&amp;" has a value greater than 0"&amp;CHAR(10),""),IF(D578&gt;0," * F01-21 for Age "&amp;D495&amp;" "&amp;D496&amp;" has a value greater than 0"&amp;CHAR(10),""),IF(E578&gt;0," * F01-21 for Age "&amp;D495&amp;" "&amp;E496&amp;" has a value greater than 0"&amp;CHAR(10),""),IF(D579&gt;0," * F01-22 for Age "&amp;D495&amp;" "&amp;D496&amp;" has a value greater than 0"&amp;CHAR(10),""),IF(E579&gt;0," * F01-22 for Age "&amp;D495&amp;" "&amp;E496&amp;" has a value greater than 0"&amp;CHAR(10),""),IF(D580&gt;0," * F01-23 for Age "&amp;D495&amp;" "&amp;D496&amp;" has a value greater than 0"&amp;CHAR(10),""),IF(E580&gt;0," * F01-23 for Age "&amp;D495&amp;" "&amp;E496&amp;" has a value greater than 0"&amp;CHAR(10),""),"")</f>
        <v/>
      </c>
      <c r="AN509" s="744"/>
      <c r="AO509" s="13">
        <v>33</v>
      </c>
      <c r="AP509" s="81"/>
      <c r="AQ509" s="82"/>
    </row>
    <row r="510" spans="1:43" s="83" customFormat="1" ht="26.25" x14ac:dyDescent="0.4">
      <c r="A510" s="1204"/>
      <c r="B510" s="690" t="s">
        <v>1005</v>
      </c>
      <c r="C510" s="694" t="s">
        <v>1066</v>
      </c>
      <c r="D510" s="678"/>
      <c r="E510" s="706"/>
      <c r="F510" s="678"/>
      <c r="G510" s="518"/>
      <c r="H510" s="670"/>
      <c r="I510" s="455"/>
      <c r="J510" s="670"/>
      <c r="K510" s="455"/>
      <c r="L510" s="670"/>
      <c r="M510" s="455"/>
      <c r="N510" s="670"/>
      <c r="O510" s="455"/>
      <c r="P510" s="670"/>
      <c r="Q510" s="455"/>
      <c r="R510" s="670"/>
      <c r="S510" s="455"/>
      <c r="T510" s="670"/>
      <c r="U510" s="455"/>
      <c r="V510" s="670"/>
      <c r="W510" s="455"/>
      <c r="X510" s="670"/>
      <c r="Y510" s="455"/>
      <c r="Z510" s="670"/>
      <c r="AA510" s="463">
        <f t="shared" si="154"/>
        <v>0</v>
      </c>
      <c r="AB510" s="670"/>
      <c r="AC510" s="684"/>
      <c r="AD510" s="670"/>
      <c r="AE510" s="684"/>
      <c r="AF510" s="670"/>
      <c r="AG510" s="684"/>
      <c r="AH510" s="670"/>
      <c r="AI510" s="684"/>
      <c r="AJ510" s="453">
        <f t="shared" si="149"/>
        <v>0</v>
      </c>
      <c r="AK510" s="445"/>
      <c r="AL510" s="1456"/>
      <c r="AM510" s="31" t="str">
        <f>CONCATENATE(IF(D509&gt;0," * F01-12 for Age "&amp;D496&amp;" "&amp;D497&amp;" has a value greater than 0"&amp;CHAR(10),""),IF(E509&gt;0," * F01-12 for Age "&amp;D496&amp;" "&amp;E497&amp;" has a value greater than 0"&amp;CHAR(10),""),IF(D510&gt;0," * F01-13 for Age "&amp;D496&amp;" "&amp;D497&amp;" has a value greater than 0"&amp;CHAR(10),""),IF(E510&gt;0," * F01-13 for Age "&amp;D496&amp;" "&amp;E497&amp;" has a value greater than 0"&amp;CHAR(10),""),IF(D572&gt;0," * F01-14 for Age "&amp;D496&amp;" "&amp;D497&amp;" has a value greater than 0"&amp;CHAR(10),""),IF(E572&gt;0," * F01-14 for Age "&amp;D496&amp;" "&amp;E497&amp;" has a value greater than 0"&amp;CHAR(10),""),IF(D573&gt;0," * F01-15 for Age "&amp;D496&amp;" "&amp;D497&amp;" has a value greater than 0"&amp;CHAR(10),""),IF(E573&gt;0," * F01-15 for Age "&amp;D496&amp;" "&amp;E497&amp;" has a value greater than 0"&amp;CHAR(10),""),IF(D578&gt;0," * F01-20 for Age "&amp;D496&amp;" "&amp;D497&amp;" has a value greater than 0"&amp;CHAR(10),""),IF(E578&gt;0," * F01-20 for Age "&amp;D496&amp;" "&amp;E497&amp;" has a value greater than 0"&amp;CHAR(10),""),IF(D579&gt;0," * F01-21 for Age "&amp;D496&amp;" "&amp;D497&amp;" has a value greater than 0"&amp;CHAR(10),""),IF(E579&gt;0," * F01-21 for Age "&amp;D496&amp;" "&amp;E497&amp;" has a value greater than 0"&amp;CHAR(10),""),IF(D580&gt;0," * F01-22 for Age "&amp;D496&amp;" "&amp;D497&amp;" has a value greater than 0"&amp;CHAR(10),""),IF(E580&gt;0," * F01-22 for Age "&amp;D496&amp;" "&amp;E497&amp;" has a value greater than 0"&amp;CHAR(10),""),IF(D581&gt;0," * F01-23 for Age "&amp;D496&amp;" "&amp;D497&amp;" has a value greater than 0"&amp;CHAR(10),""),IF(E581&gt;0," * F01-23 for Age "&amp;D496&amp;" "&amp;E497&amp;" has a value greater than 0"&amp;CHAR(10),""),"")</f>
        <v/>
      </c>
      <c r="AN510" s="744"/>
      <c r="AO510" s="13">
        <v>33</v>
      </c>
      <c r="AP510" s="81"/>
      <c r="AQ510" s="82"/>
    </row>
    <row r="511" spans="1:43" s="83" customFormat="1" ht="27" thickBot="1" x14ac:dyDescent="0.45">
      <c r="A511" s="1205"/>
      <c r="B511" s="691" t="s">
        <v>1007</v>
      </c>
      <c r="C511" s="695" t="s">
        <v>1067</v>
      </c>
      <c r="D511" s="679"/>
      <c r="E511" s="707"/>
      <c r="F511" s="714"/>
      <c r="G511" s="520"/>
      <c r="H511" s="685"/>
      <c r="I511" s="516"/>
      <c r="J511" s="685"/>
      <c r="K511" s="516"/>
      <c r="L511" s="685"/>
      <c r="M511" s="516"/>
      <c r="N511" s="685"/>
      <c r="O511" s="516"/>
      <c r="P511" s="685"/>
      <c r="Q511" s="516"/>
      <c r="R511" s="685"/>
      <c r="S511" s="516"/>
      <c r="T511" s="685"/>
      <c r="U511" s="516"/>
      <c r="V511" s="685"/>
      <c r="W511" s="516"/>
      <c r="X511" s="685"/>
      <c r="Y511" s="516"/>
      <c r="Z511" s="685"/>
      <c r="AA511" s="463">
        <f t="shared" si="154"/>
        <v>0</v>
      </c>
      <c r="AB511" s="685"/>
      <c r="AC511" s="686"/>
      <c r="AD511" s="685"/>
      <c r="AE511" s="686"/>
      <c r="AF511" s="685"/>
      <c r="AG511" s="686"/>
      <c r="AH511" s="685"/>
      <c r="AI511" s="686"/>
      <c r="AJ511" s="454">
        <f t="shared" ref="AJ511:AJ516" si="157">SUM(D511:AA511)</f>
        <v>0</v>
      </c>
      <c r="AK511" s="445"/>
      <c r="AL511" s="1456"/>
      <c r="AM511" s="31" t="str">
        <f>CONCATENATE(IF(D510&gt;0," * F01-12 for Age "&amp;D497&amp;" "&amp;D498&amp;" has a value greater than 0"&amp;CHAR(10),""),IF(E510&gt;0," * F01-12 for Age "&amp;D497&amp;" "&amp;E498&amp;" has a value greater than 0"&amp;CHAR(10),""),IF(D511&gt;0," * F01-13 for Age "&amp;D497&amp;" "&amp;D498&amp;" has a value greater than 0"&amp;CHAR(10),""),IF(E511&gt;0," * F01-13 for Age "&amp;D497&amp;" "&amp;E498&amp;" has a value greater than 0"&amp;CHAR(10),""),IF(D573&gt;0," * F01-14 for Age "&amp;D497&amp;" "&amp;D498&amp;" has a value greater than 0"&amp;CHAR(10),""),IF(E573&gt;0," * F01-14 for Age "&amp;D497&amp;" "&amp;E498&amp;" has a value greater than 0"&amp;CHAR(10),""),IF(D574&gt;0," * F01-15 for Age "&amp;D497&amp;" "&amp;D498&amp;" has a value greater than 0"&amp;CHAR(10),""),IF(E574&gt;0," * F01-15 for Age "&amp;D497&amp;" "&amp;E498&amp;" has a value greater than 0"&amp;CHAR(10),""),IF(D579&gt;0," * F01-20 for Age "&amp;D497&amp;" "&amp;D498&amp;" has a value greater than 0"&amp;CHAR(10),""),IF(E579&gt;0," * F01-20 for Age "&amp;D497&amp;" "&amp;E498&amp;" has a value greater than 0"&amp;CHAR(10),""),IF(D580&gt;0," * F01-21 for Age "&amp;D497&amp;" "&amp;D498&amp;" has a value greater than 0"&amp;CHAR(10),""),IF(E580&gt;0," * F01-21 for Age "&amp;D497&amp;" "&amp;E498&amp;" has a value greater than 0"&amp;CHAR(10),""),IF(D581&gt;0," * F01-22 for Age "&amp;D497&amp;" "&amp;D498&amp;" has a value greater than 0"&amp;CHAR(10),""),IF(E581&gt;0," * F01-22 for Age "&amp;D497&amp;" "&amp;E498&amp;" has a value greater than 0"&amp;CHAR(10),""),IF(D582&gt;0," * F01-23 for Age "&amp;D497&amp;" "&amp;D498&amp;" has a value greater than 0"&amp;CHAR(10),""),IF(E582&gt;0," * F01-23 for Age "&amp;D497&amp;" "&amp;E498&amp;" has a value greater than 0"&amp;CHAR(10),""),"")</f>
        <v/>
      </c>
      <c r="AN511" s="744"/>
      <c r="AO511" s="13">
        <v>33</v>
      </c>
      <c r="AP511" s="81"/>
      <c r="AQ511" s="82"/>
    </row>
    <row r="512" spans="1:43" s="83" customFormat="1" ht="26.25" x14ac:dyDescent="0.4">
      <c r="A512" s="1203" t="s">
        <v>1073</v>
      </c>
      <c r="B512" s="450" t="s">
        <v>128</v>
      </c>
      <c r="C512" s="672" t="s">
        <v>1068</v>
      </c>
      <c r="D512" s="676"/>
      <c r="E512" s="704"/>
      <c r="F512" s="708">
        <f>F452+F457+F462+F467+F472+F477+F482+F487+F492+F497+F502+F507</f>
        <v>0</v>
      </c>
      <c r="G512" s="687">
        <f t="shared" ref="G512:AA515" si="158">G452+G457+G462+G467+G472+G477+G482+G487+G492+G497+G502+G507</f>
        <v>0</v>
      </c>
      <c r="H512" s="687">
        <f t="shared" si="158"/>
        <v>0</v>
      </c>
      <c r="I512" s="687">
        <f t="shared" si="158"/>
        <v>0</v>
      </c>
      <c r="J512" s="687">
        <f t="shared" si="158"/>
        <v>0</v>
      </c>
      <c r="K512" s="687">
        <f t="shared" si="158"/>
        <v>0</v>
      </c>
      <c r="L512" s="687">
        <f t="shared" si="158"/>
        <v>0</v>
      </c>
      <c r="M512" s="687">
        <f t="shared" si="158"/>
        <v>0</v>
      </c>
      <c r="N512" s="687">
        <f t="shared" si="158"/>
        <v>0</v>
      </c>
      <c r="O512" s="687">
        <f t="shared" si="158"/>
        <v>0</v>
      </c>
      <c r="P512" s="687">
        <f t="shared" si="158"/>
        <v>0</v>
      </c>
      <c r="Q512" s="687">
        <f t="shared" si="158"/>
        <v>0</v>
      </c>
      <c r="R512" s="687">
        <f t="shared" si="158"/>
        <v>0</v>
      </c>
      <c r="S512" s="687">
        <f t="shared" si="158"/>
        <v>0</v>
      </c>
      <c r="T512" s="687">
        <f t="shared" si="158"/>
        <v>0</v>
      </c>
      <c r="U512" s="687">
        <f t="shared" si="158"/>
        <v>0</v>
      </c>
      <c r="V512" s="687">
        <f t="shared" si="158"/>
        <v>0</v>
      </c>
      <c r="W512" s="687">
        <f t="shared" si="158"/>
        <v>0</v>
      </c>
      <c r="X512" s="687">
        <f t="shared" si="158"/>
        <v>0</v>
      </c>
      <c r="Y512" s="687">
        <f t="shared" si="158"/>
        <v>0</v>
      </c>
      <c r="Z512" s="687">
        <f t="shared" si="158"/>
        <v>0</v>
      </c>
      <c r="AA512" s="713">
        <f t="shared" si="158"/>
        <v>0</v>
      </c>
      <c r="AB512" s="687">
        <f t="shared" ref="AB512:AI512" si="159">AB452+AB457+AB462+AB467+AB472+AB477+AB482+AB487+AB492+AB497+AB502+AB507</f>
        <v>0</v>
      </c>
      <c r="AC512" s="713">
        <f t="shared" si="159"/>
        <v>0</v>
      </c>
      <c r="AD512" s="687">
        <f t="shared" si="159"/>
        <v>0</v>
      </c>
      <c r="AE512" s="713">
        <f t="shared" si="159"/>
        <v>0</v>
      </c>
      <c r="AF512" s="687">
        <f t="shared" si="159"/>
        <v>0</v>
      </c>
      <c r="AG512" s="713">
        <f t="shared" si="159"/>
        <v>0</v>
      </c>
      <c r="AH512" s="687">
        <f t="shared" si="159"/>
        <v>0</v>
      </c>
      <c r="AI512" s="713">
        <f t="shared" si="159"/>
        <v>0</v>
      </c>
      <c r="AJ512" s="451">
        <f t="shared" si="157"/>
        <v>0</v>
      </c>
      <c r="AK512" s="443"/>
      <c r="AL512" s="1456"/>
      <c r="AM512" s="31"/>
      <c r="AN512" s="744"/>
      <c r="AO512" s="13">
        <v>31</v>
      </c>
      <c r="AP512" s="81"/>
      <c r="AQ512" s="82"/>
    </row>
    <row r="513" spans="1:43" s="83" customFormat="1" ht="26.25" x14ac:dyDescent="0.4">
      <c r="A513" s="1204"/>
      <c r="B513" s="447" t="s">
        <v>1022</v>
      </c>
      <c r="C513" s="673" t="s">
        <v>1069</v>
      </c>
      <c r="D513" s="586"/>
      <c r="E513" s="705"/>
      <c r="F513" s="709">
        <f>F453+F458+F463+F468+F473+F478+F483+F488+F493+F498+F503+F508</f>
        <v>0</v>
      </c>
      <c r="G513" s="671">
        <f t="shared" ref="G513:U513" si="160">G453+G458+G463+G468+G473+G478+G483+G488+G493+G498+G503+G508</f>
        <v>0</v>
      </c>
      <c r="H513" s="671">
        <f t="shared" si="160"/>
        <v>0</v>
      </c>
      <c r="I513" s="671">
        <f t="shared" si="160"/>
        <v>0</v>
      </c>
      <c r="J513" s="671">
        <f t="shared" si="160"/>
        <v>0</v>
      </c>
      <c r="K513" s="671">
        <f t="shared" si="160"/>
        <v>0</v>
      </c>
      <c r="L513" s="671">
        <f t="shared" si="160"/>
        <v>0</v>
      </c>
      <c r="M513" s="671">
        <f t="shared" si="160"/>
        <v>0</v>
      </c>
      <c r="N513" s="671">
        <f t="shared" si="160"/>
        <v>0</v>
      </c>
      <c r="O513" s="671">
        <f t="shared" si="160"/>
        <v>0</v>
      </c>
      <c r="P513" s="671">
        <f t="shared" si="160"/>
        <v>0</v>
      </c>
      <c r="Q513" s="671">
        <f t="shared" si="160"/>
        <v>0</v>
      </c>
      <c r="R513" s="671">
        <f t="shared" si="160"/>
        <v>0</v>
      </c>
      <c r="S513" s="671">
        <f t="shared" si="160"/>
        <v>0</v>
      </c>
      <c r="T513" s="671">
        <f t="shared" si="160"/>
        <v>0</v>
      </c>
      <c r="U513" s="671">
        <f t="shared" si="160"/>
        <v>0</v>
      </c>
      <c r="V513" s="671">
        <f t="shared" si="158"/>
        <v>0</v>
      </c>
      <c r="W513" s="671">
        <f t="shared" si="158"/>
        <v>0</v>
      </c>
      <c r="X513" s="671">
        <f t="shared" si="158"/>
        <v>0</v>
      </c>
      <c r="Y513" s="671">
        <f t="shared" si="158"/>
        <v>0</v>
      </c>
      <c r="Z513" s="671">
        <f t="shared" si="158"/>
        <v>0</v>
      </c>
      <c r="AA513" s="677">
        <f t="shared" si="158"/>
        <v>0</v>
      </c>
      <c r="AB513" s="671">
        <f t="shared" ref="AB513:AI513" si="161">AB453+AB458+AB463+AB468+AB473+AB478+AB483+AB488+AB493+AB498+AB503+AB508</f>
        <v>0</v>
      </c>
      <c r="AC513" s="677">
        <f t="shared" si="161"/>
        <v>0</v>
      </c>
      <c r="AD513" s="671">
        <f t="shared" si="161"/>
        <v>0</v>
      </c>
      <c r="AE513" s="677">
        <f t="shared" si="161"/>
        <v>0</v>
      </c>
      <c r="AF513" s="671">
        <f t="shared" si="161"/>
        <v>0</v>
      </c>
      <c r="AG513" s="677">
        <f t="shared" si="161"/>
        <v>0</v>
      </c>
      <c r="AH513" s="671">
        <f t="shared" si="161"/>
        <v>0</v>
      </c>
      <c r="AI513" s="677">
        <f t="shared" si="161"/>
        <v>0</v>
      </c>
      <c r="AJ513" s="452">
        <f t="shared" si="157"/>
        <v>0</v>
      </c>
      <c r="AK513" s="1206"/>
      <c r="AL513" s="1456"/>
      <c r="AM513" s="31" t="str">
        <f>CONCATENATE(IF(AND(IFERROR((AJ514*100)/AJ513,0)&gt;10,AJ514&gt;5)," * This facility has a high positivity rate for Index Testing. Kindly confirm if this is the true reflection"&amp;CHAR(10),""),"")</f>
        <v/>
      </c>
      <c r="AN513" s="744"/>
      <c r="AO513" s="13">
        <v>32</v>
      </c>
      <c r="AP513" s="81"/>
      <c r="AQ513" s="82"/>
    </row>
    <row r="514" spans="1:43" s="83" customFormat="1" ht="26.25" x14ac:dyDescent="0.4">
      <c r="A514" s="1204"/>
      <c r="B514" s="447" t="s">
        <v>1003</v>
      </c>
      <c r="C514" s="673" t="s">
        <v>1070</v>
      </c>
      <c r="D514" s="678"/>
      <c r="E514" s="706"/>
      <c r="F514" s="709">
        <f>F454+F459+F464+F469+F474+F479+F484+F489+F494+F499+F504+F509</f>
        <v>0</v>
      </c>
      <c r="G514" s="671">
        <f t="shared" si="158"/>
        <v>0</v>
      </c>
      <c r="H514" s="671">
        <f t="shared" si="158"/>
        <v>0</v>
      </c>
      <c r="I514" s="671">
        <f t="shared" si="158"/>
        <v>0</v>
      </c>
      <c r="J514" s="671">
        <f t="shared" si="158"/>
        <v>0</v>
      </c>
      <c r="K514" s="671">
        <f t="shared" si="158"/>
        <v>0</v>
      </c>
      <c r="L514" s="671">
        <f t="shared" si="158"/>
        <v>0</v>
      </c>
      <c r="M514" s="671">
        <f t="shared" si="158"/>
        <v>0</v>
      </c>
      <c r="N514" s="671">
        <f t="shared" si="158"/>
        <v>0</v>
      </c>
      <c r="O514" s="671">
        <f t="shared" si="158"/>
        <v>0</v>
      </c>
      <c r="P514" s="671">
        <f t="shared" si="158"/>
        <v>0</v>
      </c>
      <c r="Q514" s="671">
        <f t="shared" si="158"/>
        <v>0</v>
      </c>
      <c r="R514" s="671">
        <f t="shared" si="158"/>
        <v>0</v>
      </c>
      <c r="S514" s="671">
        <f t="shared" si="158"/>
        <v>0</v>
      </c>
      <c r="T514" s="671">
        <f t="shared" si="158"/>
        <v>0</v>
      </c>
      <c r="U514" s="671">
        <f t="shared" si="158"/>
        <v>0</v>
      </c>
      <c r="V514" s="671">
        <f t="shared" si="158"/>
        <v>0</v>
      </c>
      <c r="W514" s="671">
        <f t="shared" si="158"/>
        <v>0</v>
      </c>
      <c r="X514" s="671">
        <f t="shared" si="158"/>
        <v>0</v>
      </c>
      <c r="Y514" s="671">
        <f t="shared" si="158"/>
        <v>0</v>
      </c>
      <c r="Z514" s="671">
        <f t="shared" si="158"/>
        <v>0</v>
      </c>
      <c r="AA514" s="677">
        <f t="shared" si="158"/>
        <v>0</v>
      </c>
      <c r="AB514" s="671">
        <f t="shared" ref="AB514:AI514" si="162">AB454+AB459+AB464+AB469+AB474+AB479+AB484+AB489+AB494+AB499+AB504+AB509</f>
        <v>0</v>
      </c>
      <c r="AC514" s="677">
        <f t="shared" si="162"/>
        <v>0</v>
      </c>
      <c r="AD514" s="671">
        <f t="shared" si="162"/>
        <v>0</v>
      </c>
      <c r="AE514" s="677">
        <f t="shared" si="162"/>
        <v>0</v>
      </c>
      <c r="AF514" s="671">
        <f t="shared" si="162"/>
        <v>0</v>
      </c>
      <c r="AG514" s="677">
        <f t="shared" si="162"/>
        <v>0</v>
      </c>
      <c r="AH514" s="671">
        <f t="shared" si="162"/>
        <v>0</v>
      </c>
      <c r="AI514" s="677">
        <f t="shared" si="162"/>
        <v>0</v>
      </c>
      <c r="AJ514" s="453">
        <f t="shared" si="157"/>
        <v>0</v>
      </c>
      <c r="AK514" s="1206"/>
      <c r="AL514" s="1456"/>
      <c r="AM514" s="31" t="str">
        <f>CONCATENATE(IF(D513&gt;0," * F01-12 for Age "&amp;D500&amp;" "&amp;D501&amp;" has a value greater than 0"&amp;CHAR(10),""),IF(E513&gt;0," * F01-12 for Age "&amp;D500&amp;" "&amp;E501&amp;" has a value greater than 0"&amp;CHAR(10),""),IF(D514&gt;0," * F01-13 for Age "&amp;D500&amp;" "&amp;D501&amp;" has a value greater than 0"&amp;CHAR(10),""),IF(E514&gt;0," * F01-13 for Age "&amp;D500&amp;" "&amp;E501&amp;" has a value greater than 0"&amp;CHAR(10),""),IF(D577&gt;0," * F01-15 for Age "&amp;D500&amp;" "&amp;D501&amp;" has a value greater than 0"&amp;CHAR(10),""),IF(E577&gt;0," * F01-15 for Age "&amp;D500&amp;" "&amp;E501&amp;" has a value greater than 0"&amp;CHAR(10),""),IF(D582&gt;0," * F01-20 for Age "&amp;D500&amp;" "&amp;D501&amp;" has a value greater than 0"&amp;CHAR(10),""),IF(E582&gt;0," * F01-20 for Age "&amp;D500&amp;" "&amp;E501&amp;" has a value greater than 0"&amp;CHAR(10),""),IF(D583&gt;0," * F01-21 for Age "&amp;D500&amp;" "&amp;D501&amp;" has a value greater than 0"&amp;CHAR(10),""),IF(E583&gt;0," * F01-21 for Age "&amp;D500&amp;" "&amp;E501&amp;" has a value greater than 0"&amp;CHAR(10),""),IF(D584&gt;0," * F01-22 for Age "&amp;D500&amp;" "&amp;D501&amp;" has a value greater than 0"&amp;CHAR(10),""),IF(E584&gt;0," * F01-22 for Age "&amp;D500&amp;" "&amp;E501&amp;" has a value greater than 0"&amp;CHAR(10),""),IF(D585&gt;0," * F01-23 for Age "&amp;D500&amp;" "&amp;D501&amp;" has a value greater than 0"&amp;CHAR(10),""),IF(E585&gt;0," * F01-23 for Age "&amp;D500&amp;" "&amp;E501&amp;" has a value greater than 0"&amp;CHAR(10),""),"")</f>
        <v/>
      </c>
      <c r="AN514" s="744"/>
      <c r="AO514" s="13">
        <v>33</v>
      </c>
      <c r="AP514" s="81"/>
      <c r="AQ514" s="82"/>
    </row>
    <row r="515" spans="1:43" s="83" customFormat="1" ht="26.25" x14ac:dyDescent="0.4">
      <c r="A515" s="1204"/>
      <c r="B515" s="447" t="s">
        <v>1005</v>
      </c>
      <c r="C515" s="673" t="s">
        <v>1071</v>
      </c>
      <c r="D515" s="678"/>
      <c r="E515" s="706"/>
      <c r="F515" s="709">
        <f>F455+F460+F465+F470+F475+F480+F485+F490+F495+F500+F505+F510</f>
        <v>0</v>
      </c>
      <c r="G515" s="671">
        <f t="shared" si="158"/>
        <v>0</v>
      </c>
      <c r="H515" s="671">
        <f t="shared" si="158"/>
        <v>0</v>
      </c>
      <c r="I515" s="671">
        <f t="shared" si="158"/>
        <v>0</v>
      </c>
      <c r="J515" s="671">
        <f t="shared" si="158"/>
        <v>0</v>
      </c>
      <c r="K515" s="671">
        <f t="shared" si="158"/>
        <v>0</v>
      </c>
      <c r="L515" s="671">
        <f t="shared" si="158"/>
        <v>0</v>
      </c>
      <c r="M515" s="671">
        <f t="shared" si="158"/>
        <v>0</v>
      </c>
      <c r="N515" s="671">
        <f t="shared" si="158"/>
        <v>0</v>
      </c>
      <c r="O515" s="671">
        <f t="shared" si="158"/>
        <v>0</v>
      </c>
      <c r="P515" s="671">
        <f t="shared" si="158"/>
        <v>0</v>
      </c>
      <c r="Q515" s="671">
        <f t="shared" si="158"/>
        <v>0</v>
      </c>
      <c r="R515" s="671">
        <f t="shared" si="158"/>
        <v>0</v>
      </c>
      <c r="S515" s="671">
        <f t="shared" si="158"/>
        <v>0</v>
      </c>
      <c r="T515" s="671">
        <f t="shared" si="158"/>
        <v>0</v>
      </c>
      <c r="U515" s="671">
        <f t="shared" si="158"/>
        <v>0</v>
      </c>
      <c r="V515" s="671">
        <f t="shared" si="158"/>
        <v>0</v>
      </c>
      <c r="W515" s="671">
        <f t="shared" si="158"/>
        <v>0</v>
      </c>
      <c r="X515" s="671">
        <f t="shared" si="158"/>
        <v>0</v>
      </c>
      <c r="Y515" s="671">
        <f t="shared" si="158"/>
        <v>0</v>
      </c>
      <c r="Z515" s="671">
        <f t="shared" si="158"/>
        <v>0</v>
      </c>
      <c r="AA515" s="677">
        <f t="shared" si="158"/>
        <v>0</v>
      </c>
      <c r="AB515" s="671">
        <f t="shared" ref="AB515:AI515" si="163">AB455+AB460+AB465+AB470+AB475+AB480+AB485+AB490+AB495+AB500+AB505+AB510</f>
        <v>0</v>
      </c>
      <c r="AC515" s="677">
        <f t="shared" si="163"/>
        <v>0</v>
      </c>
      <c r="AD515" s="671">
        <f t="shared" si="163"/>
        <v>0</v>
      </c>
      <c r="AE515" s="677">
        <f t="shared" si="163"/>
        <v>0</v>
      </c>
      <c r="AF515" s="671">
        <f t="shared" si="163"/>
        <v>0</v>
      </c>
      <c r="AG515" s="677">
        <f t="shared" si="163"/>
        <v>0</v>
      </c>
      <c r="AH515" s="671">
        <f t="shared" si="163"/>
        <v>0</v>
      </c>
      <c r="AI515" s="677">
        <f t="shared" si="163"/>
        <v>0</v>
      </c>
      <c r="AJ515" s="453">
        <f t="shared" si="157"/>
        <v>0</v>
      </c>
      <c r="AK515" s="445"/>
      <c r="AL515" s="1456"/>
      <c r="AM515" s="31" t="str">
        <f>CONCATENATE(IF(D514&gt;0," * F01-12 for Age "&amp;D501&amp;" "&amp;D502&amp;" has a value greater than 0"&amp;CHAR(10),""),IF(E514&gt;0," * F01-12 for Age "&amp;D501&amp;" "&amp;E502&amp;" has a value greater than 0"&amp;CHAR(10),""),IF(D515&gt;0," * F01-13 for Age "&amp;D501&amp;" "&amp;D502&amp;" has a value greater than 0"&amp;CHAR(10),""),IF(E515&gt;0," * F01-13 for Age "&amp;D501&amp;" "&amp;E502&amp;" has a value greater than 0"&amp;CHAR(10),""),IF(D577&gt;0," * F01-14 for Age "&amp;D501&amp;" "&amp;D502&amp;" has a value greater than 0"&amp;CHAR(10),""),IF(E577&gt;0," * F01-14 for Age "&amp;D501&amp;" "&amp;E502&amp;" has a value greater than 0"&amp;CHAR(10),""),IF(D578&gt;0," * F01-15 for Age "&amp;D501&amp;" "&amp;D502&amp;" has a value greater than 0"&amp;CHAR(10),""),IF(E578&gt;0," * F01-15 for Age "&amp;D501&amp;" "&amp;E502&amp;" has a value greater than 0"&amp;CHAR(10),""),IF(D583&gt;0," * F01-20 for Age "&amp;D501&amp;" "&amp;D502&amp;" has a value greater than 0"&amp;CHAR(10),""),IF(E583&gt;0," * F01-20 for Age "&amp;D501&amp;" "&amp;E502&amp;" has a value greater than 0"&amp;CHAR(10),""),IF(D584&gt;0," * F01-21 for Age "&amp;D501&amp;" "&amp;D502&amp;" has a value greater than 0"&amp;CHAR(10),""),IF(E584&gt;0," * F01-21 for Age "&amp;D501&amp;" "&amp;E502&amp;" has a value greater than 0"&amp;CHAR(10),""),IF(D585&gt;0," * F01-22 for Age "&amp;D501&amp;" "&amp;D502&amp;" has a value greater than 0"&amp;CHAR(10),""),IF(E585&gt;0," * F01-22 for Age "&amp;D501&amp;" "&amp;E502&amp;" has a value greater than 0"&amp;CHAR(10),""),IF(D586&gt;0," * F01-23 for Age "&amp;D501&amp;" "&amp;D502&amp;" has a value greater than 0"&amp;CHAR(10),""),IF(E586&gt;0," * F01-23 for Age "&amp;D501&amp;" "&amp;E502&amp;" has a value greater than 0"&amp;CHAR(10),""),"")</f>
        <v/>
      </c>
      <c r="AN515" s="744"/>
      <c r="AO515" s="13">
        <v>33</v>
      </c>
      <c r="AP515" s="81"/>
      <c r="AQ515" s="82"/>
    </row>
    <row r="516" spans="1:43" s="83" customFormat="1" ht="27" thickBot="1" x14ac:dyDescent="0.45">
      <c r="A516" s="1205"/>
      <c r="B516" s="513" t="s">
        <v>1007</v>
      </c>
      <c r="C516" s="674" t="s">
        <v>1072</v>
      </c>
      <c r="D516" s="679"/>
      <c r="E516" s="707"/>
      <c r="F516" s="710">
        <f>SUM(F511,F506,F501,F496,F491,F486,F481,F476,F471,F466,F461,F456)</f>
        <v>0</v>
      </c>
      <c r="G516" s="680">
        <f t="shared" ref="G516:AA516" si="164">SUM(G511,G506,G501,G496,G491,G486,G481,G476,G471,G466,G461,G456)</f>
        <v>0</v>
      </c>
      <c r="H516" s="680">
        <f t="shared" si="164"/>
        <v>0</v>
      </c>
      <c r="I516" s="680">
        <f t="shared" si="164"/>
        <v>0</v>
      </c>
      <c r="J516" s="680">
        <f t="shared" si="164"/>
        <v>0</v>
      </c>
      <c r="K516" s="680">
        <f t="shared" si="164"/>
        <v>0</v>
      </c>
      <c r="L516" s="680">
        <f t="shared" si="164"/>
        <v>0</v>
      </c>
      <c r="M516" s="680">
        <f t="shared" si="164"/>
        <v>0</v>
      </c>
      <c r="N516" s="680">
        <f t="shared" si="164"/>
        <v>0</v>
      </c>
      <c r="O516" s="680">
        <f t="shared" si="164"/>
        <v>0</v>
      </c>
      <c r="P516" s="680">
        <f t="shared" si="164"/>
        <v>0</v>
      </c>
      <c r="Q516" s="680">
        <f t="shared" si="164"/>
        <v>0</v>
      </c>
      <c r="R516" s="680">
        <f t="shared" si="164"/>
        <v>0</v>
      </c>
      <c r="S516" s="680">
        <f t="shared" si="164"/>
        <v>0</v>
      </c>
      <c r="T516" s="680">
        <f t="shared" si="164"/>
        <v>0</v>
      </c>
      <c r="U516" s="680">
        <f t="shared" si="164"/>
        <v>0</v>
      </c>
      <c r="V516" s="680">
        <f t="shared" si="164"/>
        <v>0</v>
      </c>
      <c r="W516" s="680">
        <f t="shared" si="164"/>
        <v>0</v>
      </c>
      <c r="X516" s="680">
        <f t="shared" si="164"/>
        <v>0</v>
      </c>
      <c r="Y516" s="680">
        <f t="shared" si="164"/>
        <v>0</v>
      </c>
      <c r="Z516" s="680">
        <f t="shared" si="164"/>
        <v>0</v>
      </c>
      <c r="AA516" s="681">
        <f t="shared" si="164"/>
        <v>0</v>
      </c>
      <c r="AB516" s="680">
        <f t="shared" ref="AB516:AI516" si="165">SUM(AB511,AB506,AB501,AB496,AB491,AB486,AB481,AB476,AB471,AB466,AB461,AB456)</f>
        <v>0</v>
      </c>
      <c r="AC516" s="681">
        <f t="shared" si="165"/>
        <v>0</v>
      </c>
      <c r="AD516" s="680">
        <f t="shared" si="165"/>
        <v>0</v>
      </c>
      <c r="AE516" s="681">
        <f t="shared" si="165"/>
        <v>0</v>
      </c>
      <c r="AF516" s="680">
        <f t="shared" si="165"/>
        <v>0</v>
      </c>
      <c r="AG516" s="681">
        <f t="shared" si="165"/>
        <v>0</v>
      </c>
      <c r="AH516" s="680">
        <f t="shared" si="165"/>
        <v>0</v>
      </c>
      <c r="AI516" s="681">
        <f t="shared" si="165"/>
        <v>0</v>
      </c>
      <c r="AJ516" s="454">
        <f t="shared" si="157"/>
        <v>0</v>
      </c>
      <c r="AK516" s="445"/>
      <c r="AL516" s="1457"/>
      <c r="AM516" s="31" t="str">
        <f>CONCATENATE(IF(D515&gt;0," * F01-12 for Age "&amp;D502&amp;" "&amp;D503&amp;" has a value greater than 0"&amp;CHAR(10),""),IF(E515&gt;0," * F01-12 for Age "&amp;D502&amp;" "&amp;E503&amp;" has a value greater than 0"&amp;CHAR(10),""),IF(D516&gt;0," * F01-13 for Age "&amp;D502&amp;" "&amp;D503&amp;" has a value greater than 0"&amp;CHAR(10),""),IF(E516&gt;0," * F01-13 for Age "&amp;D502&amp;" "&amp;E503&amp;" has a value greater than 0"&amp;CHAR(10),""),IF(D578&gt;0," * F01-14 for Age "&amp;D502&amp;" "&amp;D503&amp;" has a value greater than 0"&amp;CHAR(10),""),IF(E578&gt;0," * F01-14 for Age "&amp;D502&amp;" "&amp;E503&amp;" has a value greater than 0"&amp;CHAR(10),""),IF(D579&gt;0," * F01-15 for Age "&amp;D502&amp;" "&amp;D503&amp;" has a value greater than 0"&amp;CHAR(10),""),IF(E579&gt;0," * F01-15 for Age "&amp;D502&amp;" "&amp;E503&amp;" has a value greater than 0"&amp;CHAR(10),""),IF(D584&gt;0," * F01-20 for Age "&amp;D502&amp;" "&amp;D503&amp;" has a value greater than 0"&amp;CHAR(10),""),IF(E584&gt;0," * F01-20 for Age "&amp;D502&amp;" "&amp;E503&amp;" has a value greater than 0"&amp;CHAR(10),""),IF(D585&gt;0," * F01-21 for Age "&amp;D502&amp;" "&amp;D503&amp;" has a value greater than 0"&amp;CHAR(10),""),IF(E585&gt;0," * F01-21 for Age "&amp;D502&amp;" "&amp;E503&amp;" has a value greater than 0"&amp;CHAR(10),""),IF(D586&gt;0," * F01-22 for Age "&amp;D502&amp;" "&amp;D503&amp;" has a value greater than 0"&amp;CHAR(10),""),IF(E586&gt;0," * F01-22 for Age "&amp;D502&amp;" "&amp;E503&amp;" has a value greater than 0"&amp;CHAR(10),""),IF(D587&gt;0," * F01-23 for Age "&amp;D502&amp;" "&amp;D503&amp;" has a value greater than 0"&amp;CHAR(10),""),IF(E587&gt;0," * F01-23 for Age "&amp;D502&amp;" "&amp;E503&amp;" has a value greater than 0"&amp;CHAR(10),""),"")</f>
        <v/>
      </c>
      <c r="AN516" s="745"/>
      <c r="AO516" s="13">
        <v>33</v>
      </c>
      <c r="AP516" s="81"/>
      <c r="AQ516" s="82"/>
    </row>
    <row r="517" spans="1:43" ht="63" customHeight="1" thickBot="1" x14ac:dyDescent="0.45">
      <c r="A517" s="868" t="s">
        <v>428</v>
      </c>
      <c r="B517" s="449"/>
      <c r="C517" s="9"/>
      <c r="D517" s="254"/>
      <c r="E517" s="254"/>
      <c r="F517" s="7"/>
      <c r="G517" s="7"/>
      <c r="H517" s="254"/>
      <c r="I517" s="7"/>
      <c r="J517" s="7"/>
      <c r="K517" s="254"/>
      <c r="L517" s="254"/>
      <c r="M517" s="7"/>
      <c r="N517" s="7"/>
      <c r="O517" s="7"/>
      <c r="P517" s="254"/>
      <c r="Q517" s="7"/>
      <c r="R517" s="254"/>
      <c r="S517" s="254"/>
      <c r="T517" s="254"/>
      <c r="U517" s="254"/>
      <c r="V517" s="254"/>
      <c r="W517" s="254"/>
      <c r="X517" s="7"/>
      <c r="Y517" s="254"/>
      <c r="Z517" s="254"/>
      <c r="AA517" s="254"/>
      <c r="AB517" s="254"/>
      <c r="AC517" s="254"/>
      <c r="AD517" s="254"/>
      <c r="AE517" s="254"/>
      <c r="AF517" s="254"/>
      <c r="AG517" s="254"/>
      <c r="AH517" s="254"/>
      <c r="AI517" s="254"/>
      <c r="AJ517" s="254"/>
      <c r="AK517" s="9"/>
      <c r="AM517" s="254"/>
      <c r="AN517" s="254"/>
      <c r="AO517" s="255"/>
      <c r="AP517" s="74"/>
      <c r="AQ517" s="75"/>
    </row>
    <row r="519" spans="1:43" ht="29.25" thickBot="1" x14ac:dyDescent="0.4">
      <c r="A519" s="869"/>
      <c r="B519" s="256"/>
      <c r="E519" s="8"/>
      <c r="F519" s="8"/>
      <c r="G519" s="8"/>
      <c r="H519" s="8"/>
      <c r="I519" s="8"/>
      <c r="J519" s="8"/>
      <c r="K519" s="8"/>
      <c r="L519" s="8"/>
      <c r="M519" s="8"/>
    </row>
    <row r="520" spans="1:43" s="263" customFormat="1" ht="41.25" customHeight="1" thickBot="1" x14ac:dyDescent="0.3">
      <c r="A520" s="1349" t="s">
        <v>855</v>
      </c>
      <c r="B520" s="1350"/>
      <c r="C520" s="1350"/>
      <c r="D520" s="1350"/>
      <c r="E520" s="1350"/>
      <c r="F520" s="1350"/>
      <c r="G520" s="1350"/>
      <c r="H520" s="1350"/>
      <c r="I520" s="1350"/>
      <c r="J520" s="1350"/>
      <c r="K520" s="1350"/>
      <c r="L520" s="1350"/>
      <c r="M520" s="1351" t="s">
        <v>852</v>
      </c>
      <c r="N520" s="1350"/>
      <c r="O520" s="1350"/>
      <c r="P520" s="1350"/>
      <c r="Q520" s="1350"/>
      <c r="R520" s="1350"/>
      <c r="S520" s="1350"/>
      <c r="T520" s="1350"/>
      <c r="U520" s="1350"/>
      <c r="V520" s="1350"/>
      <c r="W520" s="1350"/>
      <c r="X520" s="1350"/>
      <c r="Y520" s="1350"/>
      <c r="Z520" s="1350"/>
      <c r="AA520" s="1350"/>
      <c r="AB520" s="1350"/>
      <c r="AC520" s="1350"/>
      <c r="AD520" s="1350"/>
      <c r="AE520" s="1350"/>
      <c r="AF520" s="1350"/>
      <c r="AG520" s="1350"/>
      <c r="AH520" s="1350"/>
      <c r="AI520" s="1350"/>
      <c r="AJ520" s="1350"/>
      <c r="AK520" s="1350"/>
      <c r="AL520" s="1350"/>
      <c r="AM520" s="1350"/>
      <c r="AN520" s="1352"/>
      <c r="AO520" s="260"/>
      <c r="AP520" s="261"/>
      <c r="AQ520" s="262"/>
    </row>
    <row r="521" spans="1:43" ht="30.75" customHeight="1" x14ac:dyDescent="0.35">
      <c r="A521" s="1340" t="str">
        <f>CONCATENATE(AL436,AL416,AL405,AL388,AL356,AL338,AL326,AL302,AL283,AL273,AL264,AL255,AL246,AL219,AL185,AL128,AL115,AL22,AL8,AL70,AL452,AL201,AL282)</f>
        <v/>
      </c>
      <c r="B521" s="1341"/>
      <c r="C521" s="1341"/>
      <c r="D521" s="1341"/>
      <c r="E521" s="1341"/>
      <c r="F521" s="1341"/>
      <c r="G521" s="1341"/>
      <c r="H521" s="1341"/>
      <c r="I521" s="1341"/>
      <c r="J521" s="1341"/>
      <c r="K521" s="1341"/>
      <c r="L521" s="1342"/>
      <c r="M521" s="1353" t="str">
        <f>IF(LEN(A521)&lt;=0,"","Please ensure you solve the errors appearing on the left . However, In the cases where the errors are valid and can be explained ( We expect this to be very rare cases), Please delete this message and type the  justification for the error here)")</f>
        <v/>
      </c>
      <c r="N521" s="1354"/>
      <c r="O521" s="1354"/>
      <c r="P521" s="1354"/>
      <c r="Q521" s="1354"/>
      <c r="R521" s="1354"/>
      <c r="S521" s="1354"/>
      <c r="T521" s="1354"/>
      <c r="U521" s="1354"/>
      <c r="V521" s="1354"/>
      <c r="W521" s="1354"/>
      <c r="X521" s="1354"/>
      <c r="Y521" s="1354"/>
      <c r="Z521" s="1354"/>
      <c r="AA521" s="1354"/>
      <c r="AB521" s="1354"/>
      <c r="AC521" s="1354"/>
      <c r="AD521" s="1354"/>
      <c r="AE521" s="1354"/>
      <c r="AF521" s="1354"/>
      <c r="AG521" s="1354"/>
      <c r="AH521" s="1354"/>
      <c r="AI521" s="1354"/>
      <c r="AJ521" s="1354"/>
      <c r="AK521" s="1354"/>
      <c r="AL521" s="1354"/>
      <c r="AM521" s="1354"/>
      <c r="AN521" s="1355"/>
    </row>
    <row r="522" spans="1:43" ht="25.5" customHeight="1" x14ac:dyDescent="0.35">
      <c r="A522" s="1343"/>
      <c r="B522" s="1344"/>
      <c r="C522" s="1344"/>
      <c r="D522" s="1344"/>
      <c r="E522" s="1344"/>
      <c r="F522" s="1344"/>
      <c r="G522" s="1344"/>
      <c r="H522" s="1344"/>
      <c r="I522" s="1344"/>
      <c r="J522" s="1344"/>
      <c r="K522" s="1344"/>
      <c r="L522" s="1345"/>
      <c r="M522" s="1356"/>
      <c r="N522" s="1357"/>
      <c r="O522" s="1357"/>
      <c r="P522" s="1357"/>
      <c r="Q522" s="1357"/>
      <c r="R522" s="1357"/>
      <c r="S522" s="1357"/>
      <c r="T522" s="1357"/>
      <c r="U522" s="1357"/>
      <c r="V522" s="1357"/>
      <c r="W522" s="1357"/>
      <c r="X522" s="1357"/>
      <c r="Y522" s="1357"/>
      <c r="Z522" s="1357"/>
      <c r="AA522" s="1357"/>
      <c r="AB522" s="1357"/>
      <c r="AC522" s="1357"/>
      <c r="AD522" s="1357"/>
      <c r="AE522" s="1357"/>
      <c r="AF522" s="1357"/>
      <c r="AG522" s="1357"/>
      <c r="AH522" s="1357"/>
      <c r="AI522" s="1357"/>
      <c r="AJ522" s="1357"/>
      <c r="AK522" s="1357"/>
      <c r="AL522" s="1357"/>
      <c r="AM522" s="1357"/>
      <c r="AN522" s="1358"/>
    </row>
    <row r="523" spans="1:43" ht="30.75" customHeight="1" x14ac:dyDescent="0.35">
      <c r="A523" s="1343"/>
      <c r="B523" s="1344"/>
      <c r="C523" s="1344"/>
      <c r="D523" s="1344"/>
      <c r="E523" s="1344"/>
      <c r="F523" s="1344"/>
      <c r="G523" s="1344"/>
      <c r="H523" s="1344"/>
      <c r="I523" s="1344"/>
      <c r="J523" s="1344"/>
      <c r="K523" s="1344"/>
      <c r="L523" s="1345"/>
      <c r="M523" s="1356"/>
      <c r="N523" s="1357"/>
      <c r="O523" s="1357"/>
      <c r="P523" s="1357"/>
      <c r="Q523" s="1357"/>
      <c r="R523" s="1357"/>
      <c r="S523" s="1357"/>
      <c r="T523" s="1357"/>
      <c r="U523" s="1357"/>
      <c r="V523" s="1357"/>
      <c r="W523" s="1357"/>
      <c r="X523" s="1357"/>
      <c r="Y523" s="1357"/>
      <c r="Z523" s="1357"/>
      <c r="AA523" s="1357"/>
      <c r="AB523" s="1357"/>
      <c r="AC523" s="1357"/>
      <c r="AD523" s="1357"/>
      <c r="AE523" s="1357"/>
      <c r="AF523" s="1357"/>
      <c r="AG523" s="1357"/>
      <c r="AH523" s="1357"/>
      <c r="AI523" s="1357"/>
      <c r="AJ523" s="1357"/>
      <c r="AK523" s="1357"/>
      <c r="AL523" s="1357"/>
      <c r="AM523" s="1357"/>
      <c r="AN523" s="1358"/>
    </row>
    <row r="524" spans="1:43" ht="25.5" customHeight="1" x14ac:dyDescent="0.35">
      <c r="A524" s="1343"/>
      <c r="B524" s="1344"/>
      <c r="C524" s="1344"/>
      <c r="D524" s="1344"/>
      <c r="E524" s="1344"/>
      <c r="F524" s="1344"/>
      <c r="G524" s="1344"/>
      <c r="H524" s="1344"/>
      <c r="I524" s="1344"/>
      <c r="J524" s="1344"/>
      <c r="K524" s="1344"/>
      <c r="L524" s="1345"/>
      <c r="M524" s="1356"/>
      <c r="N524" s="1357"/>
      <c r="O524" s="1357"/>
      <c r="P524" s="1357"/>
      <c r="Q524" s="1357"/>
      <c r="R524" s="1357"/>
      <c r="S524" s="1357"/>
      <c r="T524" s="1357"/>
      <c r="U524" s="1357"/>
      <c r="V524" s="1357"/>
      <c r="W524" s="1357"/>
      <c r="X524" s="1357"/>
      <c r="Y524" s="1357"/>
      <c r="Z524" s="1357"/>
      <c r="AA524" s="1357"/>
      <c r="AB524" s="1357"/>
      <c r="AC524" s="1357"/>
      <c r="AD524" s="1357"/>
      <c r="AE524" s="1357"/>
      <c r="AF524" s="1357"/>
      <c r="AG524" s="1357"/>
      <c r="AH524" s="1357"/>
      <c r="AI524" s="1357"/>
      <c r="AJ524" s="1357"/>
      <c r="AK524" s="1357"/>
      <c r="AL524" s="1357"/>
      <c r="AM524" s="1357"/>
      <c r="AN524" s="1358"/>
    </row>
    <row r="525" spans="1:43" ht="25.5" customHeight="1" x14ac:dyDescent="0.35">
      <c r="A525" s="1343"/>
      <c r="B525" s="1344"/>
      <c r="C525" s="1344"/>
      <c r="D525" s="1344"/>
      <c r="E525" s="1344"/>
      <c r="F525" s="1344"/>
      <c r="G525" s="1344"/>
      <c r="H525" s="1344"/>
      <c r="I525" s="1344"/>
      <c r="J525" s="1344"/>
      <c r="K525" s="1344"/>
      <c r="L525" s="1345"/>
      <c r="M525" s="1356"/>
      <c r="N525" s="1357"/>
      <c r="O525" s="1357"/>
      <c r="P525" s="1357"/>
      <c r="Q525" s="1357"/>
      <c r="R525" s="1357"/>
      <c r="S525" s="1357"/>
      <c r="T525" s="1357"/>
      <c r="U525" s="1357"/>
      <c r="V525" s="1357"/>
      <c r="W525" s="1357"/>
      <c r="X525" s="1357"/>
      <c r="Y525" s="1357"/>
      <c r="Z525" s="1357"/>
      <c r="AA525" s="1357"/>
      <c r="AB525" s="1357"/>
      <c r="AC525" s="1357"/>
      <c r="AD525" s="1357"/>
      <c r="AE525" s="1357"/>
      <c r="AF525" s="1357"/>
      <c r="AG525" s="1357"/>
      <c r="AH525" s="1357"/>
      <c r="AI525" s="1357"/>
      <c r="AJ525" s="1357"/>
      <c r="AK525" s="1357"/>
      <c r="AL525" s="1357"/>
      <c r="AM525" s="1357"/>
      <c r="AN525" s="1358"/>
    </row>
    <row r="526" spans="1:43" ht="25.5" customHeight="1" x14ac:dyDescent="0.35">
      <c r="A526" s="1343"/>
      <c r="B526" s="1344"/>
      <c r="C526" s="1344"/>
      <c r="D526" s="1344"/>
      <c r="E526" s="1344"/>
      <c r="F526" s="1344"/>
      <c r="G526" s="1344"/>
      <c r="H526" s="1344"/>
      <c r="I526" s="1344"/>
      <c r="J526" s="1344"/>
      <c r="K526" s="1344"/>
      <c r="L526" s="1345"/>
      <c r="M526" s="1356"/>
      <c r="N526" s="1357"/>
      <c r="O526" s="1357"/>
      <c r="P526" s="1357"/>
      <c r="Q526" s="1357"/>
      <c r="R526" s="1357"/>
      <c r="S526" s="1357"/>
      <c r="T526" s="1357"/>
      <c r="U526" s="1357"/>
      <c r="V526" s="1357"/>
      <c r="W526" s="1357"/>
      <c r="X526" s="1357"/>
      <c r="Y526" s="1357"/>
      <c r="Z526" s="1357"/>
      <c r="AA526" s="1357"/>
      <c r="AB526" s="1357"/>
      <c r="AC526" s="1357"/>
      <c r="AD526" s="1357"/>
      <c r="AE526" s="1357"/>
      <c r="AF526" s="1357"/>
      <c r="AG526" s="1357"/>
      <c r="AH526" s="1357"/>
      <c r="AI526" s="1357"/>
      <c r="AJ526" s="1357"/>
      <c r="AK526" s="1357"/>
      <c r="AL526" s="1357"/>
      <c r="AM526" s="1357"/>
      <c r="AN526" s="1358"/>
    </row>
    <row r="527" spans="1:43" ht="25.5" customHeight="1" x14ac:dyDescent="0.35">
      <c r="A527" s="1343"/>
      <c r="B527" s="1344"/>
      <c r="C527" s="1344"/>
      <c r="D527" s="1344"/>
      <c r="E527" s="1344"/>
      <c r="F527" s="1344"/>
      <c r="G527" s="1344"/>
      <c r="H527" s="1344"/>
      <c r="I527" s="1344"/>
      <c r="J527" s="1344"/>
      <c r="K527" s="1344"/>
      <c r="L527" s="1345"/>
      <c r="M527" s="1356"/>
      <c r="N527" s="1357"/>
      <c r="O527" s="1357"/>
      <c r="P527" s="1357"/>
      <c r="Q527" s="1357"/>
      <c r="R527" s="1357"/>
      <c r="S527" s="1357"/>
      <c r="T527" s="1357"/>
      <c r="U527" s="1357"/>
      <c r="V527" s="1357"/>
      <c r="W527" s="1357"/>
      <c r="X527" s="1357"/>
      <c r="Y527" s="1357"/>
      <c r="Z527" s="1357"/>
      <c r="AA527" s="1357"/>
      <c r="AB527" s="1357"/>
      <c r="AC527" s="1357"/>
      <c r="AD527" s="1357"/>
      <c r="AE527" s="1357"/>
      <c r="AF527" s="1357"/>
      <c r="AG527" s="1357"/>
      <c r="AH527" s="1357"/>
      <c r="AI527" s="1357"/>
      <c r="AJ527" s="1357"/>
      <c r="AK527" s="1357"/>
      <c r="AL527" s="1357"/>
      <c r="AM527" s="1357"/>
      <c r="AN527" s="1358"/>
    </row>
    <row r="528" spans="1:43" ht="25.5" customHeight="1" x14ac:dyDescent="0.35">
      <c r="A528" s="1343"/>
      <c r="B528" s="1344"/>
      <c r="C528" s="1344"/>
      <c r="D528" s="1344"/>
      <c r="E528" s="1344"/>
      <c r="F528" s="1344"/>
      <c r="G528" s="1344"/>
      <c r="H528" s="1344"/>
      <c r="I528" s="1344"/>
      <c r="J528" s="1344"/>
      <c r="K528" s="1344"/>
      <c r="L528" s="1345"/>
      <c r="M528" s="1356"/>
      <c r="N528" s="1357"/>
      <c r="O528" s="1357"/>
      <c r="P528" s="1357"/>
      <c r="Q528" s="1357"/>
      <c r="R528" s="1357"/>
      <c r="S528" s="1357"/>
      <c r="T528" s="1357"/>
      <c r="U528" s="1357"/>
      <c r="V528" s="1357"/>
      <c r="W528" s="1357"/>
      <c r="X528" s="1357"/>
      <c r="Y528" s="1357"/>
      <c r="Z528" s="1357"/>
      <c r="AA528" s="1357"/>
      <c r="AB528" s="1357"/>
      <c r="AC528" s="1357"/>
      <c r="AD528" s="1357"/>
      <c r="AE528" s="1357"/>
      <c r="AF528" s="1357"/>
      <c r="AG528" s="1357"/>
      <c r="AH528" s="1357"/>
      <c r="AI528" s="1357"/>
      <c r="AJ528" s="1357"/>
      <c r="AK528" s="1357"/>
      <c r="AL528" s="1357"/>
      <c r="AM528" s="1357"/>
      <c r="AN528" s="1358"/>
    </row>
    <row r="529" spans="1:43" ht="25.5" customHeight="1" x14ac:dyDescent="0.35">
      <c r="A529" s="1343"/>
      <c r="B529" s="1344"/>
      <c r="C529" s="1344"/>
      <c r="D529" s="1344"/>
      <c r="E529" s="1344"/>
      <c r="F529" s="1344"/>
      <c r="G529" s="1344"/>
      <c r="H529" s="1344"/>
      <c r="I529" s="1344"/>
      <c r="J529" s="1344"/>
      <c r="K529" s="1344"/>
      <c r="L529" s="1345"/>
      <c r="M529" s="1356"/>
      <c r="N529" s="1357"/>
      <c r="O529" s="1357"/>
      <c r="P529" s="1357"/>
      <c r="Q529" s="1357"/>
      <c r="R529" s="1357"/>
      <c r="S529" s="1357"/>
      <c r="T529" s="1357"/>
      <c r="U529" s="1357"/>
      <c r="V529" s="1357"/>
      <c r="W529" s="1357"/>
      <c r="X529" s="1357"/>
      <c r="Y529" s="1357"/>
      <c r="Z529" s="1357"/>
      <c r="AA529" s="1357"/>
      <c r="AB529" s="1357"/>
      <c r="AC529" s="1357"/>
      <c r="AD529" s="1357"/>
      <c r="AE529" s="1357"/>
      <c r="AF529" s="1357"/>
      <c r="AG529" s="1357"/>
      <c r="AH529" s="1357"/>
      <c r="AI529" s="1357"/>
      <c r="AJ529" s="1357"/>
      <c r="AK529" s="1357"/>
      <c r="AL529" s="1357"/>
      <c r="AM529" s="1357"/>
      <c r="AN529" s="1358"/>
    </row>
    <row r="530" spans="1:43" ht="25.5" customHeight="1" x14ac:dyDescent="0.35">
      <c r="A530" s="1343"/>
      <c r="B530" s="1344"/>
      <c r="C530" s="1344"/>
      <c r="D530" s="1344"/>
      <c r="E530" s="1344"/>
      <c r="F530" s="1344"/>
      <c r="G530" s="1344"/>
      <c r="H530" s="1344"/>
      <c r="I530" s="1344"/>
      <c r="J530" s="1344"/>
      <c r="K530" s="1344"/>
      <c r="L530" s="1345"/>
      <c r="M530" s="1356"/>
      <c r="N530" s="1357"/>
      <c r="O530" s="1357"/>
      <c r="P530" s="1357"/>
      <c r="Q530" s="1357"/>
      <c r="R530" s="1357"/>
      <c r="S530" s="1357"/>
      <c r="T530" s="1357"/>
      <c r="U530" s="1357"/>
      <c r="V530" s="1357"/>
      <c r="W530" s="1357"/>
      <c r="X530" s="1357"/>
      <c r="Y530" s="1357"/>
      <c r="Z530" s="1357"/>
      <c r="AA530" s="1357"/>
      <c r="AB530" s="1357"/>
      <c r="AC530" s="1357"/>
      <c r="AD530" s="1357"/>
      <c r="AE530" s="1357"/>
      <c r="AF530" s="1357"/>
      <c r="AG530" s="1357"/>
      <c r="AH530" s="1357"/>
      <c r="AI530" s="1357"/>
      <c r="AJ530" s="1357"/>
      <c r="AK530" s="1357"/>
      <c r="AL530" s="1357"/>
      <c r="AM530" s="1357"/>
      <c r="AN530" s="1358"/>
    </row>
    <row r="531" spans="1:43" ht="25.5" customHeight="1" x14ac:dyDescent="0.35">
      <c r="A531" s="1343"/>
      <c r="B531" s="1344"/>
      <c r="C531" s="1344"/>
      <c r="D531" s="1344"/>
      <c r="E531" s="1344"/>
      <c r="F531" s="1344"/>
      <c r="G531" s="1344"/>
      <c r="H531" s="1344"/>
      <c r="I531" s="1344"/>
      <c r="J531" s="1344"/>
      <c r="K531" s="1344"/>
      <c r="L531" s="1345"/>
      <c r="M531" s="1356"/>
      <c r="N531" s="1357"/>
      <c r="O531" s="1357"/>
      <c r="P531" s="1357"/>
      <c r="Q531" s="1357"/>
      <c r="R531" s="1357"/>
      <c r="S531" s="1357"/>
      <c r="T531" s="1357"/>
      <c r="U531" s="1357"/>
      <c r="V531" s="1357"/>
      <c r="W531" s="1357"/>
      <c r="X531" s="1357"/>
      <c r="Y531" s="1357"/>
      <c r="Z531" s="1357"/>
      <c r="AA531" s="1357"/>
      <c r="AB531" s="1357"/>
      <c r="AC531" s="1357"/>
      <c r="AD531" s="1357"/>
      <c r="AE531" s="1357"/>
      <c r="AF531" s="1357"/>
      <c r="AG531" s="1357"/>
      <c r="AH531" s="1357"/>
      <c r="AI531" s="1357"/>
      <c r="AJ531" s="1357"/>
      <c r="AK531" s="1357"/>
      <c r="AL531" s="1357"/>
      <c r="AM531" s="1357"/>
      <c r="AN531" s="1358"/>
    </row>
    <row r="532" spans="1:43" ht="25.5" customHeight="1" x14ac:dyDescent="0.35">
      <c r="A532" s="1343"/>
      <c r="B532" s="1344"/>
      <c r="C532" s="1344"/>
      <c r="D532" s="1344"/>
      <c r="E532" s="1344"/>
      <c r="F532" s="1344"/>
      <c r="G532" s="1344"/>
      <c r="H532" s="1344"/>
      <c r="I532" s="1344"/>
      <c r="J532" s="1344"/>
      <c r="K532" s="1344"/>
      <c r="L532" s="1345"/>
      <c r="M532" s="1356"/>
      <c r="N532" s="1357"/>
      <c r="O532" s="1357"/>
      <c r="P532" s="1357"/>
      <c r="Q532" s="1357"/>
      <c r="R532" s="1357"/>
      <c r="S532" s="1357"/>
      <c r="T532" s="1357"/>
      <c r="U532" s="1357"/>
      <c r="V532" s="1357"/>
      <c r="W532" s="1357"/>
      <c r="X532" s="1357"/>
      <c r="Y532" s="1357"/>
      <c r="Z532" s="1357"/>
      <c r="AA532" s="1357"/>
      <c r="AB532" s="1357"/>
      <c r="AC532" s="1357"/>
      <c r="AD532" s="1357"/>
      <c r="AE532" s="1357"/>
      <c r="AF532" s="1357"/>
      <c r="AG532" s="1357"/>
      <c r="AH532" s="1357"/>
      <c r="AI532" s="1357"/>
      <c r="AJ532" s="1357"/>
      <c r="AK532" s="1357"/>
      <c r="AL532" s="1357"/>
      <c r="AM532" s="1357"/>
      <c r="AN532" s="1358"/>
    </row>
    <row r="533" spans="1:43" ht="25.5" customHeight="1" x14ac:dyDescent="0.35">
      <c r="A533" s="1343"/>
      <c r="B533" s="1344"/>
      <c r="C533" s="1344"/>
      <c r="D533" s="1344"/>
      <c r="E533" s="1344"/>
      <c r="F533" s="1344"/>
      <c r="G533" s="1344"/>
      <c r="H533" s="1344"/>
      <c r="I533" s="1344"/>
      <c r="J533" s="1344"/>
      <c r="K533" s="1344"/>
      <c r="L533" s="1345"/>
      <c r="M533" s="1356"/>
      <c r="N533" s="1357"/>
      <c r="O533" s="1357"/>
      <c r="P533" s="1357"/>
      <c r="Q533" s="1357"/>
      <c r="R533" s="1357"/>
      <c r="S533" s="1357"/>
      <c r="T533" s="1357"/>
      <c r="U533" s="1357"/>
      <c r="V533" s="1357"/>
      <c r="W533" s="1357"/>
      <c r="X533" s="1357"/>
      <c r="Y533" s="1357"/>
      <c r="Z533" s="1357"/>
      <c r="AA533" s="1357"/>
      <c r="AB533" s="1357"/>
      <c r="AC533" s="1357"/>
      <c r="AD533" s="1357"/>
      <c r="AE533" s="1357"/>
      <c r="AF533" s="1357"/>
      <c r="AG533" s="1357"/>
      <c r="AH533" s="1357"/>
      <c r="AI533" s="1357"/>
      <c r="AJ533" s="1357"/>
      <c r="AK533" s="1357"/>
      <c r="AL533" s="1357"/>
      <c r="AM533" s="1357"/>
      <c r="AN533" s="1358"/>
    </row>
    <row r="534" spans="1:43" ht="25.5" customHeight="1" x14ac:dyDescent="0.35">
      <c r="A534" s="1343"/>
      <c r="B534" s="1344"/>
      <c r="C534" s="1344"/>
      <c r="D534" s="1344"/>
      <c r="E534" s="1344"/>
      <c r="F534" s="1344"/>
      <c r="G534" s="1344"/>
      <c r="H534" s="1344"/>
      <c r="I534" s="1344"/>
      <c r="J534" s="1344"/>
      <c r="K534" s="1344"/>
      <c r="L534" s="1345"/>
      <c r="M534" s="1356"/>
      <c r="N534" s="1357"/>
      <c r="O534" s="1357"/>
      <c r="P534" s="1357"/>
      <c r="Q534" s="1357"/>
      <c r="R534" s="1357"/>
      <c r="S534" s="1357"/>
      <c r="T534" s="1357"/>
      <c r="U534" s="1357"/>
      <c r="V534" s="1357"/>
      <c r="W534" s="1357"/>
      <c r="X534" s="1357"/>
      <c r="Y534" s="1357"/>
      <c r="Z534" s="1357"/>
      <c r="AA534" s="1357"/>
      <c r="AB534" s="1357"/>
      <c r="AC534" s="1357"/>
      <c r="AD534" s="1357"/>
      <c r="AE534" s="1357"/>
      <c r="AF534" s="1357"/>
      <c r="AG534" s="1357"/>
      <c r="AH534" s="1357"/>
      <c r="AI534" s="1357"/>
      <c r="AJ534" s="1357"/>
      <c r="AK534" s="1357"/>
      <c r="AL534" s="1357"/>
      <c r="AM534" s="1357"/>
      <c r="AN534" s="1358"/>
    </row>
    <row r="535" spans="1:43" ht="25.5" customHeight="1" x14ac:dyDescent="0.35">
      <c r="A535" s="1343"/>
      <c r="B535" s="1344"/>
      <c r="C535" s="1344"/>
      <c r="D535" s="1344"/>
      <c r="E535" s="1344"/>
      <c r="F535" s="1344"/>
      <c r="G535" s="1344"/>
      <c r="H535" s="1344"/>
      <c r="I535" s="1344"/>
      <c r="J535" s="1344"/>
      <c r="K535" s="1344"/>
      <c r="L535" s="1345"/>
      <c r="M535" s="1356"/>
      <c r="N535" s="1357"/>
      <c r="O535" s="1357"/>
      <c r="P535" s="1357"/>
      <c r="Q535" s="1357"/>
      <c r="R535" s="1357"/>
      <c r="S535" s="1357"/>
      <c r="T535" s="1357"/>
      <c r="U535" s="1357"/>
      <c r="V535" s="1357"/>
      <c r="W535" s="1357"/>
      <c r="X535" s="1357"/>
      <c r="Y535" s="1357"/>
      <c r="Z535" s="1357"/>
      <c r="AA535" s="1357"/>
      <c r="AB535" s="1357"/>
      <c r="AC535" s="1357"/>
      <c r="AD535" s="1357"/>
      <c r="AE535" s="1357"/>
      <c r="AF535" s="1357"/>
      <c r="AG535" s="1357"/>
      <c r="AH535" s="1357"/>
      <c r="AI535" s="1357"/>
      <c r="AJ535" s="1357"/>
      <c r="AK535" s="1357"/>
      <c r="AL535" s="1357"/>
      <c r="AM535" s="1357"/>
      <c r="AN535" s="1358"/>
    </row>
    <row r="536" spans="1:43" ht="25.5" customHeight="1" x14ac:dyDescent="0.35">
      <c r="A536" s="1343"/>
      <c r="B536" s="1344"/>
      <c r="C536" s="1344"/>
      <c r="D536" s="1344"/>
      <c r="E536" s="1344"/>
      <c r="F536" s="1344"/>
      <c r="G536" s="1344"/>
      <c r="H536" s="1344"/>
      <c r="I536" s="1344"/>
      <c r="J536" s="1344"/>
      <c r="K536" s="1344"/>
      <c r="L536" s="1345"/>
      <c r="M536" s="1356"/>
      <c r="N536" s="1357"/>
      <c r="O536" s="1357"/>
      <c r="P536" s="1357"/>
      <c r="Q536" s="1357"/>
      <c r="R536" s="1357"/>
      <c r="S536" s="1357"/>
      <c r="T536" s="1357"/>
      <c r="U536" s="1357"/>
      <c r="V536" s="1357"/>
      <c r="W536" s="1357"/>
      <c r="X536" s="1357"/>
      <c r="Y536" s="1357"/>
      <c r="Z536" s="1357"/>
      <c r="AA536" s="1357"/>
      <c r="AB536" s="1357"/>
      <c r="AC536" s="1357"/>
      <c r="AD536" s="1357"/>
      <c r="AE536" s="1357"/>
      <c r="AF536" s="1357"/>
      <c r="AG536" s="1357"/>
      <c r="AH536" s="1357"/>
      <c r="AI536" s="1357"/>
      <c r="AJ536" s="1357"/>
      <c r="AK536" s="1357"/>
      <c r="AL536" s="1357"/>
      <c r="AM536" s="1357"/>
      <c r="AN536" s="1358"/>
    </row>
    <row r="537" spans="1:43" ht="25.5" customHeight="1" x14ac:dyDescent="0.35">
      <c r="A537" s="1343"/>
      <c r="B537" s="1344"/>
      <c r="C537" s="1344"/>
      <c r="D537" s="1344"/>
      <c r="E537" s="1344"/>
      <c r="F537" s="1344"/>
      <c r="G537" s="1344"/>
      <c r="H537" s="1344"/>
      <c r="I537" s="1344"/>
      <c r="J537" s="1344"/>
      <c r="K537" s="1344"/>
      <c r="L537" s="1345"/>
      <c r="M537" s="1356"/>
      <c r="N537" s="1357"/>
      <c r="O537" s="1357"/>
      <c r="P537" s="1357"/>
      <c r="Q537" s="1357"/>
      <c r="R537" s="1357"/>
      <c r="S537" s="1357"/>
      <c r="T537" s="1357"/>
      <c r="U537" s="1357"/>
      <c r="V537" s="1357"/>
      <c r="W537" s="1357"/>
      <c r="X537" s="1357"/>
      <c r="Y537" s="1357"/>
      <c r="Z537" s="1357"/>
      <c r="AA537" s="1357"/>
      <c r="AB537" s="1357"/>
      <c r="AC537" s="1357"/>
      <c r="AD537" s="1357"/>
      <c r="AE537" s="1357"/>
      <c r="AF537" s="1357"/>
      <c r="AG537" s="1357"/>
      <c r="AH537" s="1357"/>
      <c r="AI537" s="1357"/>
      <c r="AJ537" s="1357"/>
      <c r="AK537" s="1357"/>
      <c r="AL537" s="1357"/>
      <c r="AM537" s="1357"/>
      <c r="AN537" s="1358"/>
    </row>
    <row r="538" spans="1:43" ht="25.5" customHeight="1" x14ac:dyDescent="0.35">
      <c r="A538" s="1343"/>
      <c r="B538" s="1344"/>
      <c r="C538" s="1344"/>
      <c r="D538" s="1344"/>
      <c r="E538" s="1344"/>
      <c r="F538" s="1344"/>
      <c r="G538" s="1344"/>
      <c r="H538" s="1344"/>
      <c r="I538" s="1344"/>
      <c r="J538" s="1344"/>
      <c r="K538" s="1344"/>
      <c r="L538" s="1345"/>
      <c r="M538" s="1356"/>
      <c r="N538" s="1357"/>
      <c r="O538" s="1357"/>
      <c r="P538" s="1357"/>
      <c r="Q538" s="1357"/>
      <c r="R538" s="1357"/>
      <c r="S538" s="1357"/>
      <c r="T538" s="1357"/>
      <c r="U538" s="1357"/>
      <c r="V538" s="1357"/>
      <c r="W538" s="1357"/>
      <c r="X538" s="1357"/>
      <c r="Y538" s="1357"/>
      <c r="Z538" s="1357"/>
      <c r="AA538" s="1357"/>
      <c r="AB538" s="1357"/>
      <c r="AC538" s="1357"/>
      <c r="AD538" s="1357"/>
      <c r="AE538" s="1357"/>
      <c r="AF538" s="1357"/>
      <c r="AG538" s="1357"/>
      <c r="AH538" s="1357"/>
      <c r="AI538" s="1357"/>
      <c r="AJ538" s="1357"/>
      <c r="AK538" s="1357"/>
      <c r="AL538" s="1357"/>
      <c r="AM538" s="1357"/>
      <c r="AN538" s="1358"/>
    </row>
    <row r="539" spans="1:43" ht="25.5" customHeight="1" x14ac:dyDescent="0.35">
      <c r="A539" s="1343"/>
      <c r="B539" s="1344"/>
      <c r="C539" s="1344"/>
      <c r="D539" s="1344"/>
      <c r="E539" s="1344"/>
      <c r="F539" s="1344"/>
      <c r="G539" s="1344"/>
      <c r="H539" s="1344"/>
      <c r="I539" s="1344"/>
      <c r="J539" s="1344"/>
      <c r="K539" s="1344"/>
      <c r="L539" s="1345"/>
      <c r="M539" s="1356"/>
      <c r="N539" s="1357"/>
      <c r="O539" s="1357"/>
      <c r="P539" s="1357"/>
      <c r="Q539" s="1357"/>
      <c r="R539" s="1357"/>
      <c r="S539" s="1357"/>
      <c r="T539" s="1357"/>
      <c r="U539" s="1357"/>
      <c r="V539" s="1357"/>
      <c r="W539" s="1357"/>
      <c r="X539" s="1357"/>
      <c r="Y539" s="1357"/>
      <c r="Z539" s="1357"/>
      <c r="AA539" s="1357"/>
      <c r="AB539" s="1357"/>
      <c r="AC539" s="1357"/>
      <c r="AD539" s="1357"/>
      <c r="AE539" s="1357"/>
      <c r="AF539" s="1357"/>
      <c r="AG539" s="1357"/>
      <c r="AH539" s="1357"/>
      <c r="AI539" s="1357"/>
      <c r="AJ539" s="1357"/>
      <c r="AK539" s="1357"/>
      <c r="AL539" s="1357"/>
      <c r="AM539" s="1357"/>
      <c r="AN539" s="1358"/>
    </row>
    <row r="540" spans="1:43" ht="25.5" customHeight="1" x14ac:dyDescent="0.35">
      <c r="A540" s="1343"/>
      <c r="B540" s="1344"/>
      <c r="C540" s="1344"/>
      <c r="D540" s="1344"/>
      <c r="E540" s="1344"/>
      <c r="F540" s="1344"/>
      <c r="G540" s="1344"/>
      <c r="H540" s="1344"/>
      <c r="I540" s="1344"/>
      <c r="J540" s="1344"/>
      <c r="K540" s="1344"/>
      <c r="L540" s="1345"/>
      <c r="M540" s="1356"/>
      <c r="N540" s="1357"/>
      <c r="O540" s="1357"/>
      <c r="P540" s="1357"/>
      <c r="Q540" s="1357"/>
      <c r="R540" s="1357"/>
      <c r="S540" s="1357"/>
      <c r="T540" s="1357"/>
      <c r="U540" s="1357"/>
      <c r="V540" s="1357"/>
      <c r="W540" s="1357"/>
      <c r="X540" s="1357"/>
      <c r="Y540" s="1357"/>
      <c r="Z540" s="1357"/>
      <c r="AA540" s="1357"/>
      <c r="AB540" s="1357"/>
      <c r="AC540" s="1357"/>
      <c r="AD540" s="1357"/>
      <c r="AE540" s="1357"/>
      <c r="AF540" s="1357"/>
      <c r="AG540" s="1357"/>
      <c r="AH540" s="1357"/>
      <c r="AI540" s="1357"/>
      <c r="AJ540" s="1357"/>
      <c r="AK540" s="1357"/>
      <c r="AL540" s="1357"/>
      <c r="AM540" s="1357"/>
      <c r="AN540" s="1358"/>
    </row>
    <row r="541" spans="1:43" ht="26.25" customHeight="1" thickBot="1" x14ac:dyDescent="0.4">
      <c r="A541" s="1346"/>
      <c r="B541" s="1347"/>
      <c r="C541" s="1347"/>
      <c r="D541" s="1347"/>
      <c r="E541" s="1347"/>
      <c r="F541" s="1347"/>
      <c r="G541" s="1347"/>
      <c r="H541" s="1347"/>
      <c r="I541" s="1347"/>
      <c r="J541" s="1347"/>
      <c r="K541" s="1347"/>
      <c r="L541" s="1348"/>
      <c r="M541" s="1359"/>
      <c r="N541" s="1360"/>
      <c r="O541" s="1360"/>
      <c r="P541" s="1360"/>
      <c r="Q541" s="1360"/>
      <c r="R541" s="1360"/>
      <c r="S541" s="1360"/>
      <c r="T541" s="1360"/>
      <c r="U541" s="1360"/>
      <c r="V541" s="1360"/>
      <c r="W541" s="1360"/>
      <c r="X541" s="1360"/>
      <c r="Y541" s="1360"/>
      <c r="Z541" s="1360"/>
      <c r="AA541" s="1360"/>
      <c r="AB541" s="1360"/>
      <c r="AC541" s="1360"/>
      <c r="AD541" s="1360"/>
      <c r="AE541" s="1360"/>
      <c r="AF541" s="1360"/>
      <c r="AG541" s="1360"/>
      <c r="AH541" s="1360"/>
      <c r="AI541" s="1360"/>
      <c r="AJ541" s="1360"/>
      <c r="AK541" s="1360"/>
      <c r="AL541" s="1360"/>
      <c r="AM541" s="1360"/>
      <c r="AN541" s="1361"/>
    </row>
    <row r="542" spans="1:43" s="267" customFormat="1" ht="41.25" customHeight="1" thickBot="1" x14ac:dyDescent="0.6">
      <c r="A542" s="1335" t="s">
        <v>851</v>
      </c>
      <c r="B542" s="1336"/>
      <c r="C542" s="1336"/>
      <c r="D542" s="1336"/>
      <c r="E542" s="1336"/>
      <c r="F542" s="1336"/>
      <c r="G542" s="1336"/>
      <c r="H542" s="1336"/>
      <c r="I542" s="1336"/>
      <c r="J542" s="1336"/>
      <c r="K542" s="1336"/>
      <c r="L542" s="1337"/>
      <c r="M542" s="1338" t="s">
        <v>853</v>
      </c>
      <c r="N542" s="1338"/>
      <c r="O542" s="1338"/>
      <c r="P542" s="1338"/>
      <c r="Q542" s="1338"/>
      <c r="R542" s="1338"/>
      <c r="S542" s="1338"/>
      <c r="T542" s="1338"/>
      <c r="U542" s="1338"/>
      <c r="V542" s="1338"/>
      <c r="W542" s="1338"/>
      <c r="X542" s="1338"/>
      <c r="Y542" s="1338"/>
      <c r="Z542" s="1338"/>
      <c r="AA542" s="1338"/>
      <c r="AB542" s="1338"/>
      <c r="AC542" s="1338"/>
      <c r="AD542" s="1338"/>
      <c r="AE542" s="1338"/>
      <c r="AF542" s="1338"/>
      <c r="AG542" s="1338"/>
      <c r="AH542" s="1338"/>
      <c r="AI542" s="1338"/>
      <c r="AJ542" s="1338"/>
      <c r="AK542" s="1338"/>
      <c r="AL542" s="1338"/>
      <c r="AM542" s="1338"/>
      <c r="AN542" s="1339"/>
      <c r="AO542" s="264"/>
      <c r="AP542" s="265"/>
      <c r="AQ542" s="266"/>
    </row>
    <row r="543" spans="1:43" ht="30.75" customHeight="1" x14ac:dyDescent="0.35">
      <c r="A543" s="1317" t="str">
        <f>CONCATENATE(AN436,AN416,AN405,AN388,AN356,AN338,AN302,AN326,AN219,AN188,AN128,AN115,AN22,AN8,AN516,AN452,AN282,AN201,AN204,AN185,AN246)</f>
        <v/>
      </c>
      <c r="B543" s="1318"/>
      <c r="C543" s="1318"/>
      <c r="D543" s="1318"/>
      <c r="E543" s="1318"/>
      <c r="F543" s="1318"/>
      <c r="G543" s="1318"/>
      <c r="H543" s="1318"/>
      <c r="I543" s="1318"/>
      <c r="J543" s="1318"/>
      <c r="K543" s="1318"/>
      <c r="L543" s="1319"/>
      <c r="M543" s="1326"/>
      <c r="N543" s="1327"/>
      <c r="O543" s="1327"/>
      <c r="P543" s="1327"/>
      <c r="Q543" s="1327"/>
      <c r="R543" s="1327"/>
      <c r="S543" s="1327"/>
      <c r="T543" s="1327"/>
      <c r="U543" s="1327"/>
      <c r="V543" s="1327"/>
      <c r="W543" s="1327"/>
      <c r="X543" s="1327"/>
      <c r="Y543" s="1327"/>
      <c r="Z543" s="1327"/>
      <c r="AA543" s="1327"/>
      <c r="AB543" s="1327"/>
      <c r="AC543" s="1327"/>
      <c r="AD543" s="1327"/>
      <c r="AE543" s="1327"/>
      <c r="AF543" s="1327"/>
      <c r="AG543" s="1327"/>
      <c r="AH543" s="1327"/>
      <c r="AI543" s="1327"/>
      <c r="AJ543" s="1327"/>
      <c r="AK543" s="1327"/>
      <c r="AL543" s="1327"/>
      <c r="AM543" s="1327"/>
      <c r="AN543" s="1328"/>
    </row>
    <row r="544" spans="1:43" ht="30.75" customHeight="1" x14ac:dyDescent="0.35">
      <c r="A544" s="1320"/>
      <c r="B544" s="1321"/>
      <c r="C544" s="1321"/>
      <c r="D544" s="1321"/>
      <c r="E544" s="1321"/>
      <c r="F544" s="1321"/>
      <c r="G544" s="1321"/>
      <c r="H544" s="1321"/>
      <c r="I544" s="1321"/>
      <c r="J544" s="1321"/>
      <c r="K544" s="1321"/>
      <c r="L544" s="1322"/>
      <c r="M544" s="1329"/>
      <c r="N544" s="1330"/>
      <c r="O544" s="1330"/>
      <c r="P544" s="1330"/>
      <c r="Q544" s="1330"/>
      <c r="R544" s="1330"/>
      <c r="S544" s="1330"/>
      <c r="T544" s="1330"/>
      <c r="U544" s="1330"/>
      <c r="V544" s="1330"/>
      <c r="W544" s="1330"/>
      <c r="X544" s="1330"/>
      <c r="Y544" s="1330"/>
      <c r="Z544" s="1330"/>
      <c r="AA544" s="1330"/>
      <c r="AB544" s="1330"/>
      <c r="AC544" s="1330"/>
      <c r="AD544" s="1330"/>
      <c r="AE544" s="1330"/>
      <c r="AF544" s="1330"/>
      <c r="AG544" s="1330"/>
      <c r="AH544" s="1330"/>
      <c r="AI544" s="1330"/>
      <c r="AJ544" s="1330"/>
      <c r="AK544" s="1330"/>
      <c r="AL544" s="1330"/>
      <c r="AM544" s="1330"/>
      <c r="AN544" s="1331"/>
    </row>
    <row r="545" spans="1:40" ht="30.75" customHeight="1" x14ac:dyDescent="0.35">
      <c r="A545" s="1320"/>
      <c r="B545" s="1321"/>
      <c r="C545" s="1321"/>
      <c r="D545" s="1321"/>
      <c r="E545" s="1321"/>
      <c r="F545" s="1321"/>
      <c r="G545" s="1321"/>
      <c r="H545" s="1321"/>
      <c r="I545" s="1321"/>
      <c r="J545" s="1321"/>
      <c r="K545" s="1321"/>
      <c r="L545" s="1322"/>
      <c r="M545" s="1329"/>
      <c r="N545" s="1330"/>
      <c r="O545" s="1330"/>
      <c r="P545" s="1330"/>
      <c r="Q545" s="1330"/>
      <c r="R545" s="1330"/>
      <c r="S545" s="1330"/>
      <c r="T545" s="1330"/>
      <c r="U545" s="1330"/>
      <c r="V545" s="1330"/>
      <c r="W545" s="1330"/>
      <c r="X545" s="1330"/>
      <c r="Y545" s="1330"/>
      <c r="Z545" s="1330"/>
      <c r="AA545" s="1330"/>
      <c r="AB545" s="1330"/>
      <c r="AC545" s="1330"/>
      <c r="AD545" s="1330"/>
      <c r="AE545" s="1330"/>
      <c r="AF545" s="1330"/>
      <c r="AG545" s="1330"/>
      <c r="AH545" s="1330"/>
      <c r="AI545" s="1330"/>
      <c r="AJ545" s="1330"/>
      <c r="AK545" s="1330"/>
      <c r="AL545" s="1330"/>
      <c r="AM545" s="1330"/>
      <c r="AN545" s="1331"/>
    </row>
    <row r="546" spans="1:40" ht="30.75" customHeight="1" x14ac:dyDescent="0.35">
      <c r="A546" s="1320"/>
      <c r="B546" s="1321"/>
      <c r="C546" s="1321"/>
      <c r="D546" s="1321"/>
      <c r="E546" s="1321"/>
      <c r="F546" s="1321"/>
      <c r="G546" s="1321"/>
      <c r="H546" s="1321"/>
      <c r="I546" s="1321"/>
      <c r="J546" s="1321"/>
      <c r="K546" s="1321"/>
      <c r="L546" s="1322"/>
      <c r="M546" s="1329"/>
      <c r="N546" s="1330"/>
      <c r="O546" s="1330"/>
      <c r="P546" s="1330"/>
      <c r="Q546" s="1330"/>
      <c r="R546" s="1330"/>
      <c r="S546" s="1330"/>
      <c r="T546" s="1330"/>
      <c r="U546" s="1330"/>
      <c r="V546" s="1330"/>
      <c r="W546" s="1330"/>
      <c r="X546" s="1330"/>
      <c r="Y546" s="1330"/>
      <c r="Z546" s="1330"/>
      <c r="AA546" s="1330"/>
      <c r="AB546" s="1330"/>
      <c r="AC546" s="1330"/>
      <c r="AD546" s="1330"/>
      <c r="AE546" s="1330"/>
      <c r="AF546" s="1330"/>
      <c r="AG546" s="1330"/>
      <c r="AH546" s="1330"/>
      <c r="AI546" s="1330"/>
      <c r="AJ546" s="1330"/>
      <c r="AK546" s="1330"/>
      <c r="AL546" s="1330"/>
      <c r="AM546" s="1330"/>
      <c r="AN546" s="1331"/>
    </row>
    <row r="547" spans="1:40" ht="30.75" customHeight="1" x14ac:dyDescent="0.35">
      <c r="A547" s="1320"/>
      <c r="B547" s="1321"/>
      <c r="C547" s="1321"/>
      <c r="D547" s="1321"/>
      <c r="E547" s="1321"/>
      <c r="F547" s="1321"/>
      <c r="G547" s="1321"/>
      <c r="H547" s="1321"/>
      <c r="I547" s="1321"/>
      <c r="J547" s="1321"/>
      <c r="K547" s="1321"/>
      <c r="L547" s="1322"/>
      <c r="M547" s="1329"/>
      <c r="N547" s="1330"/>
      <c r="O547" s="1330"/>
      <c r="P547" s="1330"/>
      <c r="Q547" s="1330"/>
      <c r="R547" s="1330"/>
      <c r="S547" s="1330"/>
      <c r="T547" s="1330"/>
      <c r="U547" s="1330"/>
      <c r="V547" s="1330"/>
      <c r="W547" s="1330"/>
      <c r="X547" s="1330"/>
      <c r="Y547" s="1330"/>
      <c r="Z547" s="1330"/>
      <c r="AA547" s="1330"/>
      <c r="AB547" s="1330"/>
      <c r="AC547" s="1330"/>
      <c r="AD547" s="1330"/>
      <c r="AE547" s="1330"/>
      <c r="AF547" s="1330"/>
      <c r="AG547" s="1330"/>
      <c r="AH547" s="1330"/>
      <c r="AI547" s="1330"/>
      <c r="AJ547" s="1330"/>
      <c r="AK547" s="1330"/>
      <c r="AL547" s="1330"/>
      <c r="AM547" s="1330"/>
      <c r="AN547" s="1331"/>
    </row>
    <row r="548" spans="1:40" ht="30.75" customHeight="1" x14ac:dyDescent="0.35">
      <c r="A548" s="1320"/>
      <c r="B548" s="1321"/>
      <c r="C548" s="1321"/>
      <c r="D548" s="1321"/>
      <c r="E548" s="1321"/>
      <c r="F548" s="1321"/>
      <c r="G548" s="1321"/>
      <c r="H548" s="1321"/>
      <c r="I548" s="1321"/>
      <c r="J548" s="1321"/>
      <c r="K548" s="1321"/>
      <c r="L548" s="1322"/>
      <c r="M548" s="1329"/>
      <c r="N548" s="1330"/>
      <c r="O548" s="1330"/>
      <c r="P548" s="1330"/>
      <c r="Q548" s="1330"/>
      <c r="R548" s="1330"/>
      <c r="S548" s="1330"/>
      <c r="T548" s="1330"/>
      <c r="U548" s="1330"/>
      <c r="V548" s="1330"/>
      <c r="W548" s="1330"/>
      <c r="X548" s="1330"/>
      <c r="Y548" s="1330"/>
      <c r="Z548" s="1330"/>
      <c r="AA548" s="1330"/>
      <c r="AB548" s="1330"/>
      <c r="AC548" s="1330"/>
      <c r="AD548" s="1330"/>
      <c r="AE548" s="1330"/>
      <c r="AF548" s="1330"/>
      <c r="AG548" s="1330"/>
      <c r="AH548" s="1330"/>
      <c r="AI548" s="1330"/>
      <c r="AJ548" s="1330"/>
      <c r="AK548" s="1330"/>
      <c r="AL548" s="1330"/>
      <c r="AM548" s="1330"/>
      <c r="AN548" s="1331"/>
    </row>
    <row r="549" spans="1:40" ht="30.75" customHeight="1" x14ac:dyDescent="0.35">
      <c r="A549" s="1320"/>
      <c r="B549" s="1321"/>
      <c r="C549" s="1321"/>
      <c r="D549" s="1321"/>
      <c r="E549" s="1321"/>
      <c r="F549" s="1321"/>
      <c r="G549" s="1321"/>
      <c r="H549" s="1321"/>
      <c r="I549" s="1321"/>
      <c r="J549" s="1321"/>
      <c r="K549" s="1321"/>
      <c r="L549" s="1322"/>
      <c r="M549" s="1329"/>
      <c r="N549" s="1330"/>
      <c r="O549" s="1330"/>
      <c r="P549" s="1330"/>
      <c r="Q549" s="1330"/>
      <c r="R549" s="1330"/>
      <c r="S549" s="1330"/>
      <c r="T549" s="1330"/>
      <c r="U549" s="1330"/>
      <c r="V549" s="1330"/>
      <c r="W549" s="1330"/>
      <c r="X549" s="1330"/>
      <c r="Y549" s="1330"/>
      <c r="Z549" s="1330"/>
      <c r="AA549" s="1330"/>
      <c r="AB549" s="1330"/>
      <c r="AC549" s="1330"/>
      <c r="AD549" s="1330"/>
      <c r="AE549" s="1330"/>
      <c r="AF549" s="1330"/>
      <c r="AG549" s="1330"/>
      <c r="AH549" s="1330"/>
      <c r="AI549" s="1330"/>
      <c r="AJ549" s="1330"/>
      <c r="AK549" s="1330"/>
      <c r="AL549" s="1330"/>
      <c r="AM549" s="1330"/>
      <c r="AN549" s="1331"/>
    </row>
    <row r="550" spans="1:40" ht="30.75" customHeight="1" x14ac:dyDescent="0.35">
      <c r="A550" s="1320"/>
      <c r="B550" s="1321"/>
      <c r="C550" s="1321"/>
      <c r="D550" s="1321"/>
      <c r="E550" s="1321"/>
      <c r="F550" s="1321"/>
      <c r="G550" s="1321"/>
      <c r="H550" s="1321"/>
      <c r="I550" s="1321"/>
      <c r="J550" s="1321"/>
      <c r="K550" s="1321"/>
      <c r="L550" s="1322"/>
      <c r="M550" s="1329"/>
      <c r="N550" s="1330"/>
      <c r="O550" s="1330"/>
      <c r="P550" s="1330"/>
      <c r="Q550" s="1330"/>
      <c r="R550" s="1330"/>
      <c r="S550" s="1330"/>
      <c r="T550" s="1330"/>
      <c r="U550" s="1330"/>
      <c r="V550" s="1330"/>
      <c r="W550" s="1330"/>
      <c r="X550" s="1330"/>
      <c r="Y550" s="1330"/>
      <c r="Z550" s="1330"/>
      <c r="AA550" s="1330"/>
      <c r="AB550" s="1330"/>
      <c r="AC550" s="1330"/>
      <c r="AD550" s="1330"/>
      <c r="AE550" s="1330"/>
      <c r="AF550" s="1330"/>
      <c r="AG550" s="1330"/>
      <c r="AH550" s="1330"/>
      <c r="AI550" s="1330"/>
      <c r="AJ550" s="1330"/>
      <c r="AK550" s="1330"/>
      <c r="AL550" s="1330"/>
      <c r="AM550" s="1330"/>
      <c r="AN550" s="1331"/>
    </row>
    <row r="551" spans="1:40" ht="30.75" customHeight="1" x14ac:dyDescent="0.35">
      <c r="A551" s="1320"/>
      <c r="B551" s="1321"/>
      <c r="C551" s="1321"/>
      <c r="D551" s="1321"/>
      <c r="E551" s="1321"/>
      <c r="F551" s="1321"/>
      <c r="G551" s="1321"/>
      <c r="H551" s="1321"/>
      <c r="I551" s="1321"/>
      <c r="J551" s="1321"/>
      <c r="K551" s="1321"/>
      <c r="L551" s="1322"/>
      <c r="M551" s="1329"/>
      <c r="N551" s="1330"/>
      <c r="O551" s="1330"/>
      <c r="P551" s="1330"/>
      <c r="Q551" s="1330"/>
      <c r="R551" s="1330"/>
      <c r="S551" s="1330"/>
      <c r="T551" s="1330"/>
      <c r="U551" s="1330"/>
      <c r="V551" s="1330"/>
      <c r="W551" s="1330"/>
      <c r="X551" s="1330"/>
      <c r="Y551" s="1330"/>
      <c r="Z551" s="1330"/>
      <c r="AA551" s="1330"/>
      <c r="AB551" s="1330"/>
      <c r="AC551" s="1330"/>
      <c r="AD551" s="1330"/>
      <c r="AE551" s="1330"/>
      <c r="AF551" s="1330"/>
      <c r="AG551" s="1330"/>
      <c r="AH551" s="1330"/>
      <c r="AI551" s="1330"/>
      <c r="AJ551" s="1330"/>
      <c r="AK551" s="1330"/>
      <c r="AL551" s="1330"/>
      <c r="AM551" s="1330"/>
      <c r="AN551" s="1331"/>
    </row>
    <row r="552" spans="1:40" ht="30.75" customHeight="1" x14ac:dyDescent="0.35">
      <c r="A552" s="1320"/>
      <c r="B552" s="1321"/>
      <c r="C552" s="1321"/>
      <c r="D552" s="1321"/>
      <c r="E552" s="1321"/>
      <c r="F552" s="1321"/>
      <c r="G552" s="1321"/>
      <c r="H552" s="1321"/>
      <c r="I552" s="1321"/>
      <c r="J552" s="1321"/>
      <c r="K552" s="1321"/>
      <c r="L552" s="1322"/>
      <c r="M552" s="1329"/>
      <c r="N552" s="1330"/>
      <c r="O552" s="1330"/>
      <c r="P552" s="1330"/>
      <c r="Q552" s="1330"/>
      <c r="R552" s="1330"/>
      <c r="S552" s="1330"/>
      <c r="T552" s="1330"/>
      <c r="U552" s="1330"/>
      <c r="V552" s="1330"/>
      <c r="W552" s="1330"/>
      <c r="X552" s="1330"/>
      <c r="Y552" s="1330"/>
      <c r="Z552" s="1330"/>
      <c r="AA552" s="1330"/>
      <c r="AB552" s="1330"/>
      <c r="AC552" s="1330"/>
      <c r="AD552" s="1330"/>
      <c r="AE552" s="1330"/>
      <c r="AF552" s="1330"/>
      <c r="AG552" s="1330"/>
      <c r="AH552" s="1330"/>
      <c r="AI552" s="1330"/>
      <c r="AJ552" s="1330"/>
      <c r="AK552" s="1330"/>
      <c r="AL552" s="1330"/>
      <c r="AM552" s="1330"/>
      <c r="AN552" s="1331"/>
    </row>
    <row r="553" spans="1:40" ht="30.75" customHeight="1" x14ac:dyDescent="0.35">
      <c r="A553" s="1320"/>
      <c r="B553" s="1321"/>
      <c r="C553" s="1321"/>
      <c r="D553" s="1321"/>
      <c r="E553" s="1321"/>
      <c r="F553" s="1321"/>
      <c r="G553" s="1321"/>
      <c r="H553" s="1321"/>
      <c r="I553" s="1321"/>
      <c r="J553" s="1321"/>
      <c r="K553" s="1321"/>
      <c r="L553" s="1322"/>
      <c r="M553" s="1329"/>
      <c r="N553" s="1330"/>
      <c r="O553" s="1330"/>
      <c r="P553" s="1330"/>
      <c r="Q553" s="1330"/>
      <c r="R553" s="1330"/>
      <c r="S553" s="1330"/>
      <c r="T553" s="1330"/>
      <c r="U553" s="1330"/>
      <c r="V553" s="1330"/>
      <c r="W553" s="1330"/>
      <c r="X553" s="1330"/>
      <c r="Y553" s="1330"/>
      <c r="Z553" s="1330"/>
      <c r="AA553" s="1330"/>
      <c r="AB553" s="1330"/>
      <c r="AC553" s="1330"/>
      <c r="AD553" s="1330"/>
      <c r="AE553" s="1330"/>
      <c r="AF553" s="1330"/>
      <c r="AG553" s="1330"/>
      <c r="AH553" s="1330"/>
      <c r="AI553" s="1330"/>
      <c r="AJ553" s="1330"/>
      <c r="AK553" s="1330"/>
      <c r="AL553" s="1330"/>
      <c r="AM553" s="1330"/>
      <c r="AN553" s="1331"/>
    </row>
    <row r="554" spans="1:40" ht="30.75" customHeight="1" x14ac:dyDescent="0.35">
      <c r="A554" s="1320"/>
      <c r="B554" s="1321"/>
      <c r="C554" s="1321"/>
      <c r="D554" s="1321"/>
      <c r="E554" s="1321"/>
      <c r="F554" s="1321"/>
      <c r="G554" s="1321"/>
      <c r="H554" s="1321"/>
      <c r="I554" s="1321"/>
      <c r="J554" s="1321"/>
      <c r="K554" s="1321"/>
      <c r="L554" s="1322"/>
      <c r="M554" s="1329"/>
      <c r="N554" s="1330"/>
      <c r="O554" s="1330"/>
      <c r="P554" s="1330"/>
      <c r="Q554" s="1330"/>
      <c r="R554" s="1330"/>
      <c r="S554" s="1330"/>
      <c r="T554" s="1330"/>
      <c r="U554" s="1330"/>
      <c r="V554" s="1330"/>
      <c r="W554" s="1330"/>
      <c r="X554" s="1330"/>
      <c r="Y554" s="1330"/>
      <c r="Z554" s="1330"/>
      <c r="AA554" s="1330"/>
      <c r="AB554" s="1330"/>
      <c r="AC554" s="1330"/>
      <c r="AD554" s="1330"/>
      <c r="AE554" s="1330"/>
      <c r="AF554" s="1330"/>
      <c r="AG554" s="1330"/>
      <c r="AH554" s="1330"/>
      <c r="AI554" s="1330"/>
      <c r="AJ554" s="1330"/>
      <c r="AK554" s="1330"/>
      <c r="AL554" s="1330"/>
      <c r="AM554" s="1330"/>
      <c r="AN554" s="1331"/>
    </row>
    <row r="555" spans="1:40" ht="30.75" customHeight="1" x14ac:dyDescent="0.35">
      <c r="A555" s="1320"/>
      <c r="B555" s="1321"/>
      <c r="C555" s="1321"/>
      <c r="D555" s="1321"/>
      <c r="E555" s="1321"/>
      <c r="F555" s="1321"/>
      <c r="G555" s="1321"/>
      <c r="H555" s="1321"/>
      <c r="I555" s="1321"/>
      <c r="J555" s="1321"/>
      <c r="K555" s="1321"/>
      <c r="L555" s="1322"/>
      <c r="M555" s="1329"/>
      <c r="N555" s="1330"/>
      <c r="O555" s="1330"/>
      <c r="P555" s="1330"/>
      <c r="Q555" s="1330"/>
      <c r="R555" s="1330"/>
      <c r="S555" s="1330"/>
      <c r="T555" s="1330"/>
      <c r="U555" s="1330"/>
      <c r="V555" s="1330"/>
      <c r="W555" s="1330"/>
      <c r="X555" s="1330"/>
      <c r="Y555" s="1330"/>
      <c r="Z555" s="1330"/>
      <c r="AA555" s="1330"/>
      <c r="AB555" s="1330"/>
      <c r="AC555" s="1330"/>
      <c r="AD555" s="1330"/>
      <c r="AE555" s="1330"/>
      <c r="AF555" s="1330"/>
      <c r="AG555" s="1330"/>
      <c r="AH555" s="1330"/>
      <c r="AI555" s="1330"/>
      <c r="AJ555" s="1330"/>
      <c r="AK555" s="1330"/>
      <c r="AL555" s="1330"/>
      <c r="AM555" s="1330"/>
      <c r="AN555" s="1331"/>
    </row>
    <row r="556" spans="1:40" ht="30.75" customHeight="1" x14ac:dyDescent="0.35">
      <c r="A556" s="1320"/>
      <c r="B556" s="1321"/>
      <c r="C556" s="1321"/>
      <c r="D556" s="1321"/>
      <c r="E556" s="1321"/>
      <c r="F556" s="1321"/>
      <c r="G556" s="1321"/>
      <c r="H556" s="1321"/>
      <c r="I556" s="1321"/>
      <c r="J556" s="1321"/>
      <c r="K556" s="1321"/>
      <c r="L556" s="1322"/>
      <c r="M556" s="1329"/>
      <c r="N556" s="1330"/>
      <c r="O556" s="1330"/>
      <c r="P556" s="1330"/>
      <c r="Q556" s="1330"/>
      <c r="R556" s="1330"/>
      <c r="S556" s="1330"/>
      <c r="T556" s="1330"/>
      <c r="U556" s="1330"/>
      <c r="V556" s="1330"/>
      <c r="W556" s="1330"/>
      <c r="X556" s="1330"/>
      <c r="Y556" s="1330"/>
      <c r="Z556" s="1330"/>
      <c r="AA556" s="1330"/>
      <c r="AB556" s="1330"/>
      <c r="AC556" s="1330"/>
      <c r="AD556" s="1330"/>
      <c r="AE556" s="1330"/>
      <c r="AF556" s="1330"/>
      <c r="AG556" s="1330"/>
      <c r="AH556" s="1330"/>
      <c r="AI556" s="1330"/>
      <c r="AJ556" s="1330"/>
      <c r="AK556" s="1330"/>
      <c r="AL556" s="1330"/>
      <c r="AM556" s="1330"/>
      <c r="AN556" s="1331"/>
    </row>
    <row r="557" spans="1:40" ht="30.75" customHeight="1" x14ac:dyDescent="0.35">
      <c r="A557" s="1320"/>
      <c r="B557" s="1321"/>
      <c r="C557" s="1321"/>
      <c r="D557" s="1321"/>
      <c r="E557" s="1321"/>
      <c r="F557" s="1321"/>
      <c r="G557" s="1321"/>
      <c r="H557" s="1321"/>
      <c r="I557" s="1321"/>
      <c r="J557" s="1321"/>
      <c r="K557" s="1321"/>
      <c r="L557" s="1322"/>
      <c r="M557" s="1329"/>
      <c r="N557" s="1330"/>
      <c r="O557" s="1330"/>
      <c r="P557" s="1330"/>
      <c r="Q557" s="1330"/>
      <c r="R557" s="1330"/>
      <c r="S557" s="1330"/>
      <c r="T557" s="1330"/>
      <c r="U557" s="1330"/>
      <c r="V557" s="1330"/>
      <c r="W557" s="1330"/>
      <c r="X557" s="1330"/>
      <c r="Y557" s="1330"/>
      <c r="Z557" s="1330"/>
      <c r="AA557" s="1330"/>
      <c r="AB557" s="1330"/>
      <c r="AC557" s="1330"/>
      <c r="AD557" s="1330"/>
      <c r="AE557" s="1330"/>
      <c r="AF557" s="1330"/>
      <c r="AG557" s="1330"/>
      <c r="AH557" s="1330"/>
      <c r="AI557" s="1330"/>
      <c r="AJ557" s="1330"/>
      <c r="AK557" s="1330"/>
      <c r="AL557" s="1330"/>
      <c r="AM557" s="1330"/>
      <c r="AN557" s="1331"/>
    </row>
    <row r="558" spans="1:40" ht="30.75" customHeight="1" x14ac:dyDescent="0.35">
      <c r="A558" s="1320"/>
      <c r="B558" s="1321"/>
      <c r="C558" s="1321"/>
      <c r="D558" s="1321"/>
      <c r="E558" s="1321"/>
      <c r="F558" s="1321"/>
      <c r="G558" s="1321"/>
      <c r="H558" s="1321"/>
      <c r="I558" s="1321"/>
      <c r="J558" s="1321"/>
      <c r="K558" s="1321"/>
      <c r="L558" s="1322"/>
      <c r="M558" s="1329"/>
      <c r="N558" s="1330"/>
      <c r="O558" s="1330"/>
      <c r="P558" s="1330"/>
      <c r="Q558" s="1330"/>
      <c r="R558" s="1330"/>
      <c r="S558" s="1330"/>
      <c r="T558" s="1330"/>
      <c r="U558" s="1330"/>
      <c r="V558" s="1330"/>
      <c r="W558" s="1330"/>
      <c r="X558" s="1330"/>
      <c r="Y558" s="1330"/>
      <c r="Z558" s="1330"/>
      <c r="AA558" s="1330"/>
      <c r="AB558" s="1330"/>
      <c r="AC558" s="1330"/>
      <c r="AD558" s="1330"/>
      <c r="AE558" s="1330"/>
      <c r="AF558" s="1330"/>
      <c r="AG558" s="1330"/>
      <c r="AH558" s="1330"/>
      <c r="AI558" s="1330"/>
      <c r="AJ558" s="1330"/>
      <c r="AK558" s="1330"/>
      <c r="AL558" s="1330"/>
      <c r="AM558" s="1330"/>
      <c r="AN558" s="1331"/>
    </row>
    <row r="559" spans="1:40" ht="30.75" customHeight="1" x14ac:dyDescent="0.35">
      <c r="A559" s="1320"/>
      <c r="B559" s="1321"/>
      <c r="C559" s="1321"/>
      <c r="D559" s="1321"/>
      <c r="E559" s="1321"/>
      <c r="F559" s="1321"/>
      <c r="G559" s="1321"/>
      <c r="H559" s="1321"/>
      <c r="I559" s="1321"/>
      <c r="J559" s="1321"/>
      <c r="K559" s="1321"/>
      <c r="L559" s="1322"/>
      <c r="M559" s="1329"/>
      <c r="N559" s="1330"/>
      <c r="O559" s="1330"/>
      <c r="P559" s="1330"/>
      <c r="Q559" s="1330"/>
      <c r="R559" s="1330"/>
      <c r="S559" s="1330"/>
      <c r="T559" s="1330"/>
      <c r="U559" s="1330"/>
      <c r="V559" s="1330"/>
      <c r="W559" s="1330"/>
      <c r="X559" s="1330"/>
      <c r="Y559" s="1330"/>
      <c r="Z559" s="1330"/>
      <c r="AA559" s="1330"/>
      <c r="AB559" s="1330"/>
      <c r="AC559" s="1330"/>
      <c r="AD559" s="1330"/>
      <c r="AE559" s="1330"/>
      <c r="AF559" s="1330"/>
      <c r="AG559" s="1330"/>
      <c r="AH559" s="1330"/>
      <c r="AI559" s="1330"/>
      <c r="AJ559" s="1330"/>
      <c r="AK559" s="1330"/>
      <c r="AL559" s="1330"/>
      <c r="AM559" s="1330"/>
      <c r="AN559" s="1331"/>
    </row>
    <row r="560" spans="1:40" ht="30.75" customHeight="1" x14ac:dyDescent="0.35">
      <c r="A560" s="1320"/>
      <c r="B560" s="1321"/>
      <c r="C560" s="1321"/>
      <c r="D560" s="1321"/>
      <c r="E560" s="1321"/>
      <c r="F560" s="1321"/>
      <c r="G560" s="1321"/>
      <c r="H560" s="1321"/>
      <c r="I560" s="1321"/>
      <c r="J560" s="1321"/>
      <c r="K560" s="1321"/>
      <c r="L560" s="1322"/>
      <c r="M560" s="1329"/>
      <c r="N560" s="1330"/>
      <c r="O560" s="1330"/>
      <c r="P560" s="1330"/>
      <c r="Q560" s="1330"/>
      <c r="R560" s="1330"/>
      <c r="S560" s="1330"/>
      <c r="T560" s="1330"/>
      <c r="U560" s="1330"/>
      <c r="V560" s="1330"/>
      <c r="W560" s="1330"/>
      <c r="X560" s="1330"/>
      <c r="Y560" s="1330"/>
      <c r="Z560" s="1330"/>
      <c r="AA560" s="1330"/>
      <c r="AB560" s="1330"/>
      <c r="AC560" s="1330"/>
      <c r="AD560" s="1330"/>
      <c r="AE560" s="1330"/>
      <c r="AF560" s="1330"/>
      <c r="AG560" s="1330"/>
      <c r="AH560" s="1330"/>
      <c r="AI560" s="1330"/>
      <c r="AJ560" s="1330"/>
      <c r="AK560" s="1330"/>
      <c r="AL560" s="1330"/>
      <c r="AM560" s="1330"/>
      <c r="AN560" s="1331"/>
    </row>
    <row r="561" spans="1:40" ht="30.75" customHeight="1" x14ac:dyDescent="0.35">
      <c r="A561" s="1320"/>
      <c r="B561" s="1321"/>
      <c r="C561" s="1321"/>
      <c r="D561" s="1321"/>
      <c r="E561" s="1321"/>
      <c r="F561" s="1321"/>
      <c r="G561" s="1321"/>
      <c r="H561" s="1321"/>
      <c r="I561" s="1321"/>
      <c r="J561" s="1321"/>
      <c r="K561" s="1321"/>
      <c r="L561" s="1322"/>
      <c r="M561" s="1329"/>
      <c r="N561" s="1330"/>
      <c r="O561" s="1330"/>
      <c r="P561" s="1330"/>
      <c r="Q561" s="1330"/>
      <c r="R561" s="1330"/>
      <c r="S561" s="1330"/>
      <c r="T561" s="1330"/>
      <c r="U561" s="1330"/>
      <c r="V561" s="1330"/>
      <c r="W561" s="1330"/>
      <c r="X561" s="1330"/>
      <c r="Y561" s="1330"/>
      <c r="Z561" s="1330"/>
      <c r="AA561" s="1330"/>
      <c r="AB561" s="1330"/>
      <c r="AC561" s="1330"/>
      <c r="AD561" s="1330"/>
      <c r="AE561" s="1330"/>
      <c r="AF561" s="1330"/>
      <c r="AG561" s="1330"/>
      <c r="AH561" s="1330"/>
      <c r="AI561" s="1330"/>
      <c r="AJ561" s="1330"/>
      <c r="AK561" s="1330"/>
      <c r="AL561" s="1330"/>
      <c r="AM561" s="1330"/>
      <c r="AN561" s="1331"/>
    </row>
    <row r="562" spans="1:40" ht="30.75" customHeight="1" x14ac:dyDescent="0.35">
      <c r="A562" s="1320"/>
      <c r="B562" s="1321"/>
      <c r="C562" s="1321"/>
      <c r="D562" s="1321"/>
      <c r="E562" s="1321"/>
      <c r="F562" s="1321"/>
      <c r="G562" s="1321"/>
      <c r="H562" s="1321"/>
      <c r="I562" s="1321"/>
      <c r="J562" s="1321"/>
      <c r="K562" s="1321"/>
      <c r="L562" s="1322"/>
      <c r="M562" s="1329"/>
      <c r="N562" s="1330"/>
      <c r="O562" s="1330"/>
      <c r="P562" s="1330"/>
      <c r="Q562" s="1330"/>
      <c r="R562" s="1330"/>
      <c r="S562" s="1330"/>
      <c r="T562" s="1330"/>
      <c r="U562" s="1330"/>
      <c r="V562" s="1330"/>
      <c r="W562" s="1330"/>
      <c r="X562" s="1330"/>
      <c r="Y562" s="1330"/>
      <c r="Z562" s="1330"/>
      <c r="AA562" s="1330"/>
      <c r="AB562" s="1330"/>
      <c r="AC562" s="1330"/>
      <c r="AD562" s="1330"/>
      <c r="AE562" s="1330"/>
      <c r="AF562" s="1330"/>
      <c r="AG562" s="1330"/>
      <c r="AH562" s="1330"/>
      <c r="AI562" s="1330"/>
      <c r="AJ562" s="1330"/>
      <c r="AK562" s="1330"/>
      <c r="AL562" s="1330"/>
      <c r="AM562" s="1330"/>
      <c r="AN562" s="1331"/>
    </row>
    <row r="563" spans="1:40" ht="30.75" customHeight="1" x14ac:dyDescent="0.35">
      <c r="A563" s="1320"/>
      <c r="B563" s="1321"/>
      <c r="C563" s="1321"/>
      <c r="D563" s="1321"/>
      <c r="E563" s="1321"/>
      <c r="F563" s="1321"/>
      <c r="G563" s="1321"/>
      <c r="H563" s="1321"/>
      <c r="I563" s="1321"/>
      <c r="J563" s="1321"/>
      <c r="K563" s="1321"/>
      <c r="L563" s="1322"/>
      <c r="M563" s="1329"/>
      <c r="N563" s="1330"/>
      <c r="O563" s="1330"/>
      <c r="P563" s="1330"/>
      <c r="Q563" s="1330"/>
      <c r="R563" s="1330"/>
      <c r="S563" s="1330"/>
      <c r="T563" s="1330"/>
      <c r="U563" s="1330"/>
      <c r="V563" s="1330"/>
      <c r="W563" s="1330"/>
      <c r="X563" s="1330"/>
      <c r="Y563" s="1330"/>
      <c r="Z563" s="1330"/>
      <c r="AA563" s="1330"/>
      <c r="AB563" s="1330"/>
      <c r="AC563" s="1330"/>
      <c r="AD563" s="1330"/>
      <c r="AE563" s="1330"/>
      <c r="AF563" s="1330"/>
      <c r="AG563" s="1330"/>
      <c r="AH563" s="1330"/>
      <c r="AI563" s="1330"/>
      <c r="AJ563" s="1330"/>
      <c r="AK563" s="1330"/>
      <c r="AL563" s="1330"/>
      <c r="AM563" s="1330"/>
      <c r="AN563" s="1331"/>
    </row>
    <row r="564" spans="1:40" ht="30.75" customHeight="1" x14ac:dyDescent="0.35">
      <c r="A564" s="1320"/>
      <c r="B564" s="1321"/>
      <c r="C564" s="1321"/>
      <c r="D564" s="1321"/>
      <c r="E564" s="1321"/>
      <c r="F564" s="1321"/>
      <c r="G564" s="1321"/>
      <c r="H564" s="1321"/>
      <c r="I564" s="1321"/>
      <c r="J564" s="1321"/>
      <c r="K564" s="1321"/>
      <c r="L564" s="1322"/>
      <c r="M564" s="1329"/>
      <c r="N564" s="1330"/>
      <c r="O564" s="1330"/>
      <c r="P564" s="1330"/>
      <c r="Q564" s="1330"/>
      <c r="R564" s="1330"/>
      <c r="S564" s="1330"/>
      <c r="T564" s="1330"/>
      <c r="U564" s="1330"/>
      <c r="V564" s="1330"/>
      <c r="W564" s="1330"/>
      <c r="X564" s="1330"/>
      <c r="Y564" s="1330"/>
      <c r="Z564" s="1330"/>
      <c r="AA564" s="1330"/>
      <c r="AB564" s="1330"/>
      <c r="AC564" s="1330"/>
      <c r="AD564" s="1330"/>
      <c r="AE564" s="1330"/>
      <c r="AF564" s="1330"/>
      <c r="AG564" s="1330"/>
      <c r="AH564" s="1330"/>
      <c r="AI564" s="1330"/>
      <c r="AJ564" s="1330"/>
      <c r="AK564" s="1330"/>
      <c r="AL564" s="1330"/>
      <c r="AM564" s="1330"/>
      <c r="AN564" s="1331"/>
    </row>
    <row r="565" spans="1:40" ht="30.75" customHeight="1" x14ac:dyDescent="0.35">
      <c r="A565" s="1320"/>
      <c r="B565" s="1321"/>
      <c r="C565" s="1321"/>
      <c r="D565" s="1321"/>
      <c r="E565" s="1321"/>
      <c r="F565" s="1321"/>
      <c r="G565" s="1321"/>
      <c r="H565" s="1321"/>
      <c r="I565" s="1321"/>
      <c r="J565" s="1321"/>
      <c r="K565" s="1321"/>
      <c r="L565" s="1322"/>
      <c r="M565" s="1329"/>
      <c r="N565" s="1330"/>
      <c r="O565" s="1330"/>
      <c r="P565" s="1330"/>
      <c r="Q565" s="1330"/>
      <c r="R565" s="1330"/>
      <c r="S565" s="1330"/>
      <c r="T565" s="1330"/>
      <c r="U565" s="1330"/>
      <c r="V565" s="1330"/>
      <c r="W565" s="1330"/>
      <c r="X565" s="1330"/>
      <c r="Y565" s="1330"/>
      <c r="Z565" s="1330"/>
      <c r="AA565" s="1330"/>
      <c r="AB565" s="1330"/>
      <c r="AC565" s="1330"/>
      <c r="AD565" s="1330"/>
      <c r="AE565" s="1330"/>
      <c r="AF565" s="1330"/>
      <c r="AG565" s="1330"/>
      <c r="AH565" s="1330"/>
      <c r="AI565" s="1330"/>
      <c r="AJ565" s="1330"/>
      <c r="AK565" s="1330"/>
      <c r="AL565" s="1330"/>
      <c r="AM565" s="1330"/>
      <c r="AN565" s="1331"/>
    </row>
    <row r="566" spans="1:40" ht="30.75" customHeight="1" x14ac:dyDescent="0.35">
      <c r="A566" s="1320"/>
      <c r="B566" s="1321"/>
      <c r="C566" s="1321"/>
      <c r="D566" s="1321"/>
      <c r="E566" s="1321"/>
      <c r="F566" s="1321"/>
      <c r="G566" s="1321"/>
      <c r="H566" s="1321"/>
      <c r="I566" s="1321"/>
      <c r="J566" s="1321"/>
      <c r="K566" s="1321"/>
      <c r="L566" s="1322"/>
      <c r="M566" s="1329"/>
      <c r="N566" s="1330"/>
      <c r="O566" s="1330"/>
      <c r="P566" s="1330"/>
      <c r="Q566" s="1330"/>
      <c r="R566" s="1330"/>
      <c r="S566" s="1330"/>
      <c r="T566" s="1330"/>
      <c r="U566" s="1330"/>
      <c r="V566" s="1330"/>
      <c r="W566" s="1330"/>
      <c r="X566" s="1330"/>
      <c r="Y566" s="1330"/>
      <c r="Z566" s="1330"/>
      <c r="AA566" s="1330"/>
      <c r="AB566" s="1330"/>
      <c r="AC566" s="1330"/>
      <c r="AD566" s="1330"/>
      <c r="AE566" s="1330"/>
      <c r="AF566" s="1330"/>
      <c r="AG566" s="1330"/>
      <c r="AH566" s="1330"/>
      <c r="AI566" s="1330"/>
      <c r="AJ566" s="1330"/>
      <c r="AK566" s="1330"/>
      <c r="AL566" s="1330"/>
      <c r="AM566" s="1330"/>
      <c r="AN566" s="1331"/>
    </row>
    <row r="567" spans="1:40" ht="30.75" customHeight="1" x14ac:dyDescent="0.35">
      <c r="A567" s="1320"/>
      <c r="B567" s="1321"/>
      <c r="C567" s="1321"/>
      <c r="D567" s="1321"/>
      <c r="E567" s="1321"/>
      <c r="F567" s="1321"/>
      <c r="G567" s="1321"/>
      <c r="H567" s="1321"/>
      <c r="I567" s="1321"/>
      <c r="J567" s="1321"/>
      <c r="K567" s="1321"/>
      <c r="L567" s="1322"/>
      <c r="M567" s="1329"/>
      <c r="N567" s="1330"/>
      <c r="O567" s="1330"/>
      <c r="P567" s="1330"/>
      <c r="Q567" s="1330"/>
      <c r="R567" s="1330"/>
      <c r="S567" s="1330"/>
      <c r="T567" s="1330"/>
      <c r="U567" s="1330"/>
      <c r="V567" s="1330"/>
      <c r="W567" s="1330"/>
      <c r="X567" s="1330"/>
      <c r="Y567" s="1330"/>
      <c r="Z567" s="1330"/>
      <c r="AA567" s="1330"/>
      <c r="AB567" s="1330"/>
      <c r="AC567" s="1330"/>
      <c r="AD567" s="1330"/>
      <c r="AE567" s="1330"/>
      <c r="AF567" s="1330"/>
      <c r="AG567" s="1330"/>
      <c r="AH567" s="1330"/>
      <c r="AI567" s="1330"/>
      <c r="AJ567" s="1330"/>
      <c r="AK567" s="1330"/>
      <c r="AL567" s="1330"/>
      <c r="AM567" s="1330"/>
      <c r="AN567" s="1331"/>
    </row>
    <row r="568" spans="1:40" ht="30.75" customHeight="1" x14ac:dyDescent="0.35">
      <c r="A568" s="1320"/>
      <c r="B568" s="1321"/>
      <c r="C568" s="1321"/>
      <c r="D568" s="1321"/>
      <c r="E568" s="1321"/>
      <c r="F568" s="1321"/>
      <c r="G568" s="1321"/>
      <c r="H568" s="1321"/>
      <c r="I568" s="1321"/>
      <c r="J568" s="1321"/>
      <c r="K568" s="1321"/>
      <c r="L568" s="1322"/>
      <c r="M568" s="1329"/>
      <c r="N568" s="1330"/>
      <c r="O568" s="1330"/>
      <c r="P568" s="1330"/>
      <c r="Q568" s="1330"/>
      <c r="R568" s="1330"/>
      <c r="S568" s="1330"/>
      <c r="T568" s="1330"/>
      <c r="U568" s="1330"/>
      <c r="V568" s="1330"/>
      <c r="W568" s="1330"/>
      <c r="X568" s="1330"/>
      <c r="Y568" s="1330"/>
      <c r="Z568" s="1330"/>
      <c r="AA568" s="1330"/>
      <c r="AB568" s="1330"/>
      <c r="AC568" s="1330"/>
      <c r="AD568" s="1330"/>
      <c r="AE568" s="1330"/>
      <c r="AF568" s="1330"/>
      <c r="AG568" s="1330"/>
      <c r="AH568" s="1330"/>
      <c r="AI568" s="1330"/>
      <c r="AJ568" s="1330"/>
      <c r="AK568" s="1330"/>
      <c r="AL568" s="1330"/>
      <c r="AM568" s="1330"/>
      <c r="AN568" s="1331"/>
    </row>
    <row r="569" spans="1:40" ht="30.75" customHeight="1" x14ac:dyDescent="0.35">
      <c r="A569" s="1320"/>
      <c r="B569" s="1321"/>
      <c r="C569" s="1321"/>
      <c r="D569" s="1321"/>
      <c r="E569" s="1321"/>
      <c r="F569" s="1321"/>
      <c r="G569" s="1321"/>
      <c r="H569" s="1321"/>
      <c r="I569" s="1321"/>
      <c r="J569" s="1321"/>
      <c r="K569" s="1321"/>
      <c r="L569" s="1322"/>
      <c r="M569" s="1329"/>
      <c r="N569" s="1330"/>
      <c r="O569" s="1330"/>
      <c r="P569" s="1330"/>
      <c r="Q569" s="1330"/>
      <c r="R569" s="1330"/>
      <c r="S569" s="1330"/>
      <c r="T569" s="1330"/>
      <c r="U569" s="1330"/>
      <c r="V569" s="1330"/>
      <c r="W569" s="1330"/>
      <c r="X569" s="1330"/>
      <c r="Y569" s="1330"/>
      <c r="Z569" s="1330"/>
      <c r="AA569" s="1330"/>
      <c r="AB569" s="1330"/>
      <c r="AC569" s="1330"/>
      <c r="AD569" s="1330"/>
      <c r="AE569" s="1330"/>
      <c r="AF569" s="1330"/>
      <c r="AG569" s="1330"/>
      <c r="AH569" s="1330"/>
      <c r="AI569" s="1330"/>
      <c r="AJ569" s="1330"/>
      <c r="AK569" s="1330"/>
      <c r="AL569" s="1330"/>
      <c r="AM569" s="1330"/>
      <c r="AN569" s="1331"/>
    </row>
    <row r="570" spans="1:40" ht="30.75" customHeight="1" x14ac:dyDescent="0.35">
      <c r="A570" s="1320"/>
      <c r="B570" s="1321"/>
      <c r="C570" s="1321"/>
      <c r="D570" s="1321"/>
      <c r="E570" s="1321"/>
      <c r="F570" s="1321"/>
      <c r="G570" s="1321"/>
      <c r="H570" s="1321"/>
      <c r="I570" s="1321"/>
      <c r="J570" s="1321"/>
      <c r="K570" s="1321"/>
      <c r="L570" s="1322"/>
      <c r="M570" s="1329"/>
      <c r="N570" s="1330"/>
      <c r="O570" s="1330"/>
      <c r="P570" s="1330"/>
      <c r="Q570" s="1330"/>
      <c r="R570" s="1330"/>
      <c r="S570" s="1330"/>
      <c r="T570" s="1330"/>
      <c r="U570" s="1330"/>
      <c r="V570" s="1330"/>
      <c r="W570" s="1330"/>
      <c r="X570" s="1330"/>
      <c r="Y570" s="1330"/>
      <c r="Z570" s="1330"/>
      <c r="AA570" s="1330"/>
      <c r="AB570" s="1330"/>
      <c r="AC570" s="1330"/>
      <c r="AD570" s="1330"/>
      <c r="AE570" s="1330"/>
      <c r="AF570" s="1330"/>
      <c r="AG570" s="1330"/>
      <c r="AH570" s="1330"/>
      <c r="AI570" s="1330"/>
      <c r="AJ570" s="1330"/>
      <c r="AK570" s="1330"/>
      <c r="AL570" s="1330"/>
      <c r="AM570" s="1330"/>
      <c r="AN570" s="1331"/>
    </row>
    <row r="571" spans="1:40" ht="30.75" customHeight="1" x14ac:dyDescent="0.35">
      <c r="A571" s="1320"/>
      <c r="B571" s="1321"/>
      <c r="C571" s="1321"/>
      <c r="D571" s="1321"/>
      <c r="E571" s="1321"/>
      <c r="F571" s="1321"/>
      <c r="G571" s="1321"/>
      <c r="H571" s="1321"/>
      <c r="I571" s="1321"/>
      <c r="J571" s="1321"/>
      <c r="K571" s="1321"/>
      <c r="L571" s="1322"/>
      <c r="M571" s="1329"/>
      <c r="N571" s="1330"/>
      <c r="O571" s="1330"/>
      <c r="P571" s="1330"/>
      <c r="Q571" s="1330"/>
      <c r="R571" s="1330"/>
      <c r="S571" s="1330"/>
      <c r="T571" s="1330"/>
      <c r="U571" s="1330"/>
      <c r="V571" s="1330"/>
      <c r="W571" s="1330"/>
      <c r="X571" s="1330"/>
      <c r="Y571" s="1330"/>
      <c r="Z571" s="1330"/>
      <c r="AA571" s="1330"/>
      <c r="AB571" s="1330"/>
      <c r="AC571" s="1330"/>
      <c r="AD571" s="1330"/>
      <c r="AE571" s="1330"/>
      <c r="AF571" s="1330"/>
      <c r="AG571" s="1330"/>
      <c r="AH571" s="1330"/>
      <c r="AI571" s="1330"/>
      <c r="AJ571" s="1330"/>
      <c r="AK571" s="1330"/>
      <c r="AL571" s="1330"/>
      <c r="AM571" s="1330"/>
      <c r="AN571" s="1331"/>
    </row>
    <row r="572" spans="1:40" ht="30.75" customHeight="1" thickBot="1" x14ac:dyDescent="0.4">
      <c r="A572" s="1323"/>
      <c r="B572" s="1324"/>
      <c r="C572" s="1324"/>
      <c r="D572" s="1324"/>
      <c r="E572" s="1324"/>
      <c r="F572" s="1324"/>
      <c r="G572" s="1324"/>
      <c r="H572" s="1324"/>
      <c r="I572" s="1324"/>
      <c r="J572" s="1324"/>
      <c r="K572" s="1324"/>
      <c r="L572" s="1325"/>
      <c r="M572" s="1332"/>
      <c r="N572" s="1333"/>
      <c r="O572" s="1333"/>
      <c r="P572" s="1333"/>
      <c r="Q572" s="1333"/>
      <c r="R572" s="1333"/>
      <c r="S572" s="1333"/>
      <c r="T572" s="1333"/>
      <c r="U572" s="1333"/>
      <c r="V572" s="1333"/>
      <c r="W572" s="1333"/>
      <c r="X572" s="1333"/>
      <c r="Y572" s="1333"/>
      <c r="Z572" s="1333"/>
      <c r="AA572" s="1333"/>
      <c r="AB572" s="1333"/>
      <c r="AC572" s="1333"/>
      <c r="AD572" s="1333"/>
      <c r="AE572" s="1333"/>
      <c r="AF572" s="1333"/>
      <c r="AG572" s="1333"/>
      <c r="AH572" s="1333"/>
      <c r="AI572" s="1333"/>
      <c r="AJ572" s="1333"/>
      <c r="AK572" s="1333"/>
      <c r="AL572" s="1333"/>
      <c r="AM572" s="1333"/>
      <c r="AN572" s="1334"/>
    </row>
  </sheetData>
  <sheetProtection selectLockedCells="1"/>
  <mergeCells count="522">
    <mergeCell ref="A299:AN299"/>
    <mergeCell ref="A22:A34"/>
    <mergeCell ref="AL204:AL215"/>
    <mergeCell ref="AL201:AL202"/>
    <mergeCell ref="AL188:AL199"/>
    <mergeCell ref="AN128:AN180"/>
    <mergeCell ref="A184:AN184"/>
    <mergeCell ref="AN115:AN120"/>
    <mergeCell ref="AN68:AN69"/>
    <mergeCell ref="D126:I127"/>
    <mergeCell ref="AF182:AG182"/>
    <mergeCell ref="R182:S182"/>
    <mergeCell ref="T182:U182"/>
    <mergeCell ref="AJ182:AJ183"/>
    <mergeCell ref="X182:Y182"/>
    <mergeCell ref="A181:AN181"/>
    <mergeCell ref="B126:B127"/>
    <mergeCell ref="A159:A161"/>
    <mergeCell ref="A171:A172"/>
    <mergeCell ref="AM182:AM183"/>
    <mergeCell ref="N182:O182"/>
    <mergeCell ref="D113:I114"/>
    <mergeCell ref="A188:A189"/>
    <mergeCell ref="A190:A191"/>
    <mergeCell ref="AN282:AN298"/>
    <mergeCell ref="A283:A294"/>
    <mergeCell ref="A223:A226"/>
    <mergeCell ref="J244:K244"/>
    <mergeCell ref="A244:A245"/>
    <mergeCell ref="AL217:AL218"/>
    <mergeCell ref="Z244:AA244"/>
    <mergeCell ref="L244:M244"/>
    <mergeCell ref="AL246:AL254"/>
    <mergeCell ref="AB244:AC244"/>
    <mergeCell ref="AK295:AK296"/>
    <mergeCell ref="A217:A218"/>
    <mergeCell ref="B217:B218"/>
    <mergeCell ref="D217:K218"/>
    <mergeCell ref="AL273:AL281"/>
    <mergeCell ref="AN244:AN245"/>
    <mergeCell ref="A235:A242"/>
    <mergeCell ref="AL219:AL242"/>
    <mergeCell ref="AJ244:AJ245"/>
    <mergeCell ref="AD244:AE244"/>
    <mergeCell ref="AK244:AK245"/>
    <mergeCell ref="AM244:AM245"/>
    <mergeCell ref="AL264:AL272"/>
    <mergeCell ref="AL255:AL263"/>
    <mergeCell ref="D300:E300"/>
    <mergeCell ref="B300:B301"/>
    <mergeCell ref="L300:M300"/>
    <mergeCell ref="N300:O300"/>
    <mergeCell ref="T300:U300"/>
    <mergeCell ref="AJ300:AJ301"/>
    <mergeCell ref="AB300:AC300"/>
    <mergeCell ref="AD300:AE300"/>
    <mergeCell ref="AF300:AG300"/>
    <mergeCell ref="R300:S300"/>
    <mergeCell ref="J300:K300"/>
    <mergeCell ref="V300:W300"/>
    <mergeCell ref="P300:Q300"/>
    <mergeCell ref="F300:G300"/>
    <mergeCell ref="C300:C301"/>
    <mergeCell ref="H300:I300"/>
    <mergeCell ref="AL452:AL516"/>
    <mergeCell ref="Z68:AA68"/>
    <mergeCell ref="AB68:AC68"/>
    <mergeCell ref="AD68:AE68"/>
    <mergeCell ref="AF68:AG68"/>
    <mergeCell ref="AJ68:AJ69"/>
    <mergeCell ref="AK68:AK69"/>
    <mergeCell ref="AL126:AL127"/>
    <mergeCell ref="A125:AN125"/>
    <mergeCell ref="AN113:AN114"/>
    <mergeCell ref="B68:B69"/>
    <mergeCell ref="C68:C69"/>
    <mergeCell ref="D68:E68"/>
    <mergeCell ref="A113:A114"/>
    <mergeCell ref="P354:Q354"/>
    <mergeCell ref="AB182:AC182"/>
    <mergeCell ref="AD182:AE182"/>
    <mergeCell ref="A204:A205"/>
    <mergeCell ref="AN217:AN218"/>
    <mergeCell ref="V217:W217"/>
    <mergeCell ref="AN188:AN199"/>
    <mergeCell ref="AN219:AN242"/>
    <mergeCell ref="A198:A199"/>
    <mergeCell ref="A192:A193"/>
    <mergeCell ref="AN300:AN301"/>
    <mergeCell ref="AM300:AM301"/>
    <mergeCell ref="F1:G1"/>
    <mergeCell ref="B1:C1"/>
    <mergeCell ref="A19:AN19"/>
    <mergeCell ref="F20:G20"/>
    <mergeCell ref="H20:I20"/>
    <mergeCell ref="AM68:AM69"/>
    <mergeCell ref="AM5:AM6"/>
    <mergeCell ref="A8:A10"/>
    <mergeCell ref="F5:G5"/>
    <mergeCell ref="H5:I5"/>
    <mergeCell ref="D20:E20"/>
    <mergeCell ref="AM20:AM21"/>
    <mergeCell ref="AK22:AK23"/>
    <mergeCell ref="AK27:AK28"/>
    <mergeCell ref="C20:C21"/>
    <mergeCell ref="B20:B21"/>
    <mergeCell ref="AL68:AL69"/>
    <mergeCell ref="J68:K68"/>
    <mergeCell ref="AN20:AN21"/>
    <mergeCell ref="AL20:AL21"/>
    <mergeCell ref="A49:A50"/>
    <mergeCell ref="AL244:AL245"/>
    <mergeCell ref="N20:O20"/>
    <mergeCell ref="V182:W182"/>
    <mergeCell ref="A20:A21"/>
    <mergeCell ref="A63:A64"/>
    <mergeCell ref="AK63:AK64"/>
    <mergeCell ref="AB126:AC126"/>
    <mergeCell ref="T244:U244"/>
    <mergeCell ref="R217:S217"/>
    <mergeCell ref="A39:A40"/>
    <mergeCell ref="A41:A42"/>
    <mergeCell ref="A43:A44"/>
    <mergeCell ref="C217:C218"/>
    <mergeCell ref="AF217:AG217"/>
    <mergeCell ref="AB217:AC217"/>
    <mergeCell ref="A201:A202"/>
    <mergeCell ref="T217:U217"/>
    <mergeCell ref="A227:A230"/>
    <mergeCell ref="A231:A234"/>
    <mergeCell ref="A219:A222"/>
    <mergeCell ref="A206:A207"/>
    <mergeCell ref="AF126:AG126"/>
    <mergeCell ref="A208:A209"/>
    <mergeCell ref="AN126:AN127"/>
    <mergeCell ref="A142:A143"/>
    <mergeCell ref="A144:A145"/>
    <mergeCell ref="A62:AN62"/>
    <mergeCell ref="L68:M68"/>
    <mergeCell ref="N68:O68"/>
    <mergeCell ref="AK41:AK42"/>
    <mergeCell ref="A102:A105"/>
    <mergeCell ref="AM126:AM127"/>
    <mergeCell ref="AL22:AL61"/>
    <mergeCell ref="F182:G182"/>
    <mergeCell ref="AK182:AK183"/>
    <mergeCell ref="AL115:AL124"/>
    <mergeCell ref="X68:Y68"/>
    <mergeCell ref="A133:A141"/>
    <mergeCell ref="AD126:AE126"/>
    <mergeCell ref="AK35:AK36"/>
    <mergeCell ref="AK37:AK38"/>
    <mergeCell ref="AK39:AK40"/>
    <mergeCell ref="AN182:AN183"/>
    <mergeCell ref="A3:AN3"/>
    <mergeCell ref="P68:Q68"/>
    <mergeCell ref="R68:S68"/>
    <mergeCell ref="H182:I182"/>
    <mergeCell ref="P182:Q182"/>
    <mergeCell ref="L182:M182"/>
    <mergeCell ref="D182:E182"/>
    <mergeCell ref="AN8:AN18"/>
    <mergeCell ref="AK20:AK21"/>
    <mergeCell ref="AB113:AC113"/>
    <mergeCell ref="AD113:AE113"/>
    <mergeCell ref="Z113:AA113"/>
    <mergeCell ref="A146:A148"/>
    <mergeCell ref="A175:A176"/>
    <mergeCell ref="A177:A179"/>
    <mergeCell ref="AL128:AL180"/>
    <mergeCell ref="AJ126:AJ127"/>
    <mergeCell ref="AK159:AK160"/>
    <mergeCell ref="H68:I68"/>
    <mergeCell ref="A53:A57"/>
    <mergeCell ref="AL70:AL111"/>
    <mergeCell ref="AM113:AM114"/>
    <mergeCell ref="J113:K113"/>
    <mergeCell ref="AP2:AQ2"/>
    <mergeCell ref="R113:S113"/>
    <mergeCell ref="T113:U113"/>
    <mergeCell ref="AO1:AO21"/>
    <mergeCell ref="Z126:AA126"/>
    <mergeCell ref="X126:Y126"/>
    <mergeCell ref="AK43:AK44"/>
    <mergeCell ref="AK51:AK52"/>
    <mergeCell ref="AJ113:AJ114"/>
    <mergeCell ref="AK49:AK50"/>
    <mergeCell ref="X113:Y113"/>
    <mergeCell ref="AK113:AK114"/>
    <mergeCell ref="AK126:AK127"/>
    <mergeCell ref="A112:AN112"/>
    <mergeCell ref="AB20:AC20"/>
    <mergeCell ref="AD20:AE20"/>
    <mergeCell ref="AF20:AG20"/>
    <mergeCell ref="AK1:AN1"/>
    <mergeCell ref="V113:W113"/>
    <mergeCell ref="AL8:AL18"/>
    <mergeCell ref="AL113:AL114"/>
    <mergeCell ref="AF113:AG113"/>
    <mergeCell ref="L113:M113"/>
    <mergeCell ref="N113:O113"/>
    <mergeCell ref="D244:E244"/>
    <mergeCell ref="L217:M217"/>
    <mergeCell ref="P217:Q217"/>
    <mergeCell ref="C126:C127"/>
    <mergeCell ref="A210:A211"/>
    <mergeCell ref="A212:A213"/>
    <mergeCell ref="A214:A215"/>
    <mergeCell ref="A200:AN200"/>
    <mergeCell ref="A196:A197"/>
    <mergeCell ref="R244:S244"/>
    <mergeCell ref="P244:Q244"/>
    <mergeCell ref="N244:O244"/>
    <mergeCell ref="N217:O217"/>
    <mergeCell ref="AK217:AK218"/>
    <mergeCell ref="AF244:AG244"/>
    <mergeCell ref="V244:W244"/>
    <mergeCell ref="AM217:AM218"/>
    <mergeCell ref="P126:Q126"/>
    <mergeCell ref="Z182:AA182"/>
    <mergeCell ref="X217:Y217"/>
    <mergeCell ref="X244:Y244"/>
    <mergeCell ref="A173:A174"/>
    <mergeCell ref="A187:AN187"/>
    <mergeCell ref="A203:AN203"/>
    <mergeCell ref="AJ20:AJ21"/>
    <mergeCell ref="V20:W20"/>
    <mergeCell ref="J126:K126"/>
    <mergeCell ref="J182:K182"/>
    <mergeCell ref="A182:A183"/>
    <mergeCell ref="B182:B183"/>
    <mergeCell ref="T20:U20"/>
    <mergeCell ref="J20:K20"/>
    <mergeCell ref="X20:Y20"/>
    <mergeCell ref="Z20:AA20"/>
    <mergeCell ref="A65:A66"/>
    <mergeCell ref="P20:Q20"/>
    <mergeCell ref="P113:Q113"/>
    <mergeCell ref="V68:W68"/>
    <mergeCell ref="A67:AN67"/>
    <mergeCell ref="F68:G68"/>
    <mergeCell ref="C113:C114"/>
    <mergeCell ref="AN22:AN61"/>
    <mergeCell ref="A47:A48"/>
    <mergeCell ref="A37:A38"/>
    <mergeCell ref="A60:A61"/>
    <mergeCell ref="A51:A52"/>
    <mergeCell ref="A45:A46"/>
    <mergeCell ref="T68:U68"/>
    <mergeCell ref="R20:S20"/>
    <mergeCell ref="A302:A307"/>
    <mergeCell ref="A329:A331"/>
    <mergeCell ref="Z217:AA217"/>
    <mergeCell ref="A110:A111"/>
    <mergeCell ref="A68:A69"/>
    <mergeCell ref="A128:A131"/>
    <mergeCell ref="A153:A158"/>
    <mergeCell ref="A162:A163"/>
    <mergeCell ref="B113:B114"/>
    <mergeCell ref="A98:A101"/>
    <mergeCell ref="A106:A109"/>
    <mergeCell ref="A115:A120"/>
    <mergeCell ref="A121:A122"/>
    <mergeCell ref="A123:A124"/>
    <mergeCell ref="R126:S126"/>
    <mergeCell ref="T126:U126"/>
    <mergeCell ref="A164:A170"/>
    <mergeCell ref="L20:M20"/>
    <mergeCell ref="A194:A195"/>
    <mergeCell ref="F244:G244"/>
    <mergeCell ref="C244:C245"/>
    <mergeCell ref="B244:B245"/>
    <mergeCell ref="H244:I244"/>
    <mergeCell ref="W4:AN4"/>
    <mergeCell ref="AK45:AK46"/>
    <mergeCell ref="A243:AN243"/>
    <mergeCell ref="A216:AN216"/>
    <mergeCell ref="A70:A73"/>
    <mergeCell ref="A74:A77"/>
    <mergeCell ref="A78:A81"/>
    <mergeCell ref="A82:A85"/>
    <mergeCell ref="A86:A89"/>
    <mergeCell ref="A90:A93"/>
    <mergeCell ref="A94:A97"/>
    <mergeCell ref="A126:A127"/>
    <mergeCell ref="A11:A13"/>
    <mergeCell ref="A15:A17"/>
    <mergeCell ref="C182:C183"/>
    <mergeCell ref="A58:A59"/>
    <mergeCell ref="A185:A186"/>
    <mergeCell ref="AD217:AE217"/>
    <mergeCell ref="AJ217:AJ218"/>
    <mergeCell ref="V5:W5"/>
    <mergeCell ref="J5:K5"/>
    <mergeCell ref="L5:M5"/>
    <mergeCell ref="N5:O5"/>
    <mergeCell ref="P5:Q5"/>
    <mergeCell ref="H1:J1"/>
    <mergeCell ref="A7:AN7"/>
    <mergeCell ref="A5:A6"/>
    <mergeCell ref="B5:B6"/>
    <mergeCell ref="C5:C6"/>
    <mergeCell ref="D5:E5"/>
    <mergeCell ref="AL182:AL183"/>
    <mergeCell ref="D4:V4"/>
    <mergeCell ref="V126:W126"/>
    <mergeCell ref="K1:Q1"/>
    <mergeCell ref="R1:S1"/>
    <mergeCell ref="T1:V1"/>
    <mergeCell ref="W1:X1"/>
    <mergeCell ref="AA1:AJ1"/>
    <mergeCell ref="L126:M126"/>
    <mergeCell ref="N126:O126"/>
    <mergeCell ref="X5:Y5"/>
    <mergeCell ref="Z5:AA5"/>
    <mergeCell ref="AK47:AK48"/>
    <mergeCell ref="AJ5:AJ6"/>
    <mergeCell ref="AK5:AK6"/>
    <mergeCell ref="A35:A36"/>
    <mergeCell ref="R5:S5"/>
    <mergeCell ref="T5:U5"/>
    <mergeCell ref="D1:E1"/>
    <mergeCell ref="AL450:AL451"/>
    <mergeCell ref="AM450:AM451"/>
    <mergeCell ref="AL414:AL415"/>
    <mergeCell ref="A543:L572"/>
    <mergeCell ref="M543:AN572"/>
    <mergeCell ref="A542:L542"/>
    <mergeCell ref="M542:AN542"/>
    <mergeCell ref="A521:L541"/>
    <mergeCell ref="A520:L520"/>
    <mergeCell ref="M520:AN520"/>
    <mergeCell ref="M521:AN541"/>
    <mergeCell ref="A449:AN449"/>
    <mergeCell ref="A450:A451"/>
    <mergeCell ref="B450:B451"/>
    <mergeCell ref="C450:C451"/>
    <mergeCell ref="D450:E450"/>
    <mergeCell ref="F450:G450"/>
    <mergeCell ref="H450:I450"/>
    <mergeCell ref="J450:K450"/>
    <mergeCell ref="L450:M450"/>
    <mergeCell ref="N450:O450"/>
    <mergeCell ref="A343:A344"/>
    <mergeCell ref="A300:A301"/>
    <mergeCell ref="A255:A263"/>
    <mergeCell ref="A264:A272"/>
    <mergeCell ref="A273:A281"/>
    <mergeCell ref="A246:A254"/>
    <mergeCell ref="A335:AN335"/>
    <mergeCell ref="AN336:AN337"/>
    <mergeCell ref="C336:C337"/>
    <mergeCell ref="V336:W336"/>
    <mergeCell ref="X300:Y300"/>
    <mergeCell ref="AL326:AL334"/>
    <mergeCell ref="AN302:AN325"/>
    <mergeCell ref="Z300:AA300"/>
    <mergeCell ref="A326:A328"/>
    <mergeCell ref="A332:A334"/>
    <mergeCell ref="AN326:AN334"/>
    <mergeCell ref="A295:A298"/>
    <mergeCell ref="A308:A311"/>
    <mergeCell ref="AL300:AL301"/>
    <mergeCell ref="AK300:AK301"/>
    <mergeCell ref="AL282:AL298"/>
    <mergeCell ref="T336:U336"/>
    <mergeCell ref="AK308:AK309"/>
    <mergeCell ref="AB336:AC336"/>
    <mergeCell ref="AD336:AE336"/>
    <mergeCell ref="AN356:AN385"/>
    <mergeCell ref="AN388:AN404"/>
    <mergeCell ref="AL302:AL325"/>
    <mergeCell ref="H336:I336"/>
    <mergeCell ref="AL436:AL446"/>
    <mergeCell ref="AN436:AN446"/>
    <mergeCell ref="H354:I354"/>
    <mergeCell ref="J354:K354"/>
    <mergeCell ref="AL336:AL337"/>
    <mergeCell ref="AM336:AM337"/>
    <mergeCell ref="X336:Y336"/>
    <mergeCell ref="T354:U354"/>
    <mergeCell ref="V414:W414"/>
    <mergeCell ref="AJ414:AJ415"/>
    <mergeCell ref="R414:S414"/>
    <mergeCell ref="T414:U414"/>
    <mergeCell ref="AK414:AK415"/>
    <mergeCell ref="AL338:AL352"/>
    <mergeCell ref="A413:AN413"/>
    <mergeCell ref="A372:A377"/>
    <mergeCell ref="AN405:AN412"/>
    <mergeCell ref="A357:A362"/>
    <mergeCell ref="D336:E336"/>
    <mergeCell ref="A341:A342"/>
    <mergeCell ref="AN450:AN451"/>
    <mergeCell ref="R450:S450"/>
    <mergeCell ref="T450:U450"/>
    <mergeCell ref="V450:W450"/>
    <mergeCell ref="X450:Y450"/>
    <mergeCell ref="A435:AN435"/>
    <mergeCell ref="A436:A446"/>
    <mergeCell ref="A416:A421"/>
    <mergeCell ref="Z450:AA450"/>
    <mergeCell ref="AB450:AC450"/>
    <mergeCell ref="AD450:AE450"/>
    <mergeCell ref="AF450:AG450"/>
    <mergeCell ref="AJ450:AJ451"/>
    <mergeCell ref="AK450:AK451"/>
    <mergeCell ref="AN416:AN434"/>
    <mergeCell ref="AL416:AL434"/>
    <mergeCell ref="A422:A427"/>
    <mergeCell ref="A447:AN447"/>
    <mergeCell ref="A428:A434"/>
    <mergeCell ref="P450:Q450"/>
    <mergeCell ref="AM414:AM415"/>
    <mergeCell ref="AL405:AL412"/>
    <mergeCell ref="AK354:AK355"/>
    <mergeCell ref="AL354:AL355"/>
    <mergeCell ref="A345:A348"/>
    <mergeCell ref="L354:M354"/>
    <mergeCell ref="A370:A371"/>
    <mergeCell ref="A399:A401"/>
    <mergeCell ref="A350:A352"/>
    <mergeCell ref="R354:S354"/>
    <mergeCell ref="A402:A404"/>
    <mergeCell ref="A388:A398"/>
    <mergeCell ref="F414:G414"/>
    <mergeCell ref="D414:E414"/>
    <mergeCell ref="A353:AN353"/>
    <mergeCell ref="AN354:AN355"/>
    <mergeCell ref="AM354:AM355"/>
    <mergeCell ref="AB354:AC354"/>
    <mergeCell ref="AD354:AE354"/>
    <mergeCell ref="X354:Y354"/>
    <mergeCell ref="N354:O354"/>
    <mergeCell ref="X414:Y414"/>
    <mergeCell ref="D354:E354"/>
    <mergeCell ref="F354:G354"/>
    <mergeCell ref="AN414:AN415"/>
    <mergeCell ref="A364:A367"/>
    <mergeCell ref="C354:C355"/>
    <mergeCell ref="AN338:AN352"/>
    <mergeCell ref="A405:A412"/>
    <mergeCell ref="AL356:AL385"/>
    <mergeCell ref="A512:A516"/>
    <mergeCell ref="AK513:AK514"/>
    <mergeCell ref="AH20:AI20"/>
    <mergeCell ref="AH68:AI68"/>
    <mergeCell ref="AH113:AI113"/>
    <mergeCell ref="AH126:AI126"/>
    <mergeCell ref="AH182:AI182"/>
    <mergeCell ref="AH217:AI217"/>
    <mergeCell ref="AH244:AI244"/>
    <mergeCell ref="AH300:AI300"/>
    <mergeCell ref="AH336:AI336"/>
    <mergeCell ref="AH354:AI354"/>
    <mergeCell ref="AH450:AI450"/>
    <mergeCell ref="AB110:AC110"/>
    <mergeCell ref="AD110:AE110"/>
    <mergeCell ref="AF110:AG110"/>
    <mergeCell ref="AH110:AI110"/>
    <mergeCell ref="A472:A476"/>
    <mergeCell ref="A487:A491"/>
    <mergeCell ref="AK488:AK489"/>
    <mergeCell ref="A354:A355"/>
    <mergeCell ref="AJ354:AJ355"/>
    <mergeCell ref="A507:A511"/>
    <mergeCell ref="AK508:AK509"/>
    <mergeCell ref="AF354:AG354"/>
    <mergeCell ref="A492:A496"/>
    <mergeCell ref="AK493:AK494"/>
    <mergeCell ref="A497:A501"/>
    <mergeCell ref="AK498:AK499"/>
    <mergeCell ref="A502:A506"/>
    <mergeCell ref="AK503:AK504"/>
    <mergeCell ref="A467:A471"/>
    <mergeCell ref="AK468:AK469"/>
    <mergeCell ref="AK453:AK454"/>
    <mergeCell ref="A452:A456"/>
    <mergeCell ref="A457:A461"/>
    <mergeCell ref="AK458:AK459"/>
    <mergeCell ref="AK473:AK474"/>
    <mergeCell ref="A477:A481"/>
    <mergeCell ref="AK478:AK479"/>
    <mergeCell ref="Z354:AA354"/>
    <mergeCell ref="A368:A369"/>
    <mergeCell ref="A482:A486"/>
    <mergeCell ref="AK483:AK484"/>
    <mergeCell ref="Z336:AA336"/>
    <mergeCell ref="L336:M336"/>
    <mergeCell ref="N336:O336"/>
    <mergeCell ref="P336:Q336"/>
    <mergeCell ref="R336:S336"/>
    <mergeCell ref="A386:A387"/>
    <mergeCell ref="AK463:AK464"/>
    <mergeCell ref="A462:A466"/>
    <mergeCell ref="B354:B355"/>
    <mergeCell ref="B414:B415"/>
    <mergeCell ref="A378:A385"/>
    <mergeCell ref="A414:A415"/>
    <mergeCell ref="A336:A337"/>
    <mergeCell ref="J336:K336"/>
    <mergeCell ref="AF336:AG336"/>
    <mergeCell ref="AK336:AK337"/>
    <mergeCell ref="AJ336:AJ337"/>
    <mergeCell ref="AL388:AL404"/>
    <mergeCell ref="A316:A323"/>
    <mergeCell ref="A312:A315"/>
    <mergeCell ref="A324:A325"/>
    <mergeCell ref="C414:C415"/>
    <mergeCell ref="Z414:AA414"/>
    <mergeCell ref="L414:M414"/>
    <mergeCell ref="H414:I414"/>
    <mergeCell ref="J414:K414"/>
    <mergeCell ref="N414:O414"/>
    <mergeCell ref="P414:Q414"/>
    <mergeCell ref="V354:W354"/>
    <mergeCell ref="A338:A340"/>
    <mergeCell ref="F336:G336"/>
    <mergeCell ref="B336:B337"/>
    <mergeCell ref="AK316:AK317"/>
    <mergeCell ref="AK324:AK325"/>
    <mergeCell ref="AK312:AK313"/>
  </mergeCells>
  <phoneticPr fontId="3" type="noConversion"/>
  <conditionalFormatting sqref="AK22">
    <cfRule type="notContainsBlanks" dxfId="2015" priority="3262">
      <formula>LEN(TRIM(AK22))&gt;0</formula>
    </cfRule>
  </conditionalFormatting>
  <conditionalFormatting sqref="AK27:AK29">
    <cfRule type="notContainsBlanks" dxfId="2014" priority="3263">
      <formula>LEN(TRIM(AK27))&gt;0</formula>
    </cfRule>
  </conditionalFormatting>
  <conditionalFormatting sqref="AK35:AK36">
    <cfRule type="notContainsBlanks" dxfId="2013" priority="3266">
      <formula>LEN(TRIM(AK35))&gt;0</formula>
    </cfRule>
  </conditionalFormatting>
  <conditionalFormatting sqref="AK37:AK38">
    <cfRule type="notContainsBlanks" dxfId="2012" priority="3264">
      <formula>LEN(TRIM(AK37))&gt;0</formula>
    </cfRule>
  </conditionalFormatting>
  <conditionalFormatting sqref="AK39:AK40">
    <cfRule type="notContainsBlanks" dxfId="2011" priority="3257">
      <formula>LEN(TRIM(AK39))&gt;0</formula>
    </cfRule>
  </conditionalFormatting>
  <conditionalFormatting sqref="AK41:AK42">
    <cfRule type="notContainsBlanks" dxfId="2010" priority="3256">
      <formula>LEN(TRIM(AK41))&gt;0</formula>
    </cfRule>
  </conditionalFormatting>
  <conditionalFormatting sqref="AK43:AK44">
    <cfRule type="notContainsBlanks" dxfId="2009" priority="3255">
      <formula>LEN(TRIM(AK43))&gt;0</formula>
    </cfRule>
  </conditionalFormatting>
  <conditionalFormatting sqref="AK45:AK46">
    <cfRule type="notContainsBlanks" dxfId="2008" priority="3254">
      <formula>LEN(TRIM(AK45))&gt;0</formula>
    </cfRule>
  </conditionalFormatting>
  <conditionalFormatting sqref="AK47:AK48">
    <cfRule type="notContainsBlanks" dxfId="2007" priority="3253">
      <formula>LEN(TRIM(AK47))&gt;0</formula>
    </cfRule>
  </conditionalFormatting>
  <conditionalFormatting sqref="AK49:AK50">
    <cfRule type="notContainsBlanks" dxfId="2006" priority="3252">
      <formula>LEN(TRIM(AK49))&gt;0</formula>
    </cfRule>
  </conditionalFormatting>
  <conditionalFormatting sqref="AK51:AK56">
    <cfRule type="notContainsBlanks" dxfId="2005" priority="3251">
      <formula>LEN(TRIM(AK51))&gt;0</formula>
    </cfRule>
  </conditionalFormatting>
  <conditionalFormatting sqref="AK58:AK59">
    <cfRule type="notContainsBlanks" dxfId="2004" priority="3250">
      <formula>LEN(TRIM(AK58))&gt;0</formula>
    </cfRule>
  </conditionalFormatting>
  <conditionalFormatting sqref="AK128 AK130:AK131">
    <cfRule type="notContainsBlanks" dxfId="2003" priority="3267">
      <formula>LEN(TRIM(AK128))&gt;0</formula>
    </cfRule>
  </conditionalFormatting>
  <conditionalFormatting sqref="AK132:AK138">
    <cfRule type="notContainsBlanks" dxfId="2002" priority="3268">
      <formula>LEN(TRIM(AK132))&gt;0</formula>
    </cfRule>
  </conditionalFormatting>
  <conditionalFormatting sqref="AK159:AK160">
    <cfRule type="notContainsBlanks" dxfId="2001" priority="3247">
      <formula>LEN(TRIM(AK159))&gt;0</formula>
    </cfRule>
  </conditionalFormatting>
  <conditionalFormatting sqref="AK188">
    <cfRule type="notContainsBlanks" dxfId="2000" priority="3246">
      <formula>LEN(TRIM(AK188))&gt;0</formula>
    </cfRule>
  </conditionalFormatting>
  <conditionalFormatting sqref="AK24">
    <cfRule type="notContainsBlanks" dxfId="1999" priority="3245">
      <formula>LEN(TRIM(AK24))&gt;0</formula>
    </cfRule>
  </conditionalFormatting>
  <conditionalFormatting sqref="AK189">
    <cfRule type="notContainsBlanks" dxfId="1998" priority="3244">
      <formula>LEN(TRIM(AK189))&gt;0</formula>
    </cfRule>
  </conditionalFormatting>
  <conditionalFormatting sqref="AK190">
    <cfRule type="notContainsBlanks" dxfId="1997" priority="3243">
      <formula>LEN(TRIM(AK190))&gt;0</formula>
    </cfRule>
  </conditionalFormatting>
  <conditionalFormatting sqref="AK191">
    <cfRule type="notContainsBlanks" dxfId="1996" priority="3242">
      <formula>LEN(TRIM(AK191))&gt;0</formula>
    </cfRule>
  </conditionalFormatting>
  <conditionalFormatting sqref="AK220">
    <cfRule type="notContainsBlanks" dxfId="1995" priority="3241">
      <formula>LEN(TRIM(AK220))&gt;0</formula>
    </cfRule>
  </conditionalFormatting>
  <conditionalFormatting sqref="AK287">
    <cfRule type="notContainsBlanks" dxfId="1994" priority="3238">
      <formula>LEN(TRIM(AK287))&gt;0</formula>
    </cfRule>
  </conditionalFormatting>
  <conditionalFormatting sqref="AK291">
    <cfRule type="notContainsBlanks" dxfId="1993" priority="3237">
      <formula>LEN(TRIM(AK291))&gt;0</formula>
    </cfRule>
  </conditionalFormatting>
  <conditionalFormatting sqref="AK292 AK294">
    <cfRule type="notContainsBlanks" dxfId="1992" priority="3236">
      <formula>LEN(TRIM(AK292))&gt;0</formula>
    </cfRule>
  </conditionalFormatting>
  <conditionalFormatting sqref="AK289:AK290 AK304 AK306 AK409 AK372:AK385 AK393 AK387">
    <cfRule type="notContainsBlanks" dxfId="1991" priority="3235">
      <formula>LEN(TRIM(AK289))&gt;0</formula>
    </cfRule>
  </conditionalFormatting>
  <conditionalFormatting sqref="AK295:AK296">
    <cfRule type="notContainsBlanks" dxfId="1990" priority="3233">
      <formula>LEN(TRIM(AK295))&gt;0</formula>
    </cfRule>
  </conditionalFormatting>
  <conditionalFormatting sqref="AK297">
    <cfRule type="notContainsBlanks" dxfId="1989" priority="3232">
      <formula>LEN(TRIM(AK297))&gt;0</formula>
    </cfRule>
  </conditionalFormatting>
  <conditionalFormatting sqref="AK298">
    <cfRule type="notContainsBlanks" dxfId="1988" priority="3231">
      <formula>LEN(TRIM(AK298))&gt;0</formula>
    </cfRule>
  </conditionalFormatting>
  <conditionalFormatting sqref="AK302">
    <cfRule type="notContainsBlanks" dxfId="1987" priority="3230">
      <formula>LEN(TRIM(AK302))&gt;0</formula>
    </cfRule>
  </conditionalFormatting>
  <conditionalFormatting sqref="AK303">
    <cfRule type="notContainsBlanks" dxfId="1986" priority="3229">
      <formula>LEN(TRIM(AK303))&gt;0</formula>
    </cfRule>
  </conditionalFormatting>
  <conditionalFormatting sqref="AK305:AK307">
    <cfRule type="notContainsBlanks" dxfId="1985" priority="3227">
      <formula>LEN(TRIM(AK305))&gt;0</formula>
    </cfRule>
  </conditionalFormatting>
  <conditionalFormatting sqref="AK308:AK309 AK311">
    <cfRule type="notContainsBlanks" dxfId="1984" priority="3226">
      <formula>LEN(TRIM(AK308))&gt;0</formula>
    </cfRule>
  </conditionalFormatting>
  <conditionalFormatting sqref="AK312:AK313 AK315">
    <cfRule type="notContainsBlanks" dxfId="1983" priority="3225">
      <formula>LEN(TRIM(AK312))&gt;0</formula>
    </cfRule>
  </conditionalFormatting>
  <conditionalFormatting sqref="AK316:AK317 AK319 AK321">
    <cfRule type="notContainsBlanks" dxfId="1982" priority="3224">
      <formula>LEN(TRIM(AK316))&gt;0</formula>
    </cfRule>
  </conditionalFormatting>
  <conditionalFormatting sqref="AK324:AK333">
    <cfRule type="notContainsBlanks" dxfId="1981" priority="3223">
      <formula>LEN(TRIM(AK324))&gt;0</formula>
    </cfRule>
  </conditionalFormatting>
  <conditionalFormatting sqref="AK339:AK342">
    <cfRule type="notContainsBlanks" dxfId="1980" priority="3222">
      <formula>LEN(TRIM(AK339))&gt;0</formula>
    </cfRule>
  </conditionalFormatting>
  <conditionalFormatting sqref="AK343:AK344">
    <cfRule type="notContainsBlanks" dxfId="1979" priority="3221">
      <formula>LEN(TRIM(AK343))&gt;0</formula>
    </cfRule>
  </conditionalFormatting>
  <conditionalFormatting sqref="AK345:AK347">
    <cfRule type="notContainsBlanks" dxfId="1978" priority="3220">
      <formula>LEN(TRIM(AK345))&gt;0</formula>
    </cfRule>
  </conditionalFormatting>
  <conditionalFormatting sqref="AK350">
    <cfRule type="notContainsBlanks" dxfId="1977" priority="3219">
      <formula>LEN(TRIM(AK350))&gt;0</formula>
    </cfRule>
  </conditionalFormatting>
  <conditionalFormatting sqref="AK351">
    <cfRule type="notContainsBlanks" dxfId="1976" priority="3218">
      <formula>LEN(TRIM(AK351))&gt;0</formula>
    </cfRule>
  </conditionalFormatting>
  <conditionalFormatting sqref="AK352">
    <cfRule type="notContainsBlanks" dxfId="1975" priority="3217">
      <formula>LEN(TRIM(AK352))&gt;0</formula>
    </cfRule>
  </conditionalFormatting>
  <conditionalFormatting sqref="AK356:AK362">
    <cfRule type="notContainsBlanks" dxfId="1974" priority="3216">
      <formula>LEN(TRIM(AK356))&gt;0</formula>
    </cfRule>
  </conditionalFormatting>
  <conditionalFormatting sqref="AK363 AK365:AK368 AK370">
    <cfRule type="notContainsBlanks" priority="3215">
      <formula>LEN(TRIM(AK363))&gt;0</formula>
    </cfRule>
  </conditionalFormatting>
  <conditionalFormatting sqref="AK422:AK424">
    <cfRule type="notContainsBlanks" dxfId="1973" priority="3213">
      <formula>LEN(TRIM(AK422))&gt;0</formula>
    </cfRule>
  </conditionalFormatting>
  <conditionalFormatting sqref="AM37">
    <cfRule type="notContainsBlanks" dxfId="1972" priority="3206">
      <formula>LEN(TRIM(AM37))&gt;0</formula>
    </cfRule>
  </conditionalFormatting>
  <conditionalFormatting sqref="AM302:AN302">
    <cfRule type="notContainsBlanks" dxfId="1971" priority="3205">
      <formula>LEN(TRIM(AM302))&gt;0</formula>
    </cfRule>
  </conditionalFormatting>
  <conditionalFormatting sqref="AM303">
    <cfRule type="notContainsBlanks" dxfId="1970" priority="3204">
      <formula>LEN(TRIM(AM303))&gt;0</formula>
    </cfRule>
  </conditionalFormatting>
  <conditionalFormatting sqref="AM115:AN115 AM188:AN188 AM219:AN219 AM246:AN246 AM338:AN338 AM356:AN356 AM128:AN128 AM22:AN22 AM116:AM122 AM220:AM242 AN416 AM422:AM434 AM304:AM321 AM332:AM333 AM408:AM410 AM339:AM347 AM357:AM387 AM393 AM452:AM454 AM324:AM328 AM349:AM352 AM189:AM199 AM150:AM174 AM282 AM286:AM287 AM289:AM292 AM23:AM59 AM129:AM143 AM294:AM298">
    <cfRule type="notContainsBlanks" dxfId="1969" priority="3203">
      <formula>LEN(TRIM(AM22))&gt;0</formula>
    </cfRule>
  </conditionalFormatting>
  <conditionalFormatting sqref="AM39">
    <cfRule type="notContainsBlanks" dxfId="1968" priority="3202">
      <formula>LEN(TRIM(AM39))&gt;0</formula>
    </cfRule>
  </conditionalFormatting>
  <conditionalFormatting sqref="AM51">
    <cfRule type="notContainsBlanks" dxfId="1967" priority="3196">
      <formula>LEN(TRIM(AM51))&gt;0</formula>
    </cfRule>
  </conditionalFormatting>
  <conditionalFormatting sqref="AM41">
    <cfRule type="notContainsBlanks" dxfId="1966" priority="3201">
      <formula>LEN(TRIM(AM41))&gt;0</formula>
    </cfRule>
  </conditionalFormatting>
  <conditionalFormatting sqref="AM43">
    <cfRule type="notContainsBlanks" dxfId="1965" priority="3200">
      <formula>LEN(TRIM(AM43))&gt;0</formula>
    </cfRule>
  </conditionalFormatting>
  <conditionalFormatting sqref="AM45">
    <cfRule type="notContainsBlanks" dxfId="1964" priority="3199">
      <formula>LEN(TRIM(AM45))&gt;0</formula>
    </cfRule>
  </conditionalFormatting>
  <conditionalFormatting sqref="AM47">
    <cfRule type="notContainsBlanks" dxfId="1963" priority="3198">
      <formula>LEN(TRIM(AM47))&gt;0</formula>
    </cfRule>
  </conditionalFormatting>
  <conditionalFormatting sqref="AM49">
    <cfRule type="notContainsBlanks" dxfId="1962" priority="3197">
      <formula>LEN(TRIM(AM49))&gt;0</formula>
    </cfRule>
  </conditionalFormatting>
  <conditionalFormatting sqref="AL22 AL115 AL128 AL219:AL242 AL246 AL338:AL347 AL356 AL416 AL302 AL452 AL349:AL352 AL185:AL186">
    <cfRule type="notContainsBlanks" dxfId="1961" priority="3432">
      <formula>LEN(TRIM(AL22))&gt;0</formula>
    </cfRule>
  </conditionalFormatting>
  <conditionalFormatting sqref="D371:Y371 AB371:AJ371">
    <cfRule type="cellIs" dxfId="1960" priority="3193" operator="equal">
      <formula>0</formula>
    </cfRule>
  </conditionalFormatting>
  <conditionalFormatting sqref="D384:Y384 AB384:AG384">
    <cfRule type="cellIs" dxfId="1959" priority="3192" operator="equal">
      <formula>0</formula>
    </cfRule>
  </conditionalFormatting>
  <conditionalFormatting sqref="D384:Y384 AB384:AG384">
    <cfRule type="cellIs" dxfId="1958" priority="3191" operator="equal">
      <formula>0</formula>
    </cfRule>
  </conditionalFormatting>
  <conditionalFormatting sqref="D58:AI59">
    <cfRule type="cellIs" dxfId="1957" priority="3190" operator="equal">
      <formula>0</formula>
    </cfRule>
  </conditionalFormatting>
  <conditionalFormatting sqref="AJ428:AJ434 AJ416:AJ426 AJ47 AJ49 AJ37 AJ51:AJ52 AJ39:AJ45 AJ302:AJ321 AJ338:AJ347 AJ356:AJ363 AJ128:AJ131 AJ22:AJ27 AJ58 AJ324:AJ333 AJ133:AJ135 AJ349:AJ352 AJ188:AJ199 AJ219:AJ242 AJ370 AJ372:AJ385 AJ137:AJ180 AJ115:AJ122 AJ286:AJ287 AJ289:AJ292 AJ30:AJ35 Z30:AA34 AJ388:AJ401 AJ294:AJ298">
    <cfRule type="cellIs" dxfId="1956" priority="3187" operator="equal">
      <formula>0</formula>
    </cfRule>
  </conditionalFormatting>
  <conditionalFormatting sqref="D384:Y384 AB384:AG384 D58:AI59 D371:Y371 AB371:AJ371">
    <cfRule type="cellIs" dxfId="1955" priority="3186" operator="equal">
      <formula>0</formula>
    </cfRule>
  </conditionalFormatting>
  <conditionalFormatting sqref="A1">
    <cfRule type="cellIs" dxfId="1954" priority="3185" operator="equal">
      <formula>0</formula>
    </cfRule>
  </conditionalFormatting>
  <conditionalFormatting sqref="D427:AG427 AJ427">
    <cfRule type="cellIs" dxfId="1953" priority="3182" operator="equal">
      <formula>0</formula>
    </cfRule>
  </conditionalFormatting>
  <conditionalFormatting sqref="AJ46">
    <cfRule type="cellIs" dxfId="1952" priority="3181" operator="equal">
      <formula>0</formula>
    </cfRule>
  </conditionalFormatting>
  <conditionalFormatting sqref="AJ48">
    <cfRule type="cellIs" dxfId="1951" priority="3180" operator="equal">
      <formula>0</formula>
    </cfRule>
  </conditionalFormatting>
  <conditionalFormatting sqref="AJ38">
    <cfRule type="cellIs" dxfId="1950" priority="3179" operator="equal">
      <formula>0</formula>
    </cfRule>
  </conditionalFormatting>
  <conditionalFormatting sqref="AJ36">
    <cfRule type="cellIs" dxfId="1949" priority="3178" operator="equal">
      <formula>0</formula>
    </cfRule>
  </conditionalFormatting>
  <conditionalFormatting sqref="AJ28:AJ29">
    <cfRule type="cellIs" dxfId="1948" priority="3177" operator="equal">
      <formula>0</formula>
    </cfRule>
  </conditionalFormatting>
  <conditionalFormatting sqref="AJ50">
    <cfRule type="cellIs" dxfId="1947" priority="3176" operator="equal">
      <formula>0</formula>
    </cfRule>
  </conditionalFormatting>
  <conditionalFormatting sqref="AJ59">
    <cfRule type="cellIs" dxfId="1946" priority="3158" operator="equal">
      <formula>0</formula>
    </cfRule>
  </conditionalFormatting>
  <conditionalFormatting sqref="AJ59">
    <cfRule type="cellIs" dxfId="1945" priority="3157" operator="equal">
      <formula>0</formula>
    </cfRule>
  </conditionalFormatting>
  <conditionalFormatting sqref="D188:AA188">
    <cfRule type="expression" dxfId="1944" priority="3146">
      <formula>D190&gt;D188</formula>
    </cfRule>
  </conditionalFormatting>
  <conditionalFormatting sqref="D189:AA189">
    <cfRule type="expression" dxfId="1943" priority="3145">
      <formula>D191&gt;D189</formula>
    </cfRule>
  </conditionalFormatting>
  <conditionalFormatting sqref="D291:AA291 L29:Y29 AB29:AI29">
    <cfRule type="expression" dxfId="1942" priority="3142">
      <formula>D30&gt;D29</formula>
    </cfRule>
  </conditionalFormatting>
  <conditionalFormatting sqref="D292:AA292">
    <cfRule type="expression" dxfId="1941" priority="3141">
      <formula>D294&gt;D292</formula>
    </cfRule>
  </conditionalFormatting>
  <conditionalFormatting sqref="K289 M289 O289 Q289 S289 U289 W289 Y289 AA289">
    <cfRule type="expression" dxfId="1940" priority="3140">
      <formula>K290&gt;K289</formula>
    </cfRule>
  </conditionalFormatting>
  <conditionalFormatting sqref="D295:AA295">
    <cfRule type="expression" dxfId="1939" priority="3136">
      <formula>D298&gt;D295</formula>
    </cfRule>
    <cfRule type="expression" dxfId="1938" priority="3138">
      <formula>D296&gt;D295</formula>
    </cfRule>
  </conditionalFormatting>
  <conditionalFormatting sqref="D296:AA296">
    <cfRule type="expression" dxfId="1937" priority="3137">
      <formula>D297&gt;D296</formula>
    </cfRule>
  </conditionalFormatting>
  <conditionalFormatting sqref="K302">
    <cfRule type="expression" dxfId="1936" priority="3135">
      <formula>(K303+K304)&gt;K302</formula>
    </cfRule>
  </conditionalFormatting>
  <conditionalFormatting sqref="K304">
    <cfRule type="expression" dxfId="1935" priority="2649">
      <formula>K304&gt;K302</formula>
    </cfRule>
    <cfRule type="expression" dxfId="1934" priority="3134">
      <formula>K305&gt;K304</formula>
    </cfRule>
  </conditionalFormatting>
  <conditionalFormatting sqref="K308">
    <cfRule type="expression" dxfId="1933" priority="3133">
      <formula>K309&gt;K308</formula>
    </cfRule>
  </conditionalFormatting>
  <conditionalFormatting sqref="K312">
    <cfRule type="expression" dxfId="1932" priority="3132">
      <formula>K313&gt;K312</formula>
    </cfRule>
  </conditionalFormatting>
  <conditionalFormatting sqref="K316">
    <cfRule type="expression" dxfId="1931" priority="3131">
      <formula>K317&gt;K316</formula>
    </cfRule>
  </conditionalFormatting>
  <conditionalFormatting sqref="M302">
    <cfRule type="expression" dxfId="1930" priority="3130">
      <formula>(M303+M304)&gt;M302</formula>
    </cfRule>
  </conditionalFormatting>
  <conditionalFormatting sqref="M304">
    <cfRule type="expression" dxfId="1929" priority="3129">
      <formula>M305&gt;M304</formula>
    </cfRule>
  </conditionalFormatting>
  <conditionalFormatting sqref="M308">
    <cfRule type="expression" dxfId="1928" priority="3128">
      <formula>M309&gt;M308</formula>
    </cfRule>
  </conditionalFormatting>
  <conditionalFormatting sqref="M312">
    <cfRule type="expression" dxfId="1927" priority="3127">
      <formula>M313&gt;M312</formula>
    </cfRule>
  </conditionalFormatting>
  <conditionalFormatting sqref="M316">
    <cfRule type="expression" dxfId="1926" priority="3126">
      <formula>M317&gt;M316</formula>
    </cfRule>
  </conditionalFormatting>
  <conditionalFormatting sqref="O302">
    <cfRule type="expression" dxfId="1925" priority="3125">
      <formula>(O303+O304)&gt;O302</formula>
    </cfRule>
  </conditionalFormatting>
  <conditionalFormatting sqref="O304">
    <cfRule type="expression" dxfId="1924" priority="3124">
      <formula>O305&gt;O304</formula>
    </cfRule>
  </conditionalFormatting>
  <conditionalFormatting sqref="O308">
    <cfRule type="expression" dxfId="1923" priority="3123">
      <formula>O309&gt;O308</formula>
    </cfRule>
  </conditionalFormatting>
  <conditionalFormatting sqref="O312">
    <cfRule type="expression" dxfId="1922" priority="3122">
      <formula>O313&gt;O312</formula>
    </cfRule>
  </conditionalFormatting>
  <conditionalFormatting sqref="O316">
    <cfRule type="expression" dxfId="1921" priority="3121">
      <formula>O317&gt;O316</formula>
    </cfRule>
  </conditionalFormatting>
  <conditionalFormatting sqref="Q302">
    <cfRule type="expression" dxfId="1920" priority="3120">
      <formula>(Q303+Q304)&gt;Q302</formula>
    </cfRule>
  </conditionalFormatting>
  <conditionalFormatting sqref="Q304">
    <cfRule type="expression" dxfId="1919" priority="3119">
      <formula>Q305&gt;Q304</formula>
    </cfRule>
  </conditionalFormatting>
  <conditionalFormatting sqref="Q308">
    <cfRule type="expression" dxfId="1918" priority="3118">
      <formula>Q309&gt;Q308</formula>
    </cfRule>
  </conditionalFormatting>
  <conditionalFormatting sqref="Q312">
    <cfRule type="expression" dxfId="1917" priority="3117">
      <formula>Q313&gt;Q312</formula>
    </cfRule>
  </conditionalFormatting>
  <conditionalFormatting sqref="Q316">
    <cfRule type="expression" dxfId="1916" priority="3116">
      <formula>Q317&gt;Q316</formula>
    </cfRule>
  </conditionalFormatting>
  <conditionalFormatting sqref="S302">
    <cfRule type="expression" dxfId="1915" priority="3115">
      <formula>(S303+S304)&gt;S302</formula>
    </cfRule>
  </conditionalFormatting>
  <conditionalFormatting sqref="S304">
    <cfRule type="expression" dxfId="1914" priority="3114">
      <formula>S305&gt;S304</formula>
    </cfRule>
  </conditionalFormatting>
  <conditionalFormatting sqref="S308">
    <cfRule type="expression" dxfId="1913" priority="3113">
      <formula>S309&gt;S308</formula>
    </cfRule>
  </conditionalFormatting>
  <conditionalFormatting sqref="S312">
    <cfRule type="expression" dxfId="1912" priority="3112">
      <formula>S313&gt;S312</formula>
    </cfRule>
  </conditionalFormatting>
  <conditionalFormatting sqref="S316">
    <cfRule type="expression" dxfId="1911" priority="3111">
      <formula>S317&gt;S316</formula>
    </cfRule>
  </conditionalFormatting>
  <conditionalFormatting sqref="U302">
    <cfRule type="expression" dxfId="1910" priority="3110">
      <formula>(U303+U304)&gt;U302</formula>
    </cfRule>
  </conditionalFormatting>
  <conditionalFormatting sqref="U304">
    <cfRule type="expression" dxfId="1909" priority="3109">
      <formula>U305&gt;U304</formula>
    </cfRule>
  </conditionalFormatting>
  <conditionalFormatting sqref="U308">
    <cfRule type="expression" dxfId="1908" priority="3108">
      <formula>U309&gt;U308</formula>
    </cfRule>
  </conditionalFormatting>
  <conditionalFormatting sqref="U312">
    <cfRule type="expression" dxfId="1907" priority="3107">
      <formula>U313&gt;U312</formula>
    </cfRule>
  </conditionalFormatting>
  <conditionalFormatting sqref="U316">
    <cfRule type="expression" dxfId="1906" priority="3106">
      <formula>U317&gt;U316</formula>
    </cfRule>
  </conditionalFormatting>
  <conditionalFormatting sqref="W302">
    <cfRule type="expression" dxfId="1905" priority="3105">
      <formula>(W303+W304)&gt;W302</formula>
    </cfRule>
  </conditionalFormatting>
  <conditionalFormatting sqref="W304">
    <cfRule type="expression" dxfId="1904" priority="3104">
      <formula>W305&gt;W304</formula>
    </cfRule>
  </conditionalFormatting>
  <conditionalFormatting sqref="W308">
    <cfRule type="expression" dxfId="1903" priority="3103">
      <formula>W309&gt;W308</formula>
    </cfRule>
  </conditionalFormatting>
  <conditionalFormatting sqref="W312">
    <cfRule type="expression" dxfId="1902" priority="3102">
      <formula>W313&gt;W312</formula>
    </cfRule>
  </conditionalFormatting>
  <conditionalFormatting sqref="W316">
    <cfRule type="expression" dxfId="1901" priority="3101">
      <formula>W317&gt;W316</formula>
    </cfRule>
  </conditionalFormatting>
  <conditionalFormatting sqref="Y302">
    <cfRule type="expression" dxfId="1900" priority="3100">
      <formula>(Y303+Y304)&gt;Y302</formula>
    </cfRule>
  </conditionalFormatting>
  <conditionalFormatting sqref="Y304">
    <cfRule type="expression" dxfId="1899" priority="3099">
      <formula>Y305&gt;Y304</formula>
    </cfRule>
  </conditionalFormatting>
  <conditionalFormatting sqref="Y308">
    <cfRule type="expression" dxfId="1898" priority="3098">
      <formula>Y309&gt;Y308</formula>
    </cfRule>
  </conditionalFormatting>
  <conditionalFormatting sqref="Y312">
    <cfRule type="expression" dxfId="1897" priority="3097">
      <formula>Y313&gt;Y312</formula>
    </cfRule>
  </conditionalFormatting>
  <conditionalFormatting sqref="Y316">
    <cfRule type="expression" dxfId="1896" priority="3096">
      <formula>Y317&gt;Y316</formula>
    </cfRule>
  </conditionalFormatting>
  <conditionalFormatting sqref="J324">
    <cfRule type="expression" dxfId="1895" priority="3095">
      <formula>J325&gt;J324</formula>
    </cfRule>
  </conditionalFormatting>
  <conditionalFormatting sqref="L324">
    <cfRule type="expression" dxfId="1894" priority="3094">
      <formula>L325&gt;L324</formula>
    </cfRule>
  </conditionalFormatting>
  <conditionalFormatting sqref="N324">
    <cfRule type="expression" dxfId="1893" priority="3093">
      <formula>N325&gt;N324</formula>
    </cfRule>
  </conditionalFormatting>
  <conditionalFormatting sqref="P324">
    <cfRule type="expression" dxfId="1892" priority="3092">
      <formula>P325&gt;P324</formula>
    </cfRule>
  </conditionalFormatting>
  <conditionalFormatting sqref="R324">
    <cfRule type="expression" dxfId="1891" priority="3091">
      <formula>R325&gt;R324</formula>
    </cfRule>
  </conditionalFormatting>
  <conditionalFormatting sqref="T324">
    <cfRule type="expression" dxfId="1890" priority="3090">
      <formula>T325&gt;T324</formula>
    </cfRule>
  </conditionalFormatting>
  <conditionalFormatting sqref="V324">
    <cfRule type="expression" dxfId="1889" priority="3089">
      <formula>V325&gt;V324</formula>
    </cfRule>
  </conditionalFormatting>
  <conditionalFormatting sqref="X324">
    <cfRule type="expression" dxfId="1888" priority="3088">
      <formula>X325&gt;X324</formula>
    </cfRule>
  </conditionalFormatting>
  <conditionalFormatting sqref="Z324">
    <cfRule type="expression" dxfId="1887" priority="3087">
      <formula>Z325&gt;Z324</formula>
    </cfRule>
  </conditionalFormatting>
  <conditionalFormatting sqref="K303">
    <cfRule type="expression" dxfId="1886" priority="2642">
      <formula>K303&gt;K302</formula>
    </cfRule>
    <cfRule type="expression" dxfId="1885" priority="3086">
      <formula>K338&gt;K303</formula>
    </cfRule>
  </conditionalFormatting>
  <conditionalFormatting sqref="M303">
    <cfRule type="expression" dxfId="1884" priority="3085">
      <formula>M338&gt;M303</formula>
    </cfRule>
  </conditionalFormatting>
  <conditionalFormatting sqref="O303">
    <cfRule type="expression" dxfId="1883" priority="3084">
      <formula>O338&gt;O303</formula>
    </cfRule>
  </conditionalFormatting>
  <conditionalFormatting sqref="Q303">
    <cfRule type="expression" dxfId="1882" priority="3083">
      <formula>Q338&gt;Q303</formula>
    </cfRule>
  </conditionalFormatting>
  <conditionalFormatting sqref="S303">
    <cfRule type="expression" dxfId="1881" priority="3082">
      <formula>S338&gt;S303</formula>
    </cfRule>
  </conditionalFormatting>
  <conditionalFormatting sqref="U303">
    <cfRule type="expression" dxfId="1880" priority="3081">
      <formula>U338&gt;U303</formula>
    </cfRule>
  </conditionalFormatting>
  <conditionalFormatting sqref="W303">
    <cfRule type="expression" dxfId="1879" priority="3080">
      <formula>W338&gt;W303</formula>
    </cfRule>
  </conditionalFormatting>
  <conditionalFormatting sqref="Y303">
    <cfRule type="expression" dxfId="1878" priority="3079">
      <formula>Y338&gt;Y303</formula>
    </cfRule>
  </conditionalFormatting>
  <conditionalFormatting sqref="K305 M305 O305 Q305 S305 U305 W305 Y305">
    <cfRule type="expression" dxfId="1877" priority="3078">
      <formula>K339&gt;K305</formula>
    </cfRule>
  </conditionalFormatting>
  <conditionalFormatting sqref="M302">
    <cfRule type="expression" dxfId="1876" priority="3074">
      <formula>(M303+M304)&gt;M302</formula>
    </cfRule>
  </conditionalFormatting>
  <conditionalFormatting sqref="M304">
    <cfRule type="expression" dxfId="1875" priority="3073">
      <formula>M305&gt;M304</formula>
    </cfRule>
  </conditionalFormatting>
  <conditionalFormatting sqref="M308">
    <cfRule type="expression" dxfId="1874" priority="3072">
      <formula>M309&gt;M308</formula>
    </cfRule>
  </conditionalFormatting>
  <conditionalFormatting sqref="M312">
    <cfRule type="expression" dxfId="1873" priority="3071">
      <formula>M313&gt;M312</formula>
    </cfRule>
  </conditionalFormatting>
  <conditionalFormatting sqref="M316">
    <cfRule type="expression" dxfId="1872" priority="3070">
      <formula>M317&gt;M316</formula>
    </cfRule>
  </conditionalFormatting>
  <conditionalFormatting sqref="M303">
    <cfRule type="expression" dxfId="1871" priority="3069">
      <formula>M338&gt;M303</formula>
    </cfRule>
  </conditionalFormatting>
  <conditionalFormatting sqref="K315 M315 O315 Q315 S315 U315 W315 Y315">
    <cfRule type="expression" dxfId="1870" priority="3067">
      <formula>K344&gt;K315</formula>
    </cfRule>
  </conditionalFormatting>
  <conditionalFormatting sqref="O302">
    <cfRule type="expression" dxfId="1869" priority="3065">
      <formula>(O303+O304)&gt;O302</formula>
    </cfRule>
  </conditionalFormatting>
  <conditionalFormatting sqref="O304">
    <cfRule type="expression" dxfId="1868" priority="3064">
      <formula>O305&gt;O304</formula>
    </cfRule>
  </conditionalFormatting>
  <conditionalFormatting sqref="O308">
    <cfRule type="expression" dxfId="1867" priority="3063">
      <formula>O309&gt;O308</formula>
    </cfRule>
  </conditionalFormatting>
  <conditionalFormatting sqref="O312">
    <cfRule type="expression" dxfId="1866" priority="3062">
      <formula>O313&gt;O312</formula>
    </cfRule>
  </conditionalFormatting>
  <conditionalFormatting sqref="O316">
    <cfRule type="expression" dxfId="1865" priority="3061">
      <formula>O317&gt;O316</formula>
    </cfRule>
  </conditionalFormatting>
  <conditionalFormatting sqref="O303">
    <cfRule type="expression" dxfId="1864" priority="3060">
      <formula>O338&gt;O303</formula>
    </cfRule>
  </conditionalFormatting>
  <conditionalFormatting sqref="Q302">
    <cfRule type="expression" dxfId="1863" priority="3056">
      <formula>(Q303+Q304)&gt;Q302</formula>
    </cfRule>
  </conditionalFormatting>
  <conditionalFormatting sqref="Q304">
    <cfRule type="expression" dxfId="1862" priority="3055">
      <formula>Q305&gt;Q304</formula>
    </cfRule>
  </conditionalFormatting>
  <conditionalFormatting sqref="Q308">
    <cfRule type="expression" dxfId="1861" priority="3054">
      <formula>Q309&gt;Q308</formula>
    </cfRule>
  </conditionalFormatting>
  <conditionalFormatting sqref="Q312">
    <cfRule type="expression" dxfId="1860" priority="3053">
      <formula>Q313&gt;Q312</formula>
    </cfRule>
  </conditionalFormatting>
  <conditionalFormatting sqref="Q316">
    <cfRule type="expression" dxfId="1859" priority="3052">
      <formula>Q317&gt;Q316</formula>
    </cfRule>
  </conditionalFormatting>
  <conditionalFormatting sqref="Q303">
    <cfRule type="expression" dxfId="1858" priority="3051">
      <formula>Q338&gt;Q303</formula>
    </cfRule>
  </conditionalFormatting>
  <conditionalFormatting sqref="S302">
    <cfRule type="expression" dxfId="1857" priority="3047">
      <formula>(S303+S304)&gt;S302</formula>
    </cfRule>
  </conditionalFormatting>
  <conditionalFormatting sqref="S304">
    <cfRule type="expression" dxfId="1856" priority="3046">
      <formula>S305&gt;S304</formula>
    </cfRule>
  </conditionalFormatting>
  <conditionalFormatting sqref="S308">
    <cfRule type="expression" dxfId="1855" priority="3045">
      <formula>S309&gt;S308</formula>
    </cfRule>
  </conditionalFormatting>
  <conditionalFormatting sqref="S312">
    <cfRule type="expression" dxfId="1854" priority="3044">
      <formula>S313&gt;S312</formula>
    </cfRule>
  </conditionalFormatting>
  <conditionalFormatting sqref="S316">
    <cfRule type="expression" dxfId="1853" priority="3043">
      <formula>S317&gt;S316</formula>
    </cfRule>
  </conditionalFormatting>
  <conditionalFormatting sqref="S303">
    <cfRule type="expression" dxfId="1852" priority="3042">
      <formula>S338&gt;S303</formula>
    </cfRule>
  </conditionalFormatting>
  <conditionalFormatting sqref="U302">
    <cfRule type="expression" dxfId="1851" priority="3038">
      <formula>(U303+U304)&gt;U302</formula>
    </cfRule>
  </conditionalFormatting>
  <conditionalFormatting sqref="U304">
    <cfRule type="expression" dxfId="1850" priority="3037">
      <formula>U305&gt;U304</formula>
    </cfRule>
  </conditionalFormatting>
  <conditionalFormatting sqref="U308">
    <cfRule type="expression" dxfId="1849" priority="3036">
      <formula>U309&gt;U308</formula>
    </cfRule>
  </conditionalFormatting>
  <conditionalFormatting sqref="U312">
    <cfRule type="expression" dxfId="1848" priority="3035">
      <formula>U313&gt;U312</formula>
    </cfRule>
  </conditionalFormatting>
  <conditionalFormatting sqref="U316">
    <cfRule type="expression" dxfId="1847" priority="3034">
      <formula>U317&gt;U316</formula>
    </cfRule>
  </conditionalFormatting>
  <conditionalFormatting sqref="U303">
    <cfRule type="expression" dxfId="1846" priority="3033">
      <formula>U338&gt;U303</formula>
    </cfRule>
  </conditionalFormatting>
  <conditionalFormatting sqref="W302">
    <cfRule type="expression" dxfId="1845" priority="3029">
      <formula>(W303+W304)&gt;W302</formula>
    </cfRule>
  </conditionalFormatting>
  <conditionalFormatting sqref="W304">
    <cfRule type="expression" dxfId="1844" priority="3028">
      <formula>W305&gt;W304</formula>
    </cfRule>
  </conditionalFormatting>
  <conditionalFormatting sqref="W308">
    <cfRule type="expression" dxfId="1843" priority="3027">
      <formula>W309&gt;W308</formula>
    </cfRule>
  </conditionalFormatting>
  <conditionalFormatting sqref="W312">
    <cfRule type="expression" dxfId="1842" priority="3026">
      <formula>W313&gt;W312</formula>
    </cfRule>
  </conditionalFormatting>
  <conditionalFormatting sqref="W316">
    <cfRule type="expression" dxfId="1841" priority="3025">
      <formula>W317&gt;W316</formula>
    </cfRule>
  </conditionalFormatting>
  <conditionalFormatting sqref="W303">
    <cfRule type="expression" dxfId="1840" priority="3024">
      <formula>W338&gt;W303</formula>
    </cfRule>
  </conditionalFormatting>
  <conditionalFormatting sqref="Y302">
    <cfRule type="expression" dxfId="1839" priority="3020">
      <formula>(Y303+Y304)&gt;Y302</formula>
    </cfRule>
  </conditionalFormatting>
  <conditionalFormatting sqref="Y304">
    <cfRule type="expression" dxfId="1838" priority="3019">
      <formula>Y305&gt;Y304</formula>
    </cfRule>
  </conditionalFormatting>
  <conditionalFormatting sqref="Y308">
    <cfRule type="expression" dxfId="1837" priority="3018">
      <formula>Y309&gt;Y308</formula>
    </cfRule>
  </conditionalFormatting>
  <conditionalFormatting sqref="Y312">
    <cfRule type="expression" dxfId="1836" priority="3017">
      <formula>Y313&gt;Y312</formula>
    </cfRule>
  </conditionalFormatting>
  <conditionalFormatting sqref="Y316">
    <cfRule type="expression" dxfId="1835" priority="3016">
      <formula>Y317&gt;Y316</formula>
    </cfRule>
  </conditionalFormatting>
  <conditionalFormatting sqref="Y303">
    <cfRule type="expression" dxfId="1834" priority="3015">
      <formula>Y338&gt;Y303</formula>
    </cfRule>
  </conditionalFormatting>
  <conditionalFormatting sqref="K349 M349 O349 Q349 S349 U349 W349 Y349">
    <cfRule type="expression" dxfId="1833" priority="3011">
      <formula>K349&gt;K371</formula>
    </cfRule>
  </conditionalFormatting>
  <conditionalFormatting sqref="D384:Y384 AB384:AG384">
    <cfRule type="expression" dxfId="1832" priority="3001">
      <formula>D384&lt;&gt;D371</formula>
    </cfRule>
  </conditionalFormatting>
  <conditionalFormatting sqref="F27:Y27 AB27:AI27">
    <cfRule type="expression" dxfId="1831" priority="2984">
      <formula>F28&gt;F27</formula>
    </cfRule>
  </conditionalFormatting>
  <conditionalFormatting sqref="F35:Y35 AB35:AI35">
    <cfRule type="expression" dxfId="1830" priority="2983">
      <formula>F36&gt;F35</formula>
    </cfRule>
  </conditionalFormatting>
  <conditionalFormatting sqref="F37:Y37 AB37:AI37">
    <cfRule type="expression" dxfId="1829" priority="2982">
      <formula>F38&gt;F37</formula>
    </cfRule>
  </conditionalFormatting>
  <conditionalFormatting sqref="F39">
    <cfRule type="expression" dxfId="1828" priority="2981">
      <formula>F40&gt;F39</formula>
    </cfRule>
  </conditionalFormatting>
  <conditionalFormatting sqref="G39">
    <cfRule type="expression" dxfId="1827" priority="2980">
      <formula>G40&gt;G39</formula>
    </cfRule>
  </conditionalFormatting>
  <conditionalFormatting sqref="F41:G41">
    <cfRule type="expression" dxfId="1826" priority="2979">
      <formula>F42&gt;F41</formula>
    </cfRule>
  </conditionalFormatting>
  <conditionalFormatting sqref="F43:Y43 AB43:AI43">
    <cfRule type="expression" dxfId="1825" priority="2978">
      <formula>F44&gt;F43</formula>
    </cfRule>
  </conditionalFormatting>
  <conditionalFormatting sqref="F45:Y45 AB45:AI45">
    <cfRule type="cellIs" dxfId="1824" priority="1491" operator="equal">
      <formula>0</formula>
    </cfRule>
    <cfRule type="expression" dxfId="1823" priority="2977">
      <formula>F46&gt;F45</formula>
    </cfRule>
  </conditionalFormatting>
  <conditionalFormatting sqref="F47:Y47 AB47:AI47">
    <cfRule type="expression" dxfId="1822" priority="2976">
      <formula>F48&gt;F47</formula>
    </cfRule>
  </conditionalFormatting>
  <conditionalFormatting sqref="L49:Y49 AB49:AI49">
    <cfRule type="expression" dxfId="1821" priority="2975">
      <formula>L50&gt;L49</formula>
    </cfRule>
  </conditionalFormatting>
  <conditionalFormatting sqref="L51">
    <cfRule type="expression" dxfId="1820" priority="2974">
      <formula>L52&gt;L51</formula>
    </cfRule>
  </conditionalFormatting>
  <conditionalFormatting sqref="N51">
    <cfRule type="expression" dxfId="1819" priority="2973">
      <formula>N52&gt;N51</formula>
    </cfRule>
  </conditionalFormatting>
  <conditionalFormatting sqref="P51">
    <cfRule type="expression" dxfId="1818" priority="2972">
      <formula>P52&gt;P51</formula>
    </cfRule>
  </conditionalFormatting>
  <conditionalFormatting sqref="R51">
    <cfRule type="expression" dxfId="1817" priority="2971">
      <formula>R52&gt;R51</formula>
    </cfRule>
  </conditionalFormatting>
  <conditionalFormatting sqref="T51">
    <cfRule type="expression" dxfId="1816" priority="2970">
      <formula>T52&gt;T51</formula>
    </cfRule>
  </conditionalFormatting>
  <conditionalFormatting sqref="V51">
    <cfRule type="expression" dxfId="1815" priority="2969">
      <formula>V52&gt;V51</formula>
    </cfRule>
  </conditionalFormatting>
  <conditionalFormatting sqref="X51">
    <cfRule type="expression" dxfId="1814" priority="2968">
      <formula>X52&gt;X51</formula>
    </cfRule>
  </conditionalFormatting>
  <conditionalFormatting sqref="Z51 AB51 AD51 AF51 AH51">
    <cfRule type="expression" dxfId="1813" priority="2967">
      <formula>Z52&gt;Z51</formula>
    </cfRule>
  </conditionalFormatting>
  <conditionalFormatting sqref="AK10 AK13 AK17:AK18">
    <cfRule type="notContainsBlanks" dxfId="1812" priority="2965">
      <formula>LEN(TRIM(AK10))&gt;0</formula>
    </cfRule>
  </conditionalFormatting>
  <conditionalFormatting sqref="AM8:AN8 AM9:AM18">
    <cfRule type="notContainsBlanks" dxfId="1811" priority="2964">
      <formula>LEN(TRIM(AM8))&gt;0</formula>
    </cfRule>
  </conditionalFormatting>
  <conditionalFormatting sqref="AL8">
    <cfRule type="notContainsBlanks" dxfId="1810" priority="3433">
      <formula>LEN(TRIM(AL8))&gt;0</formula>
    </cfRule>
  </conditionalFormatting>
  <conditionalFormatting sqref="Y306">
    <cfRule type="cellIs" dxfId="1809" priority="2952" operator="equal">
      <formula>0</formula>
    </cfRule>
  </conditionalFormatting>
  <conditionalFormatting sqref="W306">
    <cfRule type="cellIs" dxfId="1808" priority="2951" operator="equal">
      <formula>0</formula>
    </cfRule>
  </conditionalFormatting>
  <conditionalFormatting sqref="U306">
    <cfRule type="cellIs" dxfId="1807" priority="2950" operator="equal">
      <formula>0</formula>
    </cfRule>
  </conditionalFormatting>
  <conditionalFormatting sqref="S306">
    <cfRule type="cellIs" dxfId="1806" priority="2949" operator="equal">
      <formula>0</formula>
    </cfRule>
  </conditionalFormatting>
  <conditionalFormatting sqref="Q306">
    <cfRule type="cellIs" dxfId="1805" priority="2948" operator="equal">
      <formula>0</formula>
    </cfRule>
  </conditionalFormatting>
  <conditionalFormatting sqref="O306">
    <cfRule type="cellIs" dxfId="1804" priority="2947" operator="equal">
      <formula>0</formula>
    </cfRule>
  </conditionalFormatting>
  <conditionalFormatting sqref="M306">
    <cfRule type="cellIs" dxfId="1803" priority="2946" operator="equal">
      <formula>0</formula>
    </cfRule>
  </conditionalFormatting>
  <conditionalFormatting sqref="K306">
    <cfRule type="cellIs" dxfId="1802" priority="2945" operator="equal">
      <formula>0</formula>
    </cfRule>
  </conditionalFormatting>
  <conditionalFormatting sqref="B306">
    <cfRule type="cellIs" dxfId="1801" priority="2944" operator="equal">
      <formula>0</formula>
    </cfRule>
  </conditionalFormatting>
  <conditionalFormatting sqref="B307">
    <cfRule type="cellIs" dxfId="1800" priority="2943" operator="equal">
      <formula>0</formula>
    </cfRule>
  </conditionalFormatting>
  <conditionalFormatting sqref="K307">
    <cfRule type="cellIs" dxfId="1799" priority="2935" operator="equal">
      <formula>0</formula>
    </cfRule>
  </conditionalFormatting>
  <conditionalFormatting sqref="M307">
    <cfRule type="cellIs" dxfId="1798" priority="2934" operator="equal">
      <formula>0</formula>
    </cfRule>
  </conditionalFormatting>
  <conditionalFormatting sqref="O307">
    <cfRule type="cellIs" dxfId="1797" priority="2933" operator="equal">
      <formula>0</formula>
    </cfRule>
  </conditionalFormatting>
  <conditionalFormatting sqref="Q307">
    <cfRule type="cellIs" dxfId="1796" priority="2932" operator="equal">
      <formula>0</formula>
    </cfRule>
  </conditionalFormatting>
  <conditionalFormatting sqref="S307">
    <cfRule type="cellIs" dxfId="1795" priority="2931" operator="equal">
      <formula>0</formula>
    </cfRule>
  </conditionalFormatting>
  <conditionalFormatting sqref="U307">
    <cfRule type="cellIs" dxfId="1794" priority="2930" operator="equal">
      <formula>0</formula>
    </cfRule>
  </conditionalFormatting>
  <conditionalFormatting sqref="W307">
    <cfRule type="cellIs" dxfId="1793" priority="2929" operator="equal">
      <formula>0</formula>
    </cfRule>
  </conditionalFormatting>
  <conditionalFormatting sqref="Y307">
    <cfRule type="cellIs" dxfId="1792" priority="2928" operator="equal">
      <formula>0</formula>
    </cfRule>
  </conditionalFormatting>
  <conditionalFormatting sqref="K320">
    <cfRule type="expression" dxfId="1791" priority="3269">
      <formula>K349&gt;K320</formula>
    </cfRule>
  </conditionalFormatting>
  <conditionalFormatting sqref="K317">
    <cfRule type="expression" dxfId="1790" priority="1827">
      <formula>K352&gt;K319+K317</formula>
    </cfRule>
    <cfRule type="expression" dxfId="1789" priority="3270">
      <formula>K345&gt;K317</formula>
    </cfRule>
  </conditionalFormatting>
  <conditionalFormatting sqref="M306 O306 Q306 S306 U306 W306 Y306 K306">
    <cfRule type="expression" dxfId="1788" priority="3271">
      <formula>K343&gt;K306</formula>
    </cfRule>
  </conditionalFormatting>
  <conditionalFormatting sqref="K340">
    <cfRule type="cellIs" dxfId="1787" priority="2927" operator="equal">
      <formula>0</formula>
    </cfRule>
  </conditionalFormatting>
  <conditionalFormatting sqref="O340">
    <cfRule type="cellIs" dxfId="1786" priority="2918" operator="equal">
      <formula>0</formula>
    </cfRule>
  </conditionalFormatting>
  <conditionalFormatting sqref="M340">
    <cfRule type="cellIs" dxfId="1785" priority="2919" operator="equal">
      <formula>0</formula>
    </cfRule>
  </conditionalFormatting>
  <conditionalFormatting sqref="Q340">
    <cfRule type="cellIs" dxfId="1784" priority="2917" operator="equal">
      <formula>0</formula>
    </cfRule>
  </conditionalFormatting>
  <conditionalFormatting sqref="S340">
    <cfRule type="cellIs" dxfId="1783" priority="2916" operator="equal">
      <formula>0</formula>
    </cfRule>
  </conditionalFormatting>
  <conditionalFormatting sqref="U340">
    <cfRule type="cellIs" dxfId="1782" priority="2915" operator="equal">
      <formula>0</formula>
    </cfRule>
  </conditionalFormatting>
  <conditionalFormatting sqref="W340">
    <cfRule type="cellIs" dxfId="1781" priority="2914" operator="equal">
      <formula>0</formula>
    </cfRule>
  </conditionalFormatting>
  <conditionalFormatting sqref="Y340">
    <cfRule type="cellIs" dxfId="1780" priority="2913" operator="equal">
      <formula>0</formula>
    </cfRule>
  </conditionalFormatting>
  <conditionalFormatting sqref="B340">
    <cfRule type="cellIs" dxfId="1779" priority="2912" operator="equal">
      <formula>0</formula>
    </cfRule>
  </conditionalFormatting>
  <conditionalFormatting sqref="B328">
    <cfRule type="cellIs" dxfId="1778" priority="2911" operator="equal">
      <formula>0</formula>
    </cfRule>
  </conditionalFormatting>
  <conditionalFormatting sqref="B331">
    <cfRule type="cellIs" dxfId="1777" priority="2898" operator="equal">
      <formula>0</formula>
    </cfRule>
  </conditionalFormatting>
  <conditionalFormatting sqref="AK334">
    <cfRule type="notContainsBlanks" dxfId="1776" priority="2888">
      <formula>LEN(TRIM(AK334))&gt;0</formula>
    </cfRule>
  </conditionalFormatting>
  <conditionalFormatting sqref="AM334">
    <cfRule type="notContainsBlanks" dxfId="1775" priority="2887">
      <formula>LEN(TRIM(AM334))&gt;0</formula>
    </cfRule>
  </conditionalFormatting>
  <conditionalFormatting sqref="AJ334">
    <cfRule type="cellIs" dxfId="1774" priority="2886" operator="equal">
      <formula>0</formula>
    </cfRule>
  </conditionalFormatting>
  <conditionalFormatting sqref="B334">
    <cfRule type="cellIs" dxfId="1773" priority="2875" operator="equal">
      <formula>0</formula>
    </cfRule>
  </conditionalFormatting>
  <conditionalFormatting sqref="AK283">
    <cfRule type="notContainsBlanks" dxfId="1772" priority="2874">
      <formula>LEN(TRIM(AK283))&gt;0</formula>
    </cfRule>
  </conditionalFormatting>
  <conditionalFormatting sqref="AM283">
    <cfRule type="notContainsBlanks" dxfId="1771" priority="2873">
      <formula>LEN(TRIM(AM283))&gt;0</formula>
    </cfRule>
  </conditionalFormatting>
  <conditionalFormatting sqref="AJ283">
    <cfRule type="cellIs" dxfId="1770" priority="2870" operator="equal">
      <formula>0</formula>
    </cfRule>
  </conditionalFormatting>
  <conditionalFormatting sqref="AK247:AK248 AK250 AK252:AK254">
    <cfRule type="notContainsBlanks" dxfId="1769" priority="2868">
      <formula>LEN(TRIM(AK247))&gt;0</formula>
    </cfRule>
  </conditionalFormatting>
  <conditionalFormatting sqref="AM247:AN254">
    <cfRule type="notContainsBlanks" dxfId="1768" priority="2867">
      <formula>LEN(TRIM(AM247))&gt;0</formula>
    </cfRule>
  </conditionalFormatting>
  <conditionalFormatting sqref="AJ247:AJ254">
    <cfRule type="cellIs" dxfId="1767" priority="2864" operator="equal">
      <formula>0</formula>
    </cfRule>
  </conditionalFormatting>
  <conditionalFormatting sqref="D246:AG246 AJ246">
    <cfRule type="cellIs" dxfId="1766" priority="2862" operator="equal">
      <formula>0</formula>
    </cfRule>
  </conditionalFormatting>
  <conditionalFormatting sqref="AM436 AM442:AM443">
    <cfRule type="notContainsBlanks" dxfId="1765" priority="2858">
      <formula>LEN(TRIM(AM436))&gt;0</formula>
    </cfRule>
  </conditionalFormatting>
  <conditionalFormatting sqref="AJ436">
    <cfRule type="cellIs" dxfId="1764" priority="2857" operator="equal">
      <formula>0</formula>
    </cfRule>
  </conditionalFormatting>
  <conditionalFormatting sqref="AK443">
    <cfRule type="notContainsBlanks" dxfId="1763" priority="2859">
      <formula>LEN(TRIM(AK443))&gt;0</formula>
    </cfRule>
  </conditionalFormatting>
  <conditionalFormatting sqref="AK437:AK439">
    <cfRule type="notContainsBlanks" dxfId="1762" priority="2856">
      <formula>LEN(TRIM(AK437))&gt;0</formula>
    </cfRule>
  </conditionalFormatting>
  <conditionalFormatting sqref="AM437:AM441">
    <cfRule type="notContainsBlanks" dxfId="1761" priority="2853">
      <formula>LEN(TRIM(AM437))&gt;0</formula>
    </cfRule>
  </conditionalFormatting>
  <conditionalFormatting sqref="F440:Y440 D437:Y437 AB437:AI437 AB440:AI440">
    <cfRule type="cellIs" dxfId="1760" priority="2851" operator="equal">
      <formula>0</formula>
    </cfRule>
  </conditionalFormatting>
  <conditionalFormatting sqref="AJ437:AJ446">
    <cfRule type="cellIs" dxfId="1759" priority="2850" operator="equal">
      <formula>0</formula>
    </cfRule>
  </conditionalFormatting>
  <conditionalFormatting sqref="B439">
    <cfRule type="cellIs" dxfId="1758" priority="2846" operator="equal">
      <formula>0</formula>
    </cfRule>
  </conditionalFormatting>
  <conditionalFormatting sqref="B441">
    <cfRule type="cellIs" dxfId="1757" priority="2845" operator="equal">
      <formula>0</formula>
    </cfRule>
  </conditionalFormatting>
  <conditionalFormatting sqref="F439:Y439 AB439:AI439">
    <cfRule type="cellIs" dxfId="1756" priority="2844" operator="equal">
      <formula>0</formula>
    </cfRule>
  </conditionalFormatting>
  <conditionalFormatting sqref="D441:AI441">
    <cfRule type="cellIs" dxfId="1755" priority="2842" operator="equal">
      <formula>0</formula>
    </cfRule>
  </conditionalFormatting>
  <conditionalFormatting sqref="AM445">
    <cfRule type="notContainsBlanks" dxfId="1754" priority="2840">
      <formula>LEN(TRIM(AM445))&gt;0</formula>
    </cfRule>
  </conditionalFormatting>
  <conditionalFormatting sqref="AM446">
    <cfRule type="notContainsBlanks" dxfId="1753" priority="2836">
      <formula>LEN(TRIM(AM446))&gt;0</formula>
    </cfRule>
  </conditionalFormatting>
  <conditionalFormatting sqref="F443:Y443 AB443:AI443">
    <cfRule type="cellIs" dxfId="1752" priority="2833" operator="equal">
      <formula>0</formula>
    </cfRule>
  </conditionalFormatting>
  <conditionalFormatting sqref="B443">
    <cfRule type="cellIs" dxfId="1751" priority="2832" operator="equal">
      <formula>0</formula>
    </cfRule>
  </conditionalFormatting>
  <conditionalFormatting sqref="B446">
    <cfRule type="cellIs" dxfId="1750" priority="2831" operator="equal">
      <formula>0</formula>
    </cfRule>
  </conditionalFormatting>
  <conditionalFormatting sqref="D446:Y446 AB446:AI446">
    <cfRule type="cellIs" dxfId="1749" priority="2830" operator="equal">
      <formula>0</formula>
    </cfRule>
  </conditionalFormatting>
  <conditionalFormatting sqref="L131:AA131">
    <cfRule type="expression" dxfId="1748" priority="3289">
      <formula>L131&gt;L128</formula>
    </cfRule>
  </conditionalFormatting>
  <conditionalFormatting sqref="D393:AI393">
    <cfRule type="expression" dxfId="1747" priority="3292">
      <formula>D393&gt;D371</formula>
    </cfRule>
  </conditionalFormatting>
  <conditionalFormatting sqref="D393:AI393">
    <cfRule type="expression" dxfId="1746" priority="3294">
      <formula>(D371*0.7)&gt;D393</formula>
    </cfRule>
  </conditionalFormatting>
  <conditionalFormatting sqref="D370:Y370 AB370:AG370">
    <cfRule type="cellIs" dxfId="1745" priority="2827" operator="equal">
      <formula>0</formula>
    </cfRule>
  </conditionalFormatting>
  <conditionalFormatting sqref="AJ370">
    <cfRule type="cellIs" dxfId="1744" priority="2826" operator="equal">
      <formula>0</formula>
    </cfRule>
  </conditionalFormatting>
  <conditionalFormatting sqref="D356:AI356">
    <cfRule type="cellIs" dxfId="1743" priority="2823" operator="equal">
      <formula>0</formula>
    </cfRule>
  </conditionalFormatting>
  <conditionalFormatting sqref="D356:AI356">
    <cfRule type="cellIs" dxfId="1742" priority="2822" operator="equal">
      <formula>0</formula>
    </cfRule>
  </conditionalFormatting>
  <conditionalFormatting sqref="L152:AA152">
    <cfRule type="cellIs" dxfId="1741" priority="2818" operator="equal">
      <formula>0</formula>
    </cfRule>
  </conditionalFormatting>
  <conditionalFormatting sqref="B152">
    <cfRule type="cellIs" dxfId="1740" priority="2821" operator="equal">
      <formula>0</formula>
    </cfRule>
  </conditionalFormatting>
  <conditionalFormatting sqref="L152:AA152">
    <cfRule type="cellIs" dxfId="1739" priority="2819" operator="equal">
      <formula>0</formula>
    </cfRule>
  </conditionalFormatting>
  <conditionalFormatting sqref="L152:AA152">
    <cfRule type="expression" dxfId="1738" priority="2820">
      <formula>L199&gt;L152</formula>
    </cfRule>
  </conditionalFormatting>
  <conditionalFormatting sqref="B132">
    <cfRule type="cellIs" dxfId="1737" priority="2817" operator="equal">
      <formula>0</formula>
    </cfRule>
  </conditionalFormatting>
  <conditionalFormatting sqref="AK390">
    <cfRule type="notContainsBlanks" dxfId="1736" priority="2782">
      <formula>LEN(TRIM(AK390))&gt;0</formula>
    </cfRule>
  </conditionalFormatting>
  <conditionalFormatting sqref="AM390">
    <cfRule type="notContainsBlanks" dxfId="1735" priority="2781">
      <formula>LEN(TRIM(AM390))&gt;0</formula>
    </cfRule>
  </conditionalFormatting>
  <conditionalFormatting sqref="AK389:AK390">
    <cfRule type="notContainsBlanks" dxfId="1734" priority="2778">
      <formula>LEN(TRIM(AK389))&gt;0</formula>
    </cfRule>
  </conditionalFormatting>
  <conditionalFormatting sqref="AM388:AM390">
    <cfRule type="notContainsBlanks" dxfId="1733" priority="2777">
      <formula>LEN(TRIM(AM388))&gt;0</formula>
    </cfRule>
  </conditionalFormatting>
  <conditionalFormatting sqref="AM404">
    <cfRule type="notContainsBlanks" dxfId="1732" priority="2765">
      <formula>LEN(TRIM(AM404))&gt;0</formula>
    </cfRule>
  </conditionalFormatting>
  <conditionalFormatting sqref="AJ404">
    <cfRule type="cellIs" dxfId="1731" priority="2764" operator="equal">
      <formula>0</formula>
    </cfRule>
  </conditionalFormatting>
  <conditionalFormatting sqref="AM398:AM401">
    <cfRule type="notContainsBlanks" dxfId="1730" priority="2769">
      <formula>LEN(TRIM(AM398))&gt;0</formula>
    </cfRule>
  </conditionalFormatting>
  <conditionalFormatting sqref="AK403 AK405">
    <cfRule type="notContainsBlanks" dxfId="1729" priority="2762">
      <formula>LEN(TRIM(AK403))&gt;0</formula>
    </cfRule>
  </conditionalFormatting>
  <conditionalFormatting sqref="AM403:AM405">
    <cfRule type="notContainsBlanks" dxfId="1728" priority="2761">
      <formula>LEN(TRIM(AM403))&gt;0</formula>
    </cfRule>
  </conditionalFormatting>
  <conditionalFormatting sqref="AJ403:AJ404">
    <cfRule type="cellIs" dxfId="1727" priority="2760" operator="equal">
      <formula>0</formula>
    </cfRule>
  </conditionalFormatting>
  <conditionalFormatting sqref="D390:Y390 AB390:AI390">
    <cfRule type="cellIs" dxfId="1726" priority="2756" operator="equal">
      <formula>0</formula>
    </cfRule>
  </conditionalFormatting>
  <conditionalFormatting sqref="D390:Y390 AB390:AI390">
    <cfRule type="cellIs" dxfId="1725" priority="2755" operator="equal">
      <formula>0</formula>
    </cfRule>
  </conditionalFormatting>
  <conditionalFormatting sqref="D390:Y390 AB390:AI390">
    <cfRule type="cellIs" dxfId="1724" priority="2754" operator="equal">
      <formula>0</formula>
    </cfRule>
  </conditionalFormatting>
  <conditionalFormatting sqref="AK391:AK396">
    <cfRule type="notContainsBlanks" dxfId="1723" priority="2750">
      <formula>LEN(TRIM(AK391))&gt;0</formula>
    </cfRule>
  </conditionalFormatting>
  <conditionalFormatting sqref="AM391:AM397">
    <cfRule type="notContainsBlanks" dxfId="1722" priority="2749">
      <formula>LEN(TRIM(AM391))&gt;0</formula>
    </cfRule>
  </conditionalFormatting>
  <conditionalFormatting sqref="AK402">
    <cfRule type="notContainsBlanks" dxfId="1721" priority="2741">
      <formula>LEN(TRIM(AK402))&gt;0</formula>
    </cfRule>
  </conditionalFormatting>
  <conditionalFormatting sqref="AM402">
    <cfRule type="notContainsBlanks" dxfId="1720" priority="2740">
      <formula>LEN(TRIM(AM402))&gt;0</formula>
    </cfRule>
  </conditionalFormatting>
  <conditionalFormatting sqref="AJ402">
    <cfRule type="cellIs" dxfId="1719" priority="2739" operator="equal">
      <formula>0</formula>
    </cfRule>
  </conditionalFormatting>
  <conditionalFormatting sqref="D404:AI404">
    <cfRule type="cellIs" dxfId="1718" priority="2737" operator="equal">
      <formula>0</formula>
    </cfRule>
  </conditionalFormatting>
  <conditionalFormatting sqref="D404:AI404">
    <cfRule type="cellIs" dxfId="1717" priority="2736" operator="equal">
      <formula>0</formula>
    </cfRule>
  </conditionalFormatting>
  <conditionalFormatting sqref="D404:AI404">
    <cfRule type="cellIs" dxfId="1716" priority="2735" operator="equal">
      <formula>0</formula>
    </cfRule>
  </conditionalFormatting>
  <conditionalFormatting sqref="AK406">
    <cfRule type="notContainsBlanks" dxfId="1715" priority="2730">
      <formula>LEN(TRIM(AK406))&gt;0</formula>
    </cfRule>
  </conditionalFormatting>
  <conditionalFormatting sqref="AM406">
    <cfRule type="notContainsBlanks" dxfId="1714" priority="2729">
      <formula>LEN(TRIM(AM406))&gt;0</formula>
    </cfRule>
  </conditionalFormatting>
  <conditionalFormatting sqref="D406:AA406">
    <cfRule type="cellIs" dxfId="1713" priority="2728" operator="equal">
      <formula>0</formula>
    </cfRule>
  </conditionalFormatting>
  <conditionalFormatting sqref="AJ406">
    <cfRule type="cellIs" dxfId="1712" priority="2727" operator="equal">
      <formula>0</formula>
    </cfRule>
  </conditionalFormatting>
  <conditionalFormatting sqref="D406:AA406">
    <cfRule type="cellIs" dxfId="1711" priority="2726" operator="equal">
      <formula>0</formula>
    </cfRule>
  </conditionalFormatting>
  <conditionalFormatting sqref="AM407">
    <cfRule type="notContainsBlanks" dxfId="1710" priority="2723">
      <formula>LEN(TRIM(AM407))&gt;0</formula>
    </cfRule>
  </conditionalFormatting>
  <conditionalFormatting sqref="AJ407:AJ412">
    <cfRule type="cellIs" dxfId="1709" priority="2722" operator="equal">
      <formula>0</formula>
    </cfRule>
  </conditionalFormatting>
  <conditionalFormatting sqref="AK412">
    <cfRule type="notContainsBlanks" dxfId="1708" priority="2714">
      <formula>LEN(TRIM(AK412))&gt;0</formula>
    </cfRule>
  </conditionalFormatting>
  <conditionalFormatting sqref="AM412">
    <cfRule type="notContainsBlanks" dxfId="1707" priority="2713">
      <formula>LEN(TRIM(AM412))&gt;0</formula>
    </cfRule>
  </conditionalFormatting>
  <conditionalFormatting sqref="AM411">
    <cfRule type="notContainsBlanks" dxfId="1706" priority="2716">
      <formula>LEN(TRIM(AM411))&gt;0</formula>
    </cfRule>
  </conditionalFormatting>
  <conditionalFormatting sqref="D405:AG405 AJ405">
    <cfRule type="cellIs" dxfId="1705" priority="2686" operator="equal">
      <formula>0</formula>
    </cfRule>
  </conditionalFormatting>
  <conditionalFormatting sqref="D405:AG405 AJ405">
    <cfRule type="cellIs" dxfId="1704" priority="2685" operator="equal">
      <formula>0</formula>
    </cfRule>
  </conditionalFormatting>
  <conditionalFormatting sqref="D405:AG405 AJ405">
    <cfRule type="cellIs" dxfId="1703" priority="2684" operator="equal">
      <formula>0</formula>
    </cfRule>
  </conditionalFormatting>
  <conditionalFormatting sqref="AK8">
    <cfRule type="notContainsBlanks" dxfId="1702" priority="2677">
      <formula>LEN(TRIM(AK8))&gt;0</formula>
    </cfRule>
  </conditionalFormatting>
  <conditionalFormatting sqref="AK9">
    <cfRule type="notContainsBlanks" dxfId="1701" priority="2676">
      <formula>LEN(TRIM(AK9))&gt;0</formula>
    </cfRule>
  </conditionalFormatting>
  <conditionalFormatting sqref="L130:AA130">
    <cfRule type="expression" dxfId="1700" priority="2674">
      <formula>L130&gt;L129</formula>
    </cfRule>
  </conditionalFormatting>
  <conditionalFormatting sqref="L129:AA129">
    <cfRule type="expression" dxfId="1699" priority="2673">
      <formula>L130&gt;L129</formula>
    </cfRule>
  </conditionalFormatting>
  <conditionalFormatting sqref="AK129">
    <cfRule type="notContainsBlanks" dxfId="1698" priority="2672">
      <formula>LEN(TRIM(AK129))&gt;0</formula>
    </cfRule>
  </conditionalFormatting>
  <conditionalFormatting sqref="AK152">
    <cfRule type="notContainsBlanks" dxfId="1697" priority="2669">
      <formula>LEN(TRIM(AK152))&gt;0</formula>
    </cfRule>
  </conditionalFormatting>
  <conditionalFormatting sqref="L131:AA131">
    <cfRule type="expression" dxfId="1696" priority="2668">
      <formula>L132&gt;L131</formula>
    </cfRule>
  </conditionalFormatting>
  <conditionalFormatting sqref="D371:Y371 AB371:AJ371">
    <cfRule type="expression" dxfId="1695" priority="2667">
      <formula>D370&gt;D371</formula>
    </cfRule>
  </conditionalFormatting>
  <conditionalFormatting sqref="AK150:AK151">
    <cfRule type="notContainsBlanks" dxfId="1694" priority="2665">
      <formula>LEN(TRIM(AK150))&gt;0</formula>
    </cfRule>
  </conditionalFormatting>
  <conditionalFormatting sqref="L152:AA152">
    <cfRule type="expression" dxfId="1693" priority="2661">
      <formula>L139&gt;L152</formula>
    </cfRule>
  </conditionalFormatting>
  <conditionalFormatting sqref="AK139">
    <cfRule type="notContainsBlanks" dxfId="1692" priority="2660">
      <formula>LEN(TRIM(AK139))&gt;0</formula>
    </cfRule>
  </conditionalFormatting>
  <conditionalFormatting sqref="L160:AA160">
    <cfRule type="expression" dxfId="1691" priority="2659">
      <formula>L160&gt;L159</formula>
    </cfRule>
  </conditionalFormatting>
  <conditionalFormatting sqref="L159:AA159">
    <cfRule type="expression" dxfId="1690" priority="2658">
      <formula>L160&gt;L159</formula>
    </cfRule>
  </conditionalFormatting>
  <conditionalFormatting sqref="L152:AA152">
    <cfRule type="expression" dxfId="1689" priority="2656">
      <formula>(L159+L160+L161)&gt;L152</formula>
    </cfRule>
  </conditionalFormatting>
  <conditionalFormatting sqref="L161:AA161 M162 O162 Q162 S162 U162 W162 Y162 AA162">
    <cfRule type="expression" dxfId="1688" priority="2655">
      <formula>(L159+L160+L161)&gt;L152</formula>
    </cfRule>
  </conditionalFormatting>
  <conditionalFormatting sqref="D190:AA190 J448:AG448">
    <cfRule type="expression" dxfId="1687" priority="2654">
      <formula>D190&gt;D188</formula>
    </cfRule>
  </conditionalFormatting>
  <conditionalFormatting sqref="D191:AA191">
    <cfRule type="expression" dxfId="1686" priority="2653">
      <formula>D191&gt;D189</formula>
    </cfRule>
  </conditionalFormatting>
  <conditionalFormatting sqref="M302">
    <cfRule type="expression" dxfId="1685" priority="2648">
      <formula>(M303+M304)&gt;M302</formula>
    </cfRule>
  </conditionalFormatting>
  <conditionalFormatting sqref="O302">
    <cfRule type="expression" dxfId="1684" priority="2647">
      <formula>(O303+O304)&gt;O302</formula>
    </cfRule>
  </conditionalFormatting>
  <conditionalFormatting sqref="Q302">
    <cfRule type="expression" dxfId="1683" priority="2646">
      <formula>(Q303+Q304)&gt;Q302</formula>
    </cfRule>
  </conditionalFormatting>
  <conditionalFormatting sqref="U302">
    <cfRule type="expression" dxfId="1682" priority="2645">
      <formula>(U303+U304)&gt;U302</formula>
    </cfRule>
  </conditionalFormatting>
  <conditionalFormatting sqref="W302">
    <cfRule type="expression" dxfId="1681" priority="2644">
      <formula>(W303+W304)&gt;W302</formula>
    </cfRule>
  </conditionalFormatting>
  <conditionalFormatting sqref="Y302">
    <cfRule type="expression" dxfId="1680" priority="2643">
      <formula>(Y303+Y304)&gt;Y302</formula>
    </cfRule>
  </conditionalFormatting>
  <conditionalFormatting sqref="M303">
    <cfRule type="expression" dxfId="1679" priority="2640">
      <formula>M303&gt;M302</formula>
    </cfRule>
    <cfRule type="expression" dxfId="1678" priority="2641">
      <formula>M338&gt;M303</formula>
    </cfRule>
  </conditionalFormatting>
  <conditionalFormatting sqref="O303">
    <cfRule type="expression" dxfId="1677" priority="2638">
      <formula>O303&gt;O302</formula>
    </cfRule>
    <cfRule type="expression" dxfId="1676" priority="2639">
      <formula>O338&gt;O303</formula>
    </cfRule>
  </conditionalFormatting>
  <conditionalFormatting sqref="Q303">
    <cfRule type="expression" dxfId="1675" priority="2636">
      <formula>Q303&gt;Q302</formula>
    </cfRule>
    <cfRule type="expression" dxfId="1674" priority="2637">
      <formula>Q338&gt;Q303</formula>
    </cfRule>
  </conditionalFormatting>
  <conditionalFormatting sqref="S303">
    <cfRule type="expression" dxfId="1673" priority="2634">
      <formula>S303&gt;S302</formula>
    </cfRule>
    <cfRule type="expression" dxfId="1672" priority="2635">
      <formula>S338&gt;S303</formula>
    </cfRule>
  </conditionalFormatting>
  <conditionalFormatting sqref="U303">
    <cfRule type="expression" dxfId="1671" priority="2632">
      <formula>U303&gt;U302</formula>
    </cfRule>
    <cfRule type="expression" dxfId="1670" priority="2633">
      <formula>U338&gt;U303</formula>
    </cfRule>
  </conditionalFormatting>
  <conditionalFormatting sqref="W303">
    <cfRule type="expression" dxfId="1669" priority="2630">
      <formula>W303&gt;W302</formula>
    </cfRule>
    <cfRule type="expression" dxfId="1668" priority="2631">
      <formula>W338&gt;W303</formula>
    </cfRule>
  </conditionalFormatting>
  <conditionalFormatting sqref="Y303">
    <cfRule type="expression" dxfId="1667" priority="2628">
      <formula>Y303&gt;Y302</formula>
    </cfRule>
    <cfRule type="expression" dxfId="1666" priority="2629">
      <formula>Y338&gt;Y303</formula>
    </cfRule>
  </conditionalFormatting>
  <conditionalFormatting sqref="K305">
    <cfRule type="expression" dxfId="1665" priority="2627">
      <formula>K305&gt;K304</formula>
    </cfRule>
  </conditionalFormatting>
  <conditionalFormatting sqref="M305">
    <cfRule type="expression" dxfId="1664" priority="2626">
      <formula>M305&gt;M304</formula>
    </cfRule>
  </conditionalFormatting>
  <conditionalFormatting sqref="O305">
    <cfRule type="expression" dxfId="1663" priority="2625">
      <formula>O305&gt;O304</formula>
    </cfRule>
  </conditionalFormatting>
  <conditionalFormatting sqref="Q305">
    <cfRule type="expression" dxfId="1662" priority="2624">
      <formula>Q305&gt;Q304</formula>
    </cfRule>
  </conditionalFormatting>
  <conditionalFormatting sqref="S305">
    <cfRule type="expression" dxfId="1661" priority="2623">
      <formula>S305&gt;S304</formula>
    </cfRule>
  </conditionalFormatting>
  <conditionalFormatting sqref="U305">
    <cfRule type="expression" dxfId="1660" priority="2622">
      <formula>U305&gt;U304</formula>
    </cfRule>
  </conditionalFormatting>
  <conditionalFormatting sqref="W305">
    <cfRule type="expression" dxfId="1659" priority="2621">
      <formula>W305&gt;W304</formula>
    </cfRule>
  </conditionalFormatting>
  <conditionalFormatting sqref="Y305">
    <cfRule type="expression" dxfId="1658" priority="2620">
      <formula>Y305&gt;Y304</formula>
    </cfRule>
  </conditionalFormatting>
  <conditionalFormatting sqref="K309">
    <cfRule type="expression" dxfId="1657" priority="2448">
      <formula>K341&lt;&gt;K309</formula>
    </cfRule>
    <cfRule type="expression" dxfId="1656" priority="2619">
      <formula>K309&gt;K308</formula>
    </cfRule>
  </conditionalFormatting>
  <conditionalFormatting sqref="M309">
    <cfRule type="expression" dxfId="1655" priority="2618">
      <formula>M309&gt;M308</formula>
    </cfRule>
  </conditionalFormatting>
  <conditionalFormatting sqref="O309">
    <cfRule type="expression" dxfId="1654" priority="2617">
      <formula>O309&gt;O308</formula>
    </cfRule>
  </conditionalFormatting>
  <conditionalFormatting sqref="Q309">
    <cfRule type="expression" dxfId="1653" priority="2616">
      <formula>Q309&gt;Q308</formula>
    </cfRule>
  </conditionalFormatting>
  <conditionalFormatting sqref="S309">
    <cfRule type="expression" dxfId="1652" priority="2615">
      <formula>S309&gt;S308</formula>
    </cfRule>
  </conditionalFormatting>
  <conditionalFormatting sqref="U309">
    <cfRule type="expression" dxfId="1651" priority="2614">
      <formula>U309&gt;U308</formula>
    </cfRule>
  </conditionalFormatting>
  <conditionalFormatting sqref="W309">
    <cfRule type="expression" dxfId="1650" priority="2613">
      <formula>W309&gt;W308</formula>
    </cfRule>
  </conditionalFormatting>
  <conditionalFormatting sqref="Y309">
    <cfRule type="expression" dxfId="1649" priority="2612">
      <formula>Y309&gt;Y308</formula>
    </cfRule>
  </conditionalFormatting>
  <conditionalFormatting sqref="AK310">
    <cfRule type="notContainsBlanks" dxfId="1648" priority="2611">
      <formula>LEN(TRIM(AK310))&gt;0</formula>
    </cfRule>
  </conditionalFormatting>
  <conditionalFormatting sqref="K310">
    <cfRule type="expression" dxfId="1647" priority="2610">
      <formula>K311&gt;K310</formula>
    </cfRule>
  </conditionalFormatting>
  <conditionalFormatting sqref="K311">
    <cfRule type="expression" dxfId="1646" priority="2389">
      <formula>K342&lt;&gt;K311</formula>
    </cfRule>
    <cfRule type="expression" dxfId="1645" priority="2609">
      <formula>K311&gt;K310</formula>
    </cfRule>
  </conditionalFormatting>
  <conditionalFormatting sqref="M310">
    <cfRule type="expression" dxfId="1644" priority="2608">
      <formula>M311&gt;M310</formula>
    </cfRule>
  </conditionalFormatting>
  <conditionalFormatting sqref="M311">
    <cfRule type="expression" dxfId="1643" priority="2607">
      <formula>M311&gt;M310</formula>
    </cfRule>
  </conditionalFormatting>
  <conditionalFormatting sqref="O310">
    <cfRule type="expression" dxfId="1642" priority="2606">
      <formula>O311&gt;O310</formula>
    </cfRule>
  </conditionalFormatting>
  <conditionalFormatting sqref="O311">
    <cfRule type="expression" dxfId="1641" priority="2605">
      <formula>O311&gt;O310</formula>
    </cfRule>
  </conditionalFormatting>
  <conditionalFormatting sqref="Q310">
    <cfRule type="expression" dxfId="1640" priority="2604">
      <formula>Q311&gt;Q310</formula>
    </cfRule>
  </conditionalFormatting>
  <conditionalFormatting sqref="Q311">
    <cfRule type="expression" dxfId="1639" priority="2603">
      <formula>Q311&gt;Q310</formula>
    </cfRule>
  </conditionalFormatting>
  <conditionalFormatting sqref="S310">
    <cfRule type="expression" dxfId="1638" priority="2602">
      <formula>S311&gt;S310</formula>
    </cfRule>
  </conditionalFormatting>
  <conditionalFormatting sqref="S311">
    <cfRule type="expression" dxfId="1637" priority="2601">
      <formula>S311&gt;S310</formula>
    </cfRule>
  </conditionalFormatting>
  <conditionalFormatting sqref="U310">
    <cfRule type="expression" dxfId="1636" priority="2600">
      <formula>U311&gt;U310</formula>
    </cfRule>
  </conditionalFormatting>
  <conditionalFormatting sqref="U311">
    <cfRule type="expression" dxfId="1635" priority="2599">
      <formula>U311&gt;U310</formula>
    </cfRule>
  </conditionalFormatting>
  <conditionalFormatting sqref="W310">
    <cfRule type="expression" dxfId="1634" priority="2598">
      <formula>W311&gt;W310</formula>
    </cfRule>
  </conditionalFormatting>
  <conditionalFormatting sqref="W311">
    <cfRule type="expression" dxfId="1633" priority="2597">
      <formula>W311&gt;W310</formula>
    </cfRule>
  </conditionalFormatting>
  <conditionalFormatting sqref="Y310">
    <cfRule type="expression" dxfId="1632" priority="2596">
      <formula>Y311&gt;Y310</formula>
    </cfRule>
  </conditionalFormatting>
  <conditionalFormatting sqref="Y311">
    <cfRule type="expression" dxfId="1631" priority="2595">
      <formula>Y311&gt;Y310</formula>
    </cfRule>
  </conditionalFormatting>
  <conditionalFormatting sqref="AK314">
    <cfRule type="notContainsBlanks" dxfId="1630" priority="2594">
      <formula>LEN(TRIM(AK314))&gt;0</formula>
    </cfRule>
  </conditionalFormatting>
  <conditionalFormatting sqref="K315">
    <cfRule type="expression" dxfId="1629" priority="2593">
      <formula>K315&gt;K314</formula>
    </cfRule>
  </conditionalFormatting>
  <conditionalFormatting sqref="M315">
    <cfRule type="expression" dxfId="1628" priority="2591">
      <formula>M315&gt;M314</formula>
    </cfRule>
  </conditionalFormatting>
  <conditionalFormatting sqref="M314">
    <cfRule type="expression" dxfId="1627" priority="2590">
      <formula>M315&gt;M314</formula>
    </cfRule>
  </conditionalFormatting>
  <conditionalFormatting sqref="O315">
    <cfRule type="expression" dxfId="1626" priority="2589">
      <formula>O315&gt;O314</formula>
    </cfRule>
  </conditionalFormatting>
  <conditionalFormatting sqref="O314">
    <cfRule type="expression" dxfId="1625" priority="2588">
      <formula>O315&gt;O314</formula>
    </cfRule>
  </conditionalFormatting>
  <conditionalFormatting sqref="Q315">
    <cfRule type="expression" dxfId="1624" priority="2587">
      <formula>Q315&gt;Q314</formula>
    </cfRule>
  </conditionalFormatting>
  <conditionalFormatting sqref="Q314">
    <cfRule type="expression" dxfId="1623" priority="2586">
      <formula>Q315&gt;Q314</formula>
    </cfRule>
  </conditionalFormatting>
  <conditionalFormatting sqref="S315">
    <cfRule type="expression" dxfId="1622" priority="2585">
      <formula>S315&gt;S314</formula>
    </cfRule>
  </conditionalFormatting>
  <conditionalFormatting sqref="S314">
    <cfRule type="expression" dxfId="1621" priority="2584">
      <formula>S315&gt;S314</formula>
    </cfRule>
  </conditionalFormatting>
  <conditionalFormatting sqref="U315">
    <cfRule type="expression" dxfId="1620" priority="2583">
      <formula>U315&gt;U314</formula>
    </cfRule>
  </conditionalFormatting>
  <conditionalFormatting sqref="U314">
    <cfRule type="expression" dxfId="1619" priority="2582">
      <formula>U315&gt;U314</formula>
    </cfRule>
  </conditionalFormatting>
  <conditionalFormatting sqref="W315">
    <cfRule type="expression" dxfId="1618" priority="2581">
      <formula>W315&gt;W314</formula>
    </cfRule>
  </conditionalFormatting>
  <conditionalFormatting sqref="W314">
    <cfRule type="expression" dxfId="1617" priority="2580">
      <formula>W315&gt;W314</formula>
    </cfRule>
  </conditionalFormatting>
  <conditionalFormatting sqref="Y315">
    <cfRule type="expression" dxfId="1616" priority="2579">
      <formula>Y315&gt;Y314</formula>
    </cfRule>
  </conditionalFormatting>
  <conditionalFormatting sqref="Y314">
    <cfRule type="expression" dxfId="1615" priority="2578">
      <formula>Y315&gt;Y314</formula>
    </cfRule>
  </conditionalFormatting>
  <conditionalFormatting sqref="Q316">
    <cfRule type="expression" dxfId="1614" priority="2576">
      <formula>Q317&gt;Q316</formula>
    </cfRule>
  </conditionalFormatting>
  <conditionalFormatting sqref="Q316">
    <cfRule type="expression" dxfId="1613" priority="2575">
      <formula>Q317&gt;Q316</formula>
    </cfRule>
  </conditionalFormatting>
  <conditionalFormatting sqref="S316">
    <cfRule type="expression" dxfId="1612" priority="2574">
      <formula>S317&gt;S316</formula>
    </cfRule>
  </conditionalFormatting>
  <conditionalFormatting sqref="S316">
    <cfRule type="expression" dxfId="1611" priority="2573">
      <formula>S317&gt;S316</formula>
    </cfRule>
  </conditionalFormatting>
  <conditionalFormatting sqref="U316">
    <cfRule type="expression" dxfId="1610" priority="2572">
      <formula>U317&gt;U316</formula>
    </cfRule>
  </conditionalFormatting>
  <conditionalFormatting sqref="U316">
    <cfRule type="expression" dxfId="1609" priority="2571">
      <formula>U317&gt;U316</formula>
    </cfRule>
  </conditionalFormatting>
  <conditionalFormatting sqref="W316">
    <cfRule type="expression" dxfId="1608" priority="2570">
      <formula>W317&gt;W316</formula>
    </cfRule>
  </conditionalFormatting>
  <conditionalFormatting sqref="W316">
    <cfRule type="expression" dxfId="1607" priority="2569">
      <formula>W317&gt;W316</formula>
    </cfRule>
  </conditionalFormatting>
  <conditionalFormatting sqref="Y316">
    <cfRule type="expression" dxfId="1606" priority="2568">
      <formula>Y317&gt;Y316</formula>
    </cfRule>
  </conditionalFormatting>
  <conditionalFormatting sqref="Y316">
    <cfRule type="expression" dxfId="1605" priority="2567">
      <formula>Y317&gt;Y316</formula>
    </cfRule>
  </conditionalFormatting>
  <conditionalFormatting sqref="K317">
    <cfRule type="expression" dxfId="1604" priority="2566">
      <formula>K345&gt;K317</formula>
    </cfRule>
  </conditionalFormatting>
  <conditionalFormatting sqref="K317">
    <cfRule type="expression" dxfId="1603" priority="2565">
      <formula>K317&gt;K316</formula>
    </cfRule>
  </conditionalFormatting>
  <conditionalFormatting sqref="K318">
    <cfRule type="expression" dxfId="1602" priority="2557">
      <formula>K319&gt;K318</formula>
    </cfRule>
  </conditionalFormatting>
  <conditionalFormatting sqref="M318">
    <cfRule type="expression" dxfId="1601" priority="2553">
      <formula>M319&gt;M318</formula>
    </cfRule>
  </conditionalFormatting>
  <conditionalFormatting sqref="O318">
    <cfRule type="expression" dxfId="1600" priority="2549">
      <formula>O319&gt;O318</formula>
    </cfRule>
  </conditionalFormatting>
  <conditionalFormatting sqref="Q318">
    <cfRule type="expression" dxfId="1599" priority="2545">
      <formula>Q319&gt;Q318</formula>
    </cfRule>
  </conditionalFormatting>
  <conditionalFormatting sqref="S318">
    <cfRule type="expression" dxfId="1598" priority="2541">
      <formula>S319&gt;S318</formula>
    </cfRule>
  </conditionalFormatting>
  <conditionalFormatting sqref="U318">
    <cfRule type="expression" dxfId="1597" priority="2537">
      <formula>U319&gt;U318</formula>
    </cfRule>
  </conditionalFormatting>
  <conditionalFormatting sqref="W318">
    <cfRule type="expression" dxfId="1596" priority="2533">
      <formula>W319&gt;W318</formula>
    </cfRule>
  </conditionalFormatting>
  <conditionalFormatting sqref="Y318">
    <cfRule type="expression" dxfId="1595" priority="2529">
      <formula>Y319&gt;Y318</formula>
    </cfRule>
  </conditionalFormatting>
  <conditionalFormatting sqref="K320">
    <cfRule type="expression" dxfId="1594" priority="2525">
      <formula>K321&gt;K320</formula>
    </cfRule>
  </conditionalFormatting>
  <conditionalFormatting sqref="M320">
    <cfRule type="expression" dxfId="1593" priority="2521">
      <formula>M321&gt;M320</formula>
    </cfRule>
  </conditionalFormatting>
  <conditionalFormatting sqref="O320">
    <cfRule type="expression" dxfId="1592" priority="2517">
      <formula>O321&gt;O320</formula>
    </cfRule>
  </conditionalFormatting>
  <conditionalFormatting sqref="Q320">
    <cfRule type="expression" dxfId="1591" priority="2513">
      <formula>Q321&gt;Q320</formula>
    </cfRule>
  </conditionalFormatting>
  <conditionalFormatting sqref="Q321">
    <cfRule type="expression" dxfId="1590" priority="2511">
      <formula>Q321&gt;Q320</formula>
    </cfRule>
  </conditionalFormatting>
  <conditionalFormatting sqref="AK318">
    <cfRule type="notContainsBlanks" dxfId="1589" priority="2494">
      <formula>LEN(TRIM(AK318))&gt;0</formula>
    </cfRule>
  </conditionalFormatting>
  <conditionalFormatting sqref="AK320">
    <cfRule type="notContainsBlanks" dxfId="1588" priority="2493">
      <formula>LEN(TRIM(AK320))&gt;0</formula>
    </cfRule>
  </conditionalFormatting>
  <conditionalFormatting sqref="D326:E327">
    <cfRule type="cellIs" dxfId="1587" priority="2492" operator="equal">
      <formula>0</formula>
    </cfRule>
  </conditionalFormatting>
  <conditionalFormatting sqref="D328:E328">
    <cfRule type="expression" dxfId="1586" priority="2474">
      <formula>D331&gt;D328</formula>
    </cfRule>
    <cfRule type="cellIs" dxfId="1585" priority="2489" operator="equal">
      <formula>0</formula>
    </cfRule>
  </conditionalFormatting>
  <conditionalFormatting sqref="D329:E330">
    <cfRule type="cellIs" dxfId="1584" priority="2488" operator="equal">
      <formula>0</formula>
    </cfRule>
  </conditionalFormatting>
  <conditionalFormatting sqref="D331:E331">
    <cfRule type="expression" dxfId="1583" priority="2475">
      <formula>D331&gt;D328</formula>
    </cfRule>
    <cfRule type="cellIs" dxfId="1582" priority="2485" operator="equal">
      <formula>0</formula>
    </cfRule>
  </conditionalFormatting>
  <conditionalFormatting sqref="D334:E334">
    <cfRule type="expression" dxfId="1581" priority="1891">
      <formula>D332&lt;&gt;D356</formula>
    </cfRule>
    <cfRule type="cellIs" dxfId="1580" priority="2482" operator="equal">
      <formula>0</formula>
    </cfRule>
  </conditionalFormatting>
  <conditionalFormatting sqref="D326:E327">
    <cfRule type="expression" dxfId="1579" priority="2480">
      <formula>D329&gt;D326</formula>
    </cfRule>
  </conditionalFormatting>
  <conditionalFormatting sqref="D329:E330">
    <cfRule type="expression" dxfId="1578" priority="2479">
      <formula>D329&gt;D326</formula>
    </cfRule>
  </conditionalFormatting>
  <conditionalFormatting sqref="D332:E333">
    <cfRule type="cellIs" dxfId="1577" priority="2478" operator="equal">
      <formula>0</formula>
    </cfRule>
  </conditionalFormatting>
  <conditionalFormatting sqref="D332:E333">
    <cfRule type="expression" dxfId="1576" priority="2477">
      <formula>D332&gt;D329</formula>
    </cfRule>
  </conditionalFormatting>
  <conditionalFormatting sqref="AM329:AM331">
    <cfRule type="notContainsBlanks" dxfId="1575" priority="3327">
      <formula>LEN(TRIM(AM329))&gt;0</formula>
    </cfRule>
  </conditionalFormatting>
  <conditionalFormatting sqref="D332:E333">
    <cfRule type="expression" dxfId="1574" priority="2473">
      <formula>D329&gt;D332</formula>
    </cfRule>
  </conditionalFormatting>
  <conditionalFormatting sqref="D329:E330">
    <cfRule type="expression" dxfId="1573" priority="2472">
      <formula>D329&gt;D332</formula>
    </cfRule>
  </conditionalFormatting>
  <conditionalFormatting sqref="K338">
    <cfRule type="expression" dxfId="1572" priority="2471">
      <formula>K338&gt;K303</formula>
    </cfRule>
  </conditionalFormatting>
  <conditionalFormatting sqref="M338">
    <cfRule type="expression" dxfId="1571" priority="2470">
      <formula>M338&gt;M303</formula>
    </cfRule>
  </conditionalFormatting>
  <conditionalFormatting sqref="O338">
    <cfRule type="expression" dxfId="1570" priority="2469">
      <formula>O338&gt;O303</formula>
    </cfRule>
  </conditionalFormatting>
  <conditionalFormatting sqref="Q338">
    <cfRule type="expression" dxfId="1569" priority="2468">
      <formula>Q338&gt;Q303</formula>
    </cfRule>
  </conditionalFormatting>
  <conditionalFormatting sqref="S338">
    <cfRule type="expression" dxfId="1568" priority="2467">
      <formula>S338&gt;S303</formula>
    </cfRule>
  </conditionalFormatting>
  <conditionalFormatting sqref="U338">
    <cfRule type="expression" dxfId="1567" priority="2466">
      <formula>U338&gt;U303</formula>
    </cfRule>
  </conditionalFormatting>
  <conditionalFormatting sqref="W338">
    <cfRule type="expression" dxfId="1566" priority="2465">
      <formula>W338&gt;W303</formula>
    </cfRule>
  </conditionalFormatting>
  <conditionalFormatting sqref="Y338">
    <cfRule type="expression" dxfId="1565" priority="2464">
      <formula>Y338&gt;Y303</formula>
    </cfRule>
  </conditionalFormatting>
  <conditionalFormatting sqref="K341">
    <cfRule type="expression" dxfId="1564" priority="2449">
      <formula>K341&lt;&gt;K309</formula>
    </cfRule>
  </conditionalFormatting>
  <conditionalFormatting sqref="M309">
    <cfRule type="expression" dxfId="1563" priority="2446">
      <formula>M341&lt;&gt;M309</formula>
    </cfRule>
    <cfRule type="expression" dxfId="1562" priority="2447">
      <formula>M309&gt;M308</formula>
    </cfRule>
  </conditionalFormatting>
  <conditionalFormatting sqref="O309">
    <cfRule type="expression" dxfId="1561" priority="2444">
      <formula>O341&lt;&gt;O309</formula>
    </cfRule>
    <cfRule type="expression" dxfId="1560" priority="2445">
      <formula>O309&gt;O308</formula>
    </cfRule>
  </conditionalFormatting>
  <conditionalFormatting sqref="Q309">
    <cfRule type="expression" dxfId="1559" priority="2442">
      <formula>Q341&lt;&gt;Q309</formula>
    </cfRule>
    <cfRule type="expression" dxfId="1558" priority="2443">
      <formula>Q309&gt;Q308</formula>
    </cfRule>
  </conditionalFormatting>
  <conditionalFormatting sqref="S309">
    <cfRule type="expression" dxfId="1557" priority="2440">
      <formula>S341&lt;&gt;S309</formula>
    </cfRule>
    <cfRule type="expression" dxfId="1556" priority="2441">
      <formula>S309&gt;S308</formula>
    </cfRule>
  </conditionalFormatting>
  <conditionalFormatting sqref="U309">
    <cfRule type="expression" dxfId="1555" priority="2438">
      <formula>U341&lt;&gt;U309</formula>
    </cfRule>
    <cfRule type="expression" dxfId="1554" priority="2439">
      <formula>U309&gt;U308</formula>
    </cfRule>
  </conditionalFormatting>
  <conditionalFormatting sqref="W309">
    <cfRule type="expression" dxfId="1553" priority="2436">
      <formula>W341&lt;&gt;W309</formula>
    </cfRule>
    <cfRule type="expression" dxfId="1552" priority="2437">
      <formula>W309&gt;W308</formula>
    </cfRule>
  </conditionalFormatting>
  <conditionalFormatting sqref="Y309">
    <cfRule type="expression" dxfId="1551" priority="2434">
      <formula>Y341&lt;&gt;Y309</formula>
    </cfRule>
    <cfRule type="expression" dxfId="1550" priority="2435">
      <formula>Y309&gt;Y308</formula>
    </cfRule>
  </conditionalFormatting>
  <conditionalFormatting sqref="M341">
    <cfRule type="cellIs" dxfId="1549" priority="2433" operator="equal">
      <formula>0</formula>
    </cfRule>
  </conditionalFormatting>
  <conditionalFormatting sqref="M341">
    <cfRule type="expression" dxfId="1548" priority="2432">
      <formula>M341&lt;&gt;M309</formula>
    </cfRule>
  </conditionalFormatting>
  <conditionalFormatting sqref="O341">
    <cfRule type="cellIs" dxfId="1547" priority="2431" operator="equal">
      <formula>0</formula>
    </cfRule>
  </conditionalFormatting>
  <conditionalFormatting sqref="O341">
    <cfRule type="expression" dxfId="1546" priority="2430">
      <formula>O341&lt;&gt;O309</formula>
    </cfRule>
  </conditionalFormatting>
  <conditionalFormatting sqref="Q341">
    <cfRule type="cellIs" dxfId="1545" priority="2429" operator="equal">
      <formula>0</formula>
    </cfRule>
  </conditionalFormatting>
  <conditionalFormatting sqref="Q341">
    <cfRule type="expression" dxfId="1544" priority="2428">
      <formula>Q341&lt;&gt;Q309</formula>
    </cfRule>
  </conditionalFormatting>
  <conditionalFormatting sqref="S341">
    <cfRule type="cellIs" dxfId="1543" priority="2427" operator="equal">
      <formula>0</formula>
    </cfRule>
  </conditionalFormatting>
  <conditionalFormatting sqref="S341">
    <cfRule type="expression" dxfId="1542" priority="2426">
      <formula>S341&lt;&gt;S309</formula>
    </cfRule>
  </conditionalFormatting>
  <conditionalFormatting sqref="U341">
    <cfRule type="cellIs" dxfId="1541" priority="2425" operator="equal">
      <formula>0</formula>
    </cfRule>
  </conditionalFormatting>
  <conditionalFormatting sqref="U341">
    <cfRule type="expression" dxfId="1540" priority="2424">
      <formula>U341&lt;&gt;U309</formula>
    </cfRule>
  </conditionalFormatting>
  <conditionalFormatting sqref="W341">
    <cfRule type="cellIs" dxfId="1539" priority="2423" operator="equal">
      <formula>0</formula>
    </cfRule>
  </conditionalFormatting>
  <conditionalFormatting sqref="W341">
    <cfRule type="expression" dxfId="1538" priority="2422">
      <formula>W341&lt;&gt;W309</formula>
    </cfRule>
  </conditionalFormatting>
  <conditionalFormatting sqref="Y341">
    <cfRule type="cellIs" dxfId="1537" priority="2421" operator="equal">
      <formula>0</formula>
    </cfRule>
  </conditionalFormatting>
  <conditionalFormatting sqref="Y341">
    <cfRule type="expression" dxfId="1536" priority="2420">
      <formula>Y341&lt;&gt;Y309</formula>
    </cfRule>
  </conditionalFormatting>
  <conditionalFormatting sqref="K342">
    <cfRule type="expression" dxfId="1535" priority="2419">
      <formula>K342&lt;&gt;K311</formula>
    </cfRule>
  </conditionalFormatting>
  <conditionalFormatting sqref="M310">
    <cfRule type="expression" dxfId="1534" priority="2417">
      <formula>M311&gt;M310</formula>
    </cfRule>
  </conditionalFormatting>
  <conditionalFormatting sqref="O310">
    <cfRule type="expression" dxfId="1533" priority="2415">
      <formula>O311&gt;O310</formula>
    </cfRule>
  </conditionalFormatting>
  <conditionalFormatting sqref="Q310">
    <cfRule type="expression" dxfId="1532" priority="2413">
      <formula>Q311&gt;Q310</formula>
    </cfRule>
  </conditionalFormatting>
  <conditionalFormatting sqref="S310">
    <cfRule type="expression" dxfId="1531" priority="2411">
      <formula>S311&gt;S310</formula>
    </cfRule>
  </conditionalFormatting>
  <conditionalFormatting sqref="U310">
    <cfRule type="expression" dxfId="1530" priority="2409">
      <formula>U311&gt;U310</formula>
    </cfRule>
  </conditionalFormatting>
  <conditionalFormatting sqref="W310">
    <cfRule type="expression" dxfId="1529" priority="2407">
      <formula>W311&gt;W310</formula>
    </cfRule>
  </conditionalFormatting>
  <conditionalFormatting sqref="Y310">
    <cfRule type="expression" dxfId="1528" priority="2405">
      <formula>Y311&gt;Y310</formula>
    </cfRule>
  </conditionalFormatting>
  <conditionalFormatting sqref="M342">
    <cfRule type="cellIs" dxfId="1527" priority="2403" operator="equal">
      <formula>0</formula>
    </cfRule>
  </conditionalFormatting>
  <conditionalFormatting sqref="M342">
    <cfRule type="expression" dxfId="1526" priority="2402">
      <formula>M342&lt;&gt;M311</formula>
    </cfRule>
  </conditionalFormatting>
  <conditionalFormatting sqref="O342">
    <cfRule type="cellIs" dxfId="1525" priority="2401" operator="equal">
      <formula>0</formula>
    </cfRule>
  </conditionalFormatting>
  <conditionalFormatting sqref="O342">
    <cfRule type="expression" dxfId="1524" priority="2400">
      <formula>O342&lt;&gt;O311</formula>
    </cfRule>
  </conditionalFormatting>
  <conditionalFormatting sqref="Q342">
    <cfRule type="cellIs" dxfId="1523" priority="2399" operator="equal">
      <formula>0</formula>
    </cfRule>
  </conditionalFormatting>
  <conditionalFormatting sqref="Q342">
    <cfRule type="expression" dxfId="1522" priority="2398">
      <formula>Q342&lt;&gt;Q311</formula>
    </cfRule>
  </conditionalFormatting>
  <conditionalFormatting sqref="S342">
    <cfRule type="cellIs" dxfId="1521" priority="2397" operator="equal">
      <formula>0</formula>
    </cfRule>
  </conditionalFormatting>
  <conditionalFormatting sqref="S342">
    <cfRule type="expression" dxfId="1520" priority="2396">
      <formula>S342&lt;&gt;S311</formula>
    </cfRule>
  </conditionalFormatting>
  <conditionalFormatting sqref="U342">
    <cfRule type="cellIs" dxfId="1519" priority="2395" operator="equal">
      <formula>0</formula>
    </cfRule>
  </conditionalFormatting>
  <conditionalFormatting sqref="U342">
    <cfRule type="expression" dxfId="1518" priority="2394">
      <formula>U342&lt;&gt;U311</formula>
    </cfRule>
  </conditionalFormatting>
  <conditionalFormatting sqref="W342">
    <cfRule type="cellIs" dxfId="1517" priority="2393" operator="equal">
      <formula>0</formula>
    </cfRule>
  </conditionalFormatting>
  <conditionalFormatting sqref="W342">
    <cfRule type="expression" dxfId="1516" priority="2392">
      <formula>W342&lt;&gt;W311</formula>
    </cfRule>
  </conditionalFormatting>
  <conditionalFormatting sqref="Y342">
    <cfRule type="cellIs" dxfId="1515" priority="2391" operator="equal">
      <formula>0</formula>
    </cfRule>
  </conditionalFormatting>
  <conditionalFormatting sqref="Y342">
    <cfRule type="expression" dxfId="1514" priority="2390">
      <formula>Y342&lt;&gt;Y311</formula>
    </cfRule>
  </conditionalFormatting>
  <conditionalFormatting sqref="M311">
    <cfRule type="expression" dxfId="1513" priority="2387">
      <formula>M342&lt;&gt;M311</formula>
    </cfRule>
    <cfRule type="expression" dxfId="1512" priority="2388">
      <formula>M311&gt;M310</formula>
    </cfRule>
  </conditionalFormatting>
  <conditionalFormatting sqref="O311">
    <cfRule type="expression" dxfId="1511" priority="2385">
      <formula>O342&lt;&gt;O311</formula>
    </cfRule>
    <cfRule type="expression" dxfId="1510" priority="2386">
      <formula>O311&gt;O310</formula>
    </cfRule>
  </conditionalFormatting>
  <conditionalFormatting sqref="Q311">
    <cfRule type="expression" dxfId="1509" priority="2383">
      <formula>Q342&lt;&gt;Q311</formula>
    </cfRule>
    <cfRule type="expression" dxfId="1508" priority="2384">
      <formula>Q311&gt;Q310</formula>
    </cfRule>
  </conditionalFormatting>
  <conditionalFormatting sqref="S311">
    <cfRule type="expression" dxfId="1507" priority="2381">
      <formula>S342&lt;&gt;S311</formula>
    </cfRule>
    <cfRule type="expression" dxfId="1506" priority="2382">
      <formula>S311&gt;S310</formula>
    </cfRule>
  </conditionalFormatting>
  <conditionalFormatting sqref="U311">
    <cfRule type="expression" dxfId="1505" priority="2379">
      <formula>U342&lt;&gt;U311</formula>
    </cfRule>
    <cfRule type="expression" dxfId="1504" priority="2380">
      <formula>U311&gt;U310</formula>
    </cfRule>
  </conditionalFormatting>
  <conditionalFormatting sqref="W311">
    <cfRule type="expression" dxfId="1503" priority="2377">
      <formula>W342&lt;&gt;W311</formula>
    </cfRule>
    <cfRule type="expression" dxfId="1502" priority="2378">
      <formula>W311&gt;W310</formula>
    </cfRule>
  </conditionalFormatting>
  <conditionalFormatting sqref="Y311">
    <cfRule type="expression" dxfId="1501" priority="2375">
      <formula>Y342&lt;&gt;Y311</formula>
    </cfRule>
    <cfRule type="expression" dxfId="1500" priority="2376">
      <formula>Y311&gt;Y310</formula>
    </cfRule>
  </conditionalFormatting>
  <conditionalFormatting sqref="O346">
    <cfRule type="expression" dxfId="1499" priority="2374">
      <formula>O346&gt;O319</formula>
    </cfRule>
  </conditionalFormatting>
  <conditionalFormatting sqref="Q346">
    <cfRule type="expression" dxfId="1498" priority="2373">
      <formula>Q346&gt;Q319</formula>
    </cfRule>
  </conditionalFormatting>
  <conditionalFormatting sqref="S346">
    <cfRule type="expression" dxfId="1497" priority="2372">
      <formula>S346&gt;S319</formula>
    </cfRule>
  </conditionalFormatting>
  <conditionalFormatting sqref="U346">
    <cfRule type="expression" dxfId="1496" priority="2371">
      <formula>U346&gt;U319</formula>
    </cfRule>
  </conditionalFormatting>
  <conditionalFormatting sqref="W346">
    <cfRule type="expression" dxfId="1495" priority="2370">
      <formula>W346&gt;W319</formula>
    </cfRule>
  </conditionalFormatting>
  <conditionalFormatting sqref="Y346">
    <cfRule type="expression" dxfId="1494" priority="2369">
      <formula>Y346&gt;Y319</formula>
    </cfRule>
  </conditionalFormatting>
  <conditionalFormatting sqref="M346">
    <cfRule type="expression" dxfId="1493" priority="2368">
      <formula>M346&gt;M319</formula>
    </cfRule>
  </conditionalFormatting>
  <conditionalFormatting sqref="K346">
    <cfRule type="expression" dxfId="1492" priority="2367">
      <formula>K346&gt;K319</formula>
    </cfRule>
  </conditionalFormatting>
  <conditionalFormatting sqref="K319 M319 O319 Q319 S319 U319 W319 Y319">
    <cfRule type="expression" dxfId="1491" priority="2362">
      <formula>K346&gt;K319</formula>
    </cfRule>
  </conditionalFormatting>
  <conditionalFormatting sqref="K319 M319 O319 Q319 S319 U319 W319 Y319">
    <cfRule type="expression" dxfId="1490" priority="2363">
      <formula>K319&gt;K318</formula>
    </cfRule>
  </conditionalFormatting>
  <conditionalFormatting sqref="K347">
    <cfRule type="expression" dxfId="1489" priority="2329">
      <formula>K347&gt;K321</formula>
    </cfRule>
  </conditionalFormatting>
  <conditionalFormatting sqref="Q321">
    <cfRule type="expression" dxfId="1488" priority="2316">
      <formula>Q347&gt;Q321</formula>
    </cfRule>
  </conditionalFormatting>
  <conditionalFormatting sqref="Q321">
    <cfRule type="expression" dxfId="1487" priority="2317">
      <formula>Q321&gt;Q320</formula>
    </cfRule>
  </conditionalFormatting>
  <conditionalFormatting sqref="M347">
    <cfRule type="expression" dxfId="1486" priority="2299">
      <formula>M347&gt;M321</formula>
    </cfRule>
  </conditionalFormatting>
  <conditionalFormatting sqref="O347">
    <cfRule type="expression" dxfId="1485" priority="2298">
      <formula>O347&gt;O321</formula>
    </cfRule>
  </conditionalFormatting>
  <conditionalFormatting sqref="Q347">
    <cfRule type="expression" dxfId="1484" priority="2297">
      <formula>Q347&gt;Q321</formula>
    </cfRule>
  </conditionalFormatting>
  <conditionalFormatting sqref="S347">
    <cfRule type="expression" dxfId="1483" priority="2296">
      <formula>S347&gt;S321</formula>
    </cfRule>
  </conditionalFormatting>
  <conditionalFormatting sqref="U347">
    <cfRule type="expression" dxfId="1482" priority="2295">
      <formula>U347&gt;U321</formula>
    </cfRule>
  </conditionalFormatting>
  <conditionalFormatting sqref="W347">
    <cfRule type="expression" dxfId="1481" priority="2294">
      <formula>W347&gt;W321</formula>
    </cfRule>
  </conditionalFormatting>
  <conditionalFormatting sqref="Y347">
    <cfRule type="expression" dxfId="1480" priority="2293">
      <formula>Y347&gt;Y321</formula>
    </cfRule>
  </conditionalFormatting>
  <conditionalFormatting sqref="D356:AI356 AB357:AI362 L358:Y358 L362:Y362 M361 O361 Q361 S361 U361 W361 Y361 L360:Y360 L359 N359 P359 R359 T359 V359 X359 AB367:AI367">
    <cfRule type="expression" dxfId="1479" priority="2292">
      <formula>D356&gt;D371</formula>
    </cfRule>
  </conditionalFormatting>
  <conditionalFormatting sqref="L373:Y373 L375:Y375 L374 N374 P374 R374 T374 V374 X374 L377:Y377 M376 O376 Q376 S376 U376 W376 Y376 D371:Y371 AB372:AG377 AB371:AJ371">
    <cfRule type="expression" dxfId="1478" priority="2291">
      <formula>D356&gt;D371</formula>
    </cfRule>
  </conditionalFormatting>
  <conditionalFormatting sqref="D357:Y357">
    <cfRule type="expression" dxfId="1477" priority="2290">
      <formula>D357&gt;D372</formula>
    </cfRule>
  </conditionalFormatting>
  <conditionalFormatting sqref="D372:Y372">
    <cfRule type="expression" dxfId="1476" priority="2289">
      <formula>D357&gt;D372</formula>
    </cfRule>
  </conditionalFormatting>
  <conditionalFormatting sqref="D370:Y370 AB370:AG370">
    <cfRule type="expression" dxfId="1475" priority="2288">
      <formula>D370&gt;D371</formula>
    </cfRule>
  </conditionalFormatting>
  <conditionalFormatting sqref="AK370">
    <cfRule type="notContainsBlanks" dxfId="1474" priority="2286">
      <formula>LEN(TRIM(AK370))&gt;0</formula>
    </cfRule>
  </conditionalFormatting>
  <conditionalFormatting sqref="J384:Y384 AB384:AG384">
    <cfRule type="expression" dxfId="1473" priority="2285">
      <formula>J384&lt;&gt;J371</formula>
    </cfRule>
  </conditionalFormatting>
  <conditionalFormatting sqref="D371:Y371 AB371:AJ371">
    <cfRule type="expression" dxfId="1472" priority="2284">
      <formula>D384&lt;&gt;D371</formula>
    </cfRule>
  </conditionalFormatting>
  <conditionalFormatting sqref="K371:Y371 AB371:AI371">
    <cfRule type="expression" dxfId="1471" priority="2283">
      <formula>K349&gt;K371</formula>
    </cfRule>
  </conditionalFormatting>
  <conditionalFormatting sqref="D393:AI393">
    <cfRule type="expression" dxfId="1470" priority="2281">
      <formula>D388&gt;D393</formula>
    </cfRule>
  </conditionalFormatting>
  <conditionalFormatting sqref="D393:AI393">
    <cfRule type="expression" dxfId="1469" priority="2279">
      <formula>D389&gt;D393</formula>
    </cfRule>
  </conditionalFormatting>
  <conditionalFormatting sqref="D393:AI393">
    <cfRule type="cellIs" dxfId="1468" priority="2278" operator="equal">
      <formula>0</formula>
    </cfRule>
  </conditionalFormatting>
  <conditionalFormatting sqref="AB398:AI398 D398:Y400">
    <cfRule type="expression" dxfId="1467" priority="2277">
      <formula>D398&gt;SUM(D394:D396)</formula>
    </cfRule>
  </conditionalFormatting>
  <conditionalFormatting sqref="D397:Y397 AB397:AI397">
    <cfRule type="cellIs" dxfId="1466" priority="2276" operator="equal">
      <formula>0</formula>
    </cfRule>
  </conditionalFormatting>
  <conditionalFormatting sqref="D397:Y397 AB397:AI397">
    <cfRule type="expression" dxfId="1465" priority="2275">
      <formula>E398&gt;(E394+E395+E396)</formula>
    </cfRule>
  </conditionalFormatting>
  <conditionalFormatting sqref="AK397">
    <cfRule type="notContainsBlanks" dxfId="1464" priority="2274">
      <formula>LEN(TRIM(AK397))&gt;0</formula>
    </cfRule>
  </conditionalFormatting>
  <conditionalFormatting sqref="D401:Y401 D393:AI393">
    <cfRule type="expression" dxfId="1463" priority="2272">
      <formula>D397&gt;D393</formula>
    </cfRule>
  </conditionalFormatting>
  <conditionalFormatting sqref="AK398:AK401">
    <cfRule type="notContainsBlanks" dxfId="1462" priority="2271">
      <formula>LEN(TRIM(AK398))&gt;0</formula>
    </cfRule>
  </conditionalFormatting>
  <conditionalFormatting sqref="D404:AI404">
    <cfRule type="expression" dxfId="1461" priority="2270">
      <formula>D404&gt;D393</formula>
    </cfRule>
  </conditionalFormatting>
  <conditionalFormatting sqref="D356:H356 J356:AI356">
    <cfRule type="expression" dxfId="1460" priority="2269">
      <formula>D364&gt;D356</formula>
    </cfRule>
  </conditionalFormatting>
  <conditionalFormatting sqref="AK404">
    <cfRule type="notContainsBlanks" dxfId="1459" priority="2268">
      <formula>LEN(TRIM(AK404))&gt;0</formula>
    </cfRule>
  </conditionalFormatting>
  <conditionalFormatting sqref="AK404">
    <cfRule type="notContainsBlanks" dxfId="1458" priority="2267">
      <formula>LEN(TRIM(AK404))&gt;0</formula>
    </cfRule>
  </conditionalFormatting>
  <conditionalFormatting sqref="D371:Y371 AB371:AI371">
    <cfRule type="expression" dxfId="1457" priority="2264">
      <formula>D393&gt;D371</formula>
    </cfRule>
  </conditionalFormatting>
  <conditionalFormatting sqref="AK388">
    <cfRule type="notContainsBlanks" dxfId="1456" priority="2263">
      <formula>LEN(TRIM(AK388))&gt;0</formula>
    </cfRule>
  </conditionalFormatting>
  <conditionalFormatting sqref="D371:Y371 AB371:AI371">
    <cfRule type="expression" dxfId="1455" priority="2262">
      <formula>SUM(D188:D189)&gt;D371</formula>
    </cfRule>
  </conditionalFormatting>
  <conditionalFormatting sqref="K339">
    <cfRule type="expression" dxfId="1454" priority="1353">
      <formula>K339&gt;K356</formula>
    </cfRule>
    <cfRule type="expression" dxfId="1453" priority="2259">
      <formula>K339&gt;K356 &amp; EXACT($I$3,"1") &amp; EXACT($E$3,"1")</formula>
    </cfRule>
  </conditionalFormatting>
  <conditionalFormatting sqref="D406:AA406">
    <cfRule type="expression" dxfId="1452" priority="2257">
      <formula>D407&gt;D406</formula>
    </cfRule>
  </conditionalFormatting>
  <conditionalFormatting sqref="D428:AG434">
    <cfRule type="expression" dxfId="1451" priority="2256">
      <formula>D428&gt;D$422</formula>
    </cfRule>
  </conditionalFormatting>
  <conditionalFormatting sqref="D422:AG422">
    <cfRule type="expression" dxfId="1450" priority="2255">
      <formula>D428&gt;D$422</formula>
    </cfRule>
  </conditionalFormatting>
  <conditionalFormatting sqref="F440:Y440 AB440:AI440">
    <cfRule type="expression" dxfId="1449" priority="2254">
      <formula>F440&gt;F436</formula>
    </cfRule>
  </conditionalFormatting>
  <conditionalFormatting sqref="D436:Y436 AB436:AI436">
    <cfRule type="expression" dxfId="1448" priority="2253">
      <formula>D440&gt;D436</formula>
    </cfRule>
  </conditionalFormatting>
  <conditionalFormatting sqref="AL436">
    <cfRule type="notContainsBlanks" dxfId="1447" priority="2252">
      <formula>LEN(TRIM(AL436))&gt;0</formula>
    </cfRule>
  </conditionalFormatting>
  <conditionalFormatting sqref="F442:Y442 AB442:AI442">
    <cfRule type="expression" dxfId="1446" priority="2251">
      <formula>F442&gt;F440</formula>
    </cfRule>
  </conditionalFormatting>
  <conditionalFormatting sqref="F440:Y440 AB440:AI440">
    <cfRule type="expression" dxfId="1445" priority="2250">
      <formula>F442&gt;F440</formula>
    </cfRule>
  </conditionalFormatting>
  <conditionalFormatting sqref="D445:Y445 AB445:AI445">
    <cfRule type="expression" dxfId="1444" priority="2249">
      <formula>D445&lt;&gt;D437</formula>
    </cfRule>
  </conditionalFormatting>
  <conditionalFormatting sqref="D437:Y437 AB437:AI437">
    <cfRule type="expression" dxfId="1443" priority="2248">
      <formula>D445&lt;&gt;D437</formula>
    </cfRule>
  </conditionalFormatting>
  <conditionalFormatting sqref="F444:Y444 AB444:AI444">
    <cfRule type="expression" dxfId="1442" priority="2247">
      <formula>F444&gt;F442</formula>
    </cfRule>
  </conditionalFormatting>
  <conditionalFormatting sqref="F442:Y442 AB442:AI442">
    <cfRule type="expression" dxfId="1441" priority="2246">
      <formula>F444&gt;F442</formula>
    </cfRule>
  </conditionalFormatting>
  <conditionalFormatting sqref="AK436">
    <cfRule type="notContainsBlanks" dxfId="1440" priority="2244">
      <formula>LEN(TRIM(AK436))&gt;0</formula>
    </cfRule>
  </conditionalFormatting>
  <conditionalFormatting sqref="AK440">
    <cfRule type="notContainsBlanks" dxfId="1439" priority="2243">
      <formula>LEN(TRIM(AK440))&gt;0</formula>
    </cfRule>
  </conditionalFormatting>
  <conditionalFormatting sqref="AK441">
    <cfRule type="notContainsBlanks" dxfId="1438" priority="2242">
      <formula>LEN(TRIM(AK441))&gt;0</formula>
    </cfRule>
  </conditionalFormatting>
  <conditionalFormatting sqref="D441:AI441">
    <cfRule type="expression" dxfId="1437" priority="2241">
      <formula>D441&gt;D436</formula>
    </cfRule>
  </conditionalFormatting>
  <conditionalFormatting sqref="F439:Y439 AB439:AJ439">
    <cfRule type="cellIs" dxfId="1436" priority="2240" operator="lessThan">
      <formula>0</formula>
    </cfRule>
  </conditionalFormatting>
  <conditionalFormatting sqref="AK442">
    <cfRule type="notContainsBlanks" dxfId="1435" priority="2238">
      <formula>LEN(TRIM(AK442))&gt;0</formula>
    </cfRule>
  </conditionalFormatting>
  <conditionalFormatting sqref="AM444">
    <cfRule type="notContainsBlanks" dxfId="1434" priority="3348">
      <formula>LEN(TRIM(AM444))&gt;0</formula>
    </cfRule>
  </conditionalFormatting>
  <conditionalFormatting sqref="AN436">
    <cfRule type="notContainsBlanks" dxfId="1433" priority="2236">
      <formula>LEN(TRIM(AN436))&gt;0</formula>
    </cfRule>
  </conditionalFormatting>
  <conditionalFormatting sqref="AK444">
    <cfRule type="notContainsBlanks" dxfId="1432" priority="2235">
      <formula>LEN(TRIM(AK444))&gt;0</formula>
    </cfRule>
  </conditionalFormatting>
  <conditionalFormatting sqref="AK446">
    <cfRule type="notContainsBlanks" dxfId="1431" priority="2234">
      <formula>LEN(TRIM(AK446))&gt;0</formula>
    </cfRule>
  </conditionalFormatting>
  <conditionalFormatting sqref="AK445">
    <cfRule type="notContainsBlanks" dxfId="1430" priority="2233">
      <formula>LEN(TRIM(AK445))&gt;0</formula>
    </cfRule>
  </conditionalFormatting>
  <conditionalFormatting sqref="F440:Y440 AB440:AI440">
    <cfRule type="expression" dxfId="1429" priority="2210">
      <formula>F440&lt;F439</formula>
    </cfRule>
  </conditionalFormatting>
  <conditionalFormatting sqref="F439:Y439 AB439:AI439">
    <cfRule type="expression" dxfId="1428" priority="2209">
      <formula>F440&lt;F439</formula>
    </cfRule>
  </conditionalFormatting>
  <conditionalFormatting sqref="J448:AG448 F444:Y444 AB444:AI444">
    <cfRule type="expression" dxfId="1427" priority="2208">
      <formula>F442&gt;F444</formula>
    </cfRule>
  </conditionalFormatting>
  <conditionalFormatting sqref="F442:Y442 AB442:AI442">
    <cfRule type="expression" dxfId="1426" priority="2207">
      <formula>F442&gt;F444</formula>
    </cfRule>
  </conditionalFormatting>
  <conditionalFormatting sqref="D412:AA412">
    <cfRule type="expression" dxfId="1425" priority="2206">
      <formula>D412&gt;D407</formula>
    </cfRule>
  </conditionalFormatting>
  <conditionalFormatting sqref="D407:AA407">
    <cfRule type="expression" dxfId="1424" priority="2205">
      <formula>D412&gt;D407</formula>
    </cfRule>
  </conditionalFormatting>
  <conditionalFormatting sqref="D411:AA411">
    <cfRule type="expression" dxfId="1423" priority="2203">
      <formula>D411&gt;SUM(D410,D409,D408)</formula>
    </cfRule>
  </conditionalFormatting>
  <conditionalFormatting sqref="D410:AA410">
    <cfRule type="expression" dxfId="1422" priority="2202">
      <formula>D411&gt;SUM(D410,D409,D408)</formula>
    </cfRule>
  </conditionalFormatting>
  <conditionalFormatting sqref="D409:AA409">
    <cfRule type="expression" dxfId="1421" priority="2201">
      <formula>D411&gt;SUM(D410,D409,D408)</formula>
    </cfRule>
  </conditionalFormatting>
  <conditionalFormatting sqref="D408:AA408">
    <cfRule type="expression" dxfId="1420" priority="2200">
      <formula>D411&gt;SUM(D410,D409,D408)</formula>
    </cfRule>
  </conditionalFormatting>
  <conditionalFormatting sqref="D389:Y389 AB389:AI389">
    <cfRule type="expression" dxfId="1419" priority="2199">
      <formula>D403&gt;D389</formula>
    </cfRule>
  </conditionalFormatting>
  <conditionalFormatting sqref="D403:Y403 AB403:AI403">
    <cfRule type="expression" dxfId="1418" priority="2198">
      <formula>D403&gt;D389</formula>
    </cfRule>
  </conditionalFormatting>
  <conditionalFormatting sqref="K314">
    <cfRule type="expression" dxfId="1417" priority="2197">
      <formula>K315&gt;K314</formula>
    </cfRule>
  </conditionalFormatting>
  <conditionalFormatting sqref="K344">
    <cfRule type="expression" dxfId="1416" priority="2196">
      <formula>K344&gt;K315</formula>
    </cfRule>
  </conditionalFormatting>
  <conditionalFormatting sqref="M344">
    <cfRule type="expression" dxfId="1415" priority="2195">
      <formula>M344&gt;M315</formula>
    </cfRule>
  </conditionalFormatting>
  <conditionalFormatting sqref="O344">
    <cfRule type="expression" dxfId="1414" priority="2194">
      <formula>O344&gt;O315</formula>
    </cfRule>
  </conditionalFormatting>
  <conditionalFormatting sqref="Q344">
    <cfRule type="expression" dxfId="1413" priority="2193">
      <formula>Q344&gt;Q315</formula>
    </cfRule>
  </conditionalFormatting>
  <conditionalFormatting sqref="S344">
    <cfRule type="expression" dxfId="1412" priority="2192">
      <formula>S344&gt;S315</formula>
    </cfRule>
  </conditionalFormatting>
  <conditionalFormatting sqref="U344">
    <cfRule type="expression" dxfId="1411" priority="2191">
      <formula>U344&gt;U315</formula>
    </cfRule>
  </conditionalFormatting>
  <conditionalFormatting sqref="W344">
    <cfRule type="expression" dxfId="1410" priority="2190">
      <formula>W344&gt;W315</formula>
    </cfRule>
  </conditionalFormatting>
  <conditionalFormatting sqref="Y344">
    <cfRule type="expression" dxfId="1409" priority="2189">
      <formula>Y344&gt;Y315</formula>
    </cfRule>
  </conditionalFormatting>
  <conditionalFormatting sqref="D18:AG18 AJ18">
    <cfRule type="cellIs" dxfId="1408" priority="2188" operator="equal">
      <formula>0</formula>
    </cfRule>
  </conditionalFormatting>
  <conditionalFormatting sqref="AK11">
    <cfRule type="notContainsBlanks" dxfId="1407" priority="2187">
      <formula>LEN(TRIM(AK11))&gt;0</formula>
    </cfRule>
  </conditionalFormatting>
  <conditionalFormatting sqref="AK12">
    <cfRule type="notContainsBlanks" dxfId="1406" priority="2186">
      <formula>LEN(TRIM(AK12))&gt;0</formula>
    </cfRule>
  </conditionalFormatting>
  <conditionalFormatting sqref="AK16">
    <cfRule type="notContainsBlanks" dxfId="1405" priority="2184">
      <formula>LEN(TRIM(AK16))&gt;0</formula>
    </cfRule>
  </conditionalFormatting>
  <conditionalFormatting sqref="AK15">
    <cfRule type="notContainsBlanks" dxfId="1404" priority="2183">
      <formula>LEN(TRIM(AK15))&gt;0</formula>
    </cfRule>
  </conditionalFormatting>
  <conditionalFormatting sqref="D14:AG14">
    <cfRule type="cellIs" dxfId="1403" priority="2167" operator="equal">
      <formula>0</formula>
    </cfRule>
  </conditionalFormatting>
  <conditionalFormatting sqref="AK14">
    <cfRule type="notContainsBlanks" dxfId="1402" priority="2166">
      <formula>LEN(TRIM(AK14))&gt;0</formula>
    </cfRule>
  </conditionalFormatting>
  <conditionalFormatting sqref="D14:AG14">
    <cfRule type="expression" dxfId="1401" priority="2165">
      <formula>D58&gt;D14</formula>
    </cfRule>
  </conditionalFormatting>
  <conditionalFormatting sqref="D58:AI58">
    <cfRule type="expression" dxfId="1400" priority="2164">
      <formula>D58&gt;D14</formula>
    </cfRule>
  </conditionalFormatting>
  <conditionalFormatting sqref="M230">
    <cfRule type="cellIs" dxfId="1399" priority="2146" operator="equal">
      <formula>0</formula>
    </cfRule>
  </conditionalFormatting>
  <conditionalFormatting sqref="M224">
    <cfRule type="expression" dxfId="1398" priority="1701">
      <formula>M223&lt;(M224+M225+M226)</formula>
    </cfRule>
    <cfRule type="expression" dxfId="1397" priority="2087">
      <formula>(M226+M225+M224)&gt;M222</formula>
    </cfRule>
  </conditionalFormatting>
  <conditionalFormatting sqref="M225">
    <cfRule type="expression" dxfId="1396" priority="1700">
      <formula>M223&lt;(M224+M225+M226)</formula>
    </cfRule>
    <cfRule type="expression" dxfId="1395" priority="2086">
      <formula>(M226+M225+M224)&gt;M222</formula>
    </cfRule>
  </conditionalFormatting>
  <conditionalFormatting sqref="M226">
    <cfRule type="expression" dxfId="1394" priority="1699">
      <formula>M223&lt;(M224+M225+M226)</formula>
    </cfRule>
    <cfRule type="expression" dxfId="1393" priority="2085">
      <formula>(M226+M225+M224)&gt;M222</formula>
    </cfRule>
  </conditionalFormatting>
  <conditionalFormatting sqref="AM255:AN255">
    <cfRule type="notContainsBlanks" dxfId="1392" priority="2006">
      <formula>LEN(TRIM(AM255))&gt;0</formula>
    </cfRule>
  </conditionalFormatting>
  <conditionalFormatting sqref="AJ256:AJ281">
    <cfRule type="cellIs" dxfId="1391" priority="2004" operator="equal">
      <formula>0</formula>
    </cfRule>
  </conditionalFormatting>
  <conditionalFormatting sqref="AM256:AN263">
    <cfRule type="notContainsBlanks" dxfId="1390" priority="2002">
      <formula>LEN(TRIM(AM256))&gt;0</formula>
    </cfRule>
  </conditionalFormatting>
  <conditionalFormatting sqref="AM264:AN264">
    <cfRule type="notContainsBlanks" dxfId="1389" priority="1993">
      <formula>LEN(TRIM(AM264))&gt;0</formula>
    </cfRule>
  </conditionalFormatting>
  <conditionalFormatting sqref="AM265:AN272">
    <cfRule type="notContainsBlanks" dxfId="1388" priority="1989">
      <formula>LEN(TRIM(AM265))&gt;0</formula>
    </cfRule>
  </conditionalFormatting>
  <conditionalFormatting sqref="AM273:AN273">
    <cfRule type="notContainsBlanks" dxfId="1387" priority="1980">
      <formula>LEN(TRIM(AM273))&gt;0</formula>
    </cfRule>
  </conditionalFormatting>
  <conditionalFormatting sqref="AM274:AN281">
    <cfRule type="notContainsBlanks" dxfId="1386" priority="1976">
      <formula>LEN(TRIM(AM274))&gt;0</formula>
    </cfRule>
  </conditionalFormatting>
  <conditionalFormatting sqref="D248:AG248">
    <cfRule type="cellIs" dxfId="1385" priority="1969" operator="equal">
      <formula>0</formula>
    </cfRule>
  </conditionalFormatting>
  <conditionalFormatting sqref="K289 O289 Q289 S289 U289 W289 Y289 AA289 M289">
    <cfRule type="expression" dxfId="1384" priority="1967">
      <formula>K289&gt;K283</formula>
    </cfRule>
  </conditionalFormatting>
  <conditionalFormatting sqref="AJ255">
    <cfRule type="cellIs" dxfId="1383" priority="1965" operator="equal">
      <formula>0</formula>
    </cfRule>
  </conditionalFormatting>
  <conditionalFormatting sqref="AJ12:AJ13">
    <cfRule type="cellIs" dxfId="1382" priority="1963" operator="equal">
      <formula>0</formula>
    </cfRule>
  </conditionalFormatting>
  <conditionalFormatting sqref="AJ14">
    <cfRule type="cellIs" dxfId="1381" priority="1962" operator="equal">
      <formula>0</formula>
    </cfRule>
  </conditionalFormatting>
  <conditionalFormatting sqref="AJ15:AJ17">
    <cfRule type="cellIs" dxfId="1380" priority="1961" operator="equal">
      <formula>0</formula>
    </cfRule>
  </conditionalFormatting>
  <conditionalFormatting sqref="D247:AG247">
    <cfRule type="expression" dxfId="1379" priority="1959">
      <formula>D247&gt;D246</formula>
    </cfRule>
  </conditionalFormatting>
  <conditionalFormatting sqref="D246:AG246">
    <cfRule type="expression" dxfId="1378" priority="1958">
      <formula>D247&gt;D246</formula>
    </cfRule>
  </conditionalFormatting>
  <conditionalFormatting sqref="D248:AG248">
    <cfRule type="expression" dxfId="1377" priority="1957">
      <formula>D248&gt;D247</formula>
    </cfRule>
  </conditionalFormatting>
  <conditionalFormatting sqref="D247:AG247">
    <cfRule type="expression" dxfId="1376" priority="1956">
      <formula>D248&gt;D247</formula>
    </cfRule>
  </conditionalFormatting>
  <conditionalFormatting sqref="D287:AA287">
    <cfRule type="expression" dxfId="1375" priority="1955">
      <formula>D287&gt;D283</formula>
    </cfRule>
  </conditionalFormatting>
  <conditionalFormatting sqref="AK249">
    <cfRule type="notContainsBlanks" dxfId="1374" priority="1953">
      <formula>LEN(TRIM(AK249))&gt;0</formula>
    </cfRule>
  </conditionalFormatting>
  <conditionalFormatting sqref="AL255">
    <cfRule type="notContainsBlanks" dxfId="1373" priority="1952">
      <formula>LEN(TRIM(AL255))&gt;0</formula>
    </cfRule>
  </conditionalFormatting>
  <conditionalFormatting sqref="AL264">
    <cfRule type="notContainsBlanks" dxfId="1372" priority="1951">
      <formula>LEN(TRIM(AL264))&gt;0</formula>
    </cfRule>
  </conditionalFormatting>
  <conditionalFormatting sqref="AL273">
    <cfRule type="notContainsBlanks" dxfId="1371" priority="1950">
      <formula>LEN(TRIM(AL273))&gt;0</formula>
    </cfRule>
  </conditionalFormatting>
  <conditionalFormatting sqref="D250:AG250">
    <cfRule type="expression" dxfId="1370" priority="1949">
      <formula>D250&gt;D249</formula>
    </cfRule>
  </conditionalFormatting>
  <conditionalFormatting sqref="D249:AG249">
    <cfRule type="expression" dxfId="1369" priority="1948">
      <formula>D250&gt;D249</formula>
    </cfRule>
  </conditionalFormatting>
  <conditionalFormatting sqref="AK246">
    <cfRule type="notContainsBlanks" dxfId="1368" priority="1947">
      <formula>LEN(TRIM(AK246))&gt;0</formula>
    </cfRule>
  </conditionalFormatting>
  <conditionalFormatting sqref="AK251">
    <cfRule type="notContainsBlanks" dxfId="1367" priority="1946">
      <formula>LEN(TRIM(AK251))&gt;0</formula>
    </cfRule>
  </conditionalFormatting>
  <conditionalFormatting sqref="D252:AG252">
    <cfRule type="expression" dxfId="1366" priority="1945">
      <formula>D252&gt;D251</formula>
    </cfRule>
  </conditionalFormatting>
  <conditionalFormatting sqref="D251:AG251">
    <cfRule type="expression" dxfId="1365" priority="1944">
      <formula>D252&gt;D251</formula>
    </cfRule>
  </conditionalFormatting>
  <conditionalFormatting sqref="AK256:AK257 AK259 AK261:AK263">
    <cfRule type="notContainsBlanks" dxfId="1364" priority="1943">
      <formula>LEN(TRIM(AK256))&gt;0</formula>
    </cfRule>
  </conditionalFormatting>
  <conditionalFormatting sqref="AK258">
    <cfRule type="notContainsBlanks" dxfId="1363" priority="1942">
      <formula>LEN(TRIM(AK258))&gt;0</formula>
    </cfRule>
  </conditionalFormatting>
  <conditionalFormatting sqref="AK255">
    <cfRule type="notContainsBlanks" dxfId="1362" priority="1941">
      <formula>LEN(TRIM(AK255))&gt;0</formula>
    </cfRule>
  </conditionalFormatting>
  <conditionalFormatting sqref="AK260">
    <cfRule type="notContainsBlanks" dxfId="1361" priority="1940">
      <formula>LEN(TRIM(AK260))&gt;0</formula>
    </cfRule>
  </conditionalFormatting>
  <conditionalFormatting sqref="AK265:AK266 AK268 AK270:AK272">
    <cfRule type="notContainsBlanks" dxfId="1360" priority="1939">
      <formula>LEN(TRIM(AK265))&gt;0</formula>
    </cfRule>
  </conditionalFormatting>
  <conditionalFormatting sqref="AK267">
    <cfRule type="notContainsBlanks" dxfId="1359" priority="1938">
      <formula>LEN(TRIM(AK267))&gt;0</formula>
    </cfRule>
  </conditionalFormatting>
  <conditionalFormatting sqref="AK264">
    <cfRule type="notContainsBlanks" dxfId="1358" priority="1937">
      <formula>LEN(TRIM(AK264))&gt;0</formula>
    </cfRule>
  </conditionalFormatting>
  <conditionalFormatting sqref="AK269">
    <cfRule type="notContainsBlanks" dxfId="1357" priority="1936">
      <formula>LEN(TRIM(AK269))&gt;0</formula>
    </cfRule>
  </conditionalFormatting>
  <conditionalFormatting sqref="AK274:AK275 AK277 AK279:AK281">
    <cfRule type="notContainsBlanks" dxfId="1356" priority="1935">
      <formula>LEN(TRIM(AK274))&gt;0</formula>
    </cfRule>
  </conditionalFormatting>
  <conditionalFormatting sqref="AK276">
    <cfRule type="notContainsBlanks" dxfId="1355" priority="1934">
      <formula>LEN(TRIM(AK276))&gt;0</formula>
    </cfRule>
  </conditionalFormatting>
  <conditionalFormatting sqref="AK273">
    <cfRule type="notContainsBlanks" dxfId="1354" priority="1933">
      <formula>LEN(TRIM(AK273))&gt;0</formula>
    </cfRule>
  </conditionalFormatting>
  <conditionalFormatting sqref="AK278">
    <cfRule type="notContainsBlanks" dxfId="1353" priority="1932">
      <formula>LEN(TRIM(AK278))&gt;0</formula>
    </cfRule>
  </conditionalFormatting>
  <conditionalFormatting sqref="D255:AG255">
    <cfRule type="cellIs" dxfId="1352" priority="1931" operator="equal">
      <formula>0</formula>
    </cfRule>
  </conditionalFormatting>
  <conditionalFormatting sqref="D257:AG257">
    <cfRule type="cellIs" dxfId="1351" priority="1930" operator="equal">
      <formula>0</formula>
    </cfRule>
  </conditionalFormatting>
  <conditionalFormatting sqref="D256:AG256">
    <cfRule type="expression" dxfId="1350" priority="1929">
      <formula>D256&gt;D255</formula>
    </cfRule>
  </conditionalFormatting>
  <conditionalFormatting sqref="D255:AG255">
    <cfRule type="expression" dxfId="1349" priority="1928">
      <formula>D256&gt;D255</formula>
    </cfRule>
  </conditionalFormatting>
  <conditionalFormatting sqref="D257:AG257">
    <cfRule type="expression" dxfId="1348" priority="1927">
      <formula>D257&gt;D256</formula>
    </cfRule>
  </conditionalFormatting>
  <conditionalFormatting sqref="D256:AG256">
    <cfRule type="expression" dxfId="1347" priority="1926">
      <formula>D257&gt;D256</formula>
    </cfRule>
  </conditionalFormatting>
  <conditionalFormatting sqref="D259:AG259">
    <cfRule type="expression" dxfId="1346" priority="1925">
      <formula>D259&gt;D258</formula>
    </cfRule>
  </conditionalFormatting>
  <conditionalFormatting sqref="D258:AG258">
    <cfRule type="expression" dxfId="1345" priority="1924">
      <formula>D259&gt;D258</formula>
    </cfRule>
  </conditionalFormatting>
  <conditionalFormatting sqref="D261:AG261">
    <cfRule type="expression" dxfId="1344" priority="1923">
      <formula>D261&gt;D260</formula>
    </cfRule>
  </conditionalFormatting>
  <conditionalFormatting sqref="D260:AG260">
    <cfRule type="expression" dxfId="1343" priority="1922">
      <formula>D261&gt;D260</formula>
    </cfRule>
  </conditionalFormatting>
  <conditionalFormatting sqref="D266:AG266">
    <cfRule type="cellIs" dxfId="1342" priority="1920" operator="equal">
      <formula>0</formula>
    </cfRule>
  </conditionalFormatting>
  <conditionalFormatting sqref="D265:AG265">
    <cfRule type="expression" dxfId="1341" priority="1919">
      <formula>D265&gt;D264</formula>
    </cfRule>
  </conditionalFormatting>
  <conditionalFormatting sqref="D264:AG264">
    <cfRule type="expression" dxfId="1340" priority="1918">
      <formula>D265&gt;D264</formula>
    </cfRule>
  </conditionalFormatting>
  <conditionalFormatting sqref="D266:AG266">
    <cfRule type="expression" dxfId="1339" priority="1917">
      <formula>D266&gt;D265</formula>
    </cfRule>
  </conditionalFormatting>
  <conditionalFormatting sqref="D265:AG265">
    <cfRule type="expression" dxfId="1338" priority="1916">
      <formula>D266&gt;D265</formula>
    </cfRule>
  </conditionalFormatting>
  <conditionalFormatting sqref="D268:AG268">
    <cfRule type="expression" dxfId="1337" priority="1915">
      <formula>D268&gt;D267</formula>
    </cfRule>
  </conditionalFormatting>
  <conditionalFormatting sqref="D267:AG267">
    <cfRule type="expression" dxfId="1336" priority="1914">
      <formula>D268&gt;D267</formula>
    </cfRule>
  </conditionalFormatting>
  <conditionalFormatting sqref="D270:AG270">
    <cfRule type="expression" dxfId="1335" priority="1913">
      <formula>D270&gt;D269</formula>
    </cfRule>
  </conditionalFormatting>
  <conditionalFormatting sqref="D269:AG269">
    <cfRule type="expression" dxfId="1334" priority="1912">
      <formula>D270&gt;D269</formula>
    </cfRule>
  </conditionalFormatting>
  <conditionalFormatting sqref="D273:AG273">
    <cfRule type="cellIs" dxfId="1333" priority="1911" operator="equal">
      <formula>0</formula>
    </cfRule>
  </conditionalFormatting>
  <conditionalFormatting sqref="D275:AG275">
    <cfRule type="cellIs" dxfId="1332" priority="1910" operator="equal">
      <formula>0</formula>
    </cfRule>
  </conditionalFormatting>
  <conditionalFormatting sqref="D274:AG274">
    <cfRule type="expression" dxfId="1331" priority="1909">
      <formula>D274&gt;D273</formula>
    </cfRule>
  </conditionalFormatting>
  <conditionalFormatting sqref="D273:AG273">
    <cfRule type="expression" dxfId="1330" priority="1908">
      <formula>D274&gt;D273</formula>
    </cfRule>
  </conditionalFormatting>
  <conditionalFormatting sqref="D275:AG275">
    <cfRule type="expression" dxfId="1329" priority="1907">
      <formula>D275&gt;D274</formula>
    </cfRule>
  </conditionalFormatting>
  <conditionalFormatting sqref="D274:AG274">
    <cfRule type="expression" dxfId="1328" priority="1906">
      <formula>D275&gt;D274</formula>
    </cfRule>
  </conditionalFormatting>
  <conditionalFormatting sqref="D277:AG277">
    <cfRule type="expression" dxfId="1327" priority="1905">
      <formula>D277&gt;D276</formula>
    </cfRule>
  </conditionalFormatting>
  <conditionalFormatting sqref="D276:AG276">
    <cfRule type="expression" dxfId="1326" priority="1904">
      <formula>D277&gt;D276</formula>
    </cfRule>
  </conditionalFormatting>
  <conditionalFormatting sqref="D279:AG279">
    <cfRule type="expression" dxfId="1325" priority="1903">
      <formula>D279&gt;D278</formula>
    </cfRule>
  </conditionalFormatting>
  <conditionalFormatting sqref="D278:AG278">
    <cfRule type="expression" dxfId="1324" priority="1902">
      <formula>D279&gt;D278</formula>
    </cfRule>
  </conditionalFormatting>
  <conditionalFormatting sqref="K290 M290 O290 Q290 S290 U290 W290 Y290 AA290">
    <cfRule type="expression" dxfId="1323" priority="1901">
      <formula>K290&gt;K289</formula>
    </cfRule>
  </conditionalFormatting>
  <conditionalFormatting sqref="D397:Y397 AB397:AI397">
    <cfRule type="expression" dxfId="1322" priority="1897">
      <formula>D397&gt;D393</formula>
    </cfRule>
  </conditionalFormatting>
  <conditionalFormatting sqref="AL388:AL404">
    <cfRule type="notContainsBlanks" dxfId="1321" priority="1896">
      <formula>LEN(TRIM(AL388))&gt;0</formula>
    </cfRule>
  </conditionalFormatting>
  <conditionalFormatting sqref="D404:AI404">
    <cfRule type="expression" dxfId="1320" priority="1895">
      <formula>D404&gt;D398</formula>
    </cfRule>
  </conditionalFormatting>
  <conditionalFormatting sqref="AL326:AL334">
    <cfRule type="notContainsBlanks" dxfId="1319" priority="1893">
      <formula>LEN(TRIM(AL326))&gt;0</formula>
    </cfRule>
  </conditionalFormatting>
  <conditionalFormatting sqref="AN326:AN334">
    <cfRule type="notContainsBlanks" dxfId="1318" priority="1889">
      <formula>LEN(TRIM(AN326))&gt;0</formula>
    </cfRule>
  </conditionalFormatting>
  <conditionalFormatting sqref="AJ11">
    <cfRule type="cellIs" dxfId="1317" priority="1884" operator="equal">
      <formula>0</formula>
    </cfRule>
  </conditionalFormatting>
  <conditionalFormatting sqref="AJ11">
    <cfRule type="cellIs" dxfId="1316" priority="1882" operator="equal">
      <formula>0</formula>
    </cfRule>
  </conditionalFormatting>
  <conditionalFormatting sqref="D282:AA282 D286:AA286">
    <cfRule type="cellIs" dxfId="1315" priority="1880" operator="equal">
      <formula>0</formula>
    </cfRule>
  </conditionalFormatting>
  <conditionalFormatting sqref="S320">
    <cfRule type="expression" dxfId="1314" priority="1875">
      <formula>S321&gt;S320</formula>
    </cfRule>
  </conditionalFormatting>
  <conditionalFormatting sqref="U320">
    <cfRule type="expression" dxfId="1313" priority="1874">
      <formula>U321&gt;U320</formula>
    </cfRule>
  </conditionalFormatting>
  <conditionalFormatting sqref="W320">
    <cfRule type="expression" dxfId="1312" priority="1873">
      <formula>W321&gt;W320</formula>
    </cfRule>
  </conditionalFormatting>
  <conditionalFormatting sqref="Y320">
    <cfRule type="expression" dxfId="1311" priority="1872">
      <formula>Y321&gt;Y320</formula>
    </cfRule>
  </conditionalFormatting>
  <conditionalFormatting sqref="O321">
    <cfRule type="expression" dxfId="1310" priority="1871">
      <formula>O321&gt;O320</formula>
    </cfRule>
  </conditionalFormatting>
  <conditionalFormatting sqref="O321">
    <cfRule type="expression" dxfId="1309" priority="1869">
      <formula>O347&gt;O321</formula>
    </cfRule>
  </conditionalFormatting>
  <conditionalFormatting sqref="O321">
    <cfRule type="expression" dxfId="1308" priority="1870">
      <formula>O321&gt;O320</formula>
    </cfRule>
  </conditionalFormatting>
  <conditionalFormatting sqref="M321">
    <cfRule type="expression" dxfId="1307" priority="1868">
      <formula>M321&gt;M320</formula>
    </cfRule>
  </conditionalFormatting>
  <conditionalFormatting sqref="M321">
    <cfRule type="expression" dxfId="1306" priority="1866">
      <formula>M347&gt;M321</formula>
    </cfRule>
  </conditionalFormatting>
  <conditionalFormatting sqref="M321">
    <cfRule type="expression" dxfId="1305" priority="1867">
      <formula>M321&gt;M320</formula>
    </cfRule>
  </conditionalFormatting>
  <conditionalFormatting sqref="K321">
    <cfRule type="expression" dxfId="1304" priority="1865">
      <formula>K321&gt;K320</formula>
    </cfRule>
  </conditionalFormatting>
  <conditionalFormatting sqref="K321">
    <cfRule type="expression" dxfId="1303" priority="1863">
      <formula>K347&gt;K321</formula>
    </cfRule>
  </conditionalFormatting>
  <conditionalFormatting sqref="K321">
    <cfRule type="expression" dxfId="1302" priority="1864">
      <formula>K321&gt;K320</formula>
    </cfRule>
  </conditionalFormatting>
  <conditionalFormatting sqref="S321">
    <cfRule type="expression" dxfId="1301" priority="1862">
      <formula>S321&gt;S320</formula>
    </cfRule>
  </conditionalFormatting>
  <conditionalFormatting sqref="S321">
    <cfRule type="expression" dxfId="1300" priority="1860">
      <formula>S347&gt;S321</formula>
    </cfRule>
  </conditionalFormatting>
  <conditionalFormatting sqref="S321">
    <cfRule type="expression" dxfId="1299" priority="1861">
      <formula>S321&gt;S320</formula>
    </cfRule>
  </conditionalFormatting>
  <conditionalFormatting sqref="U321">
    <cfRule type="expression" dxfId="1298" priority="1859">
      <formula>U321&gt;U320</formula>
    </cfRule>
  </conditionalFormatting>
  <conditionalFormatting sqref="U321">
    <cfRule type="expression" dxfId="1297" priority="1857">
      <formula>U347&gt;U321</formula>
    </cfRule>
  </conditionalFormatting>
  <conditionalFormatting sqref="U321">
    <cfRule type="expression" dxfId="1296" priority="1858">
      <formula>U321&gt;U320</formula>
    </cfRule>
  </conditionalFormatting>
  <conditionalFormatting sqref="W321">
    <cfRule type="expression" dxfId="1295" priority="1856">
      <formula>W321&gt;W320</formula>
    </cfRule>
  </conditionalFormatting>
  <conditionalFormatting sqref="W321">
    <cfRule type="expression" dxfId="1294" priority="1854">
      <formula>W347&gt;W321</formula>
    </cfRule>
  </conditionalFormatting>
  <conditionalFormatting sqref="W321">
    <cfRule type="expression" dxfId="1293" priority="1855">
      <formula>W321&gt;W320</formula>
    </cfRule>
  </conditionalFormatting>
  <conditionalFormatting sqref="Y321">
    <cfRule type="expression" dxfId="1292" priority="1853">
      <formula>Y321&gt;Y320</formula>
    </cfRule>
  </conditionalFormatting>
  <conditionalFormatting sqref="Y321">
    <cfRule type="expression" dxfId="1291" priority="1851">
      <formula>Y347&gt;Y321</formula>
    </cfRule>
  </conditionalFormatting>
  <conditionalFormatting sqref="Y321">
    <cfRule type="expression" dxfId="1290" priority="1852">
      <formula>Y321&gt;Y320</formula>
    </cfRule>
  </conditionalFormatting>
  <conditionalFormatting sqref="D397:Y397 AB397:AI397">
    <cfRule type="expression" dxfId="1289" priority="1850">
      <formula>D397&gt;D390</formula>
    </cfRule>
  </conditionalFormatting>
  <conditionalFormatting sqref="D390:Y390 AB390:AI390">
    <cfRule type="expression" dxfId="1288" priority="1849">
      <formula>D397&gt;D390</formula>
    </cfRule>
  </conditionalFormatting>
  <conditionalFormatting sqref="AN388:AN404">
    <cfRule type="notContainsBlanks" dxfId="1287" priority="1848">
      <formula>LEN(TRIM(AN388))&gt;0</formula>
    </cfRule>
  </conditionalFormatting>
  <conditionalFormatting sqref="D388:Y388 AB388:AI389">
    <cfRule type="expression" dxfId="1286" priority="1847">
      <formula>D388&gt;D402</formula>
    </cfRule>
  </conditionalFormatting>
  <conditionalFormatting sqref="D402:Y402 AB402:AI403">
    <cfRule type="expression" dxfId="1285" priority="1846">
      <formula>D388&gt;D402</formula>
    </cfRule>
  </conditionalFormatting>
  <conditionalFormatting sqref="D389:Y389">
    <cfRule type="expression" dxfId="1284" priority="1845">
      <formula>D389&gt;D403</formula>
    </cfRule>
  </conditionalFormatting>
  <conditionalFormatting sqref="D403:Y403">
    <cfRule type="expression" dxfId="1283" priority="1844">
      <formula>D389&gt;D403</formula>
    </cfRule>
  </conditionalFormatting>
  <conditionalFormatting sqref="K352">
    <cfRule type="expression" dxfId="1282" priority="1843">
      <formula>K352&gt;K319+K317</formula>
    </cfRule>
  </conditionalFormatting>
  <conditionalFormatting sqref="M352">
    <cfRule type="expression" dxfId="1281" priority="1842">
      <formula>M352&gt;M319+M317</formula>
    </cfRule>
  </conditionalFormatting>
  <conditionalFormatting sqref="O352">
    <cfRule type="expression" dxfId="1280" priority="1841">
      <formula>O352&gt;O319+O317</formula>
    </cfRule>
  </conditionalFormatting>
  <conditionalFormatting sqref="Q352">
    <cfRule type="expression" dxfId="1279" priority="1840">
      <formula>Q352&gt;Q319+Q317</formula>
    </cfRule>
  </conditionalFormatting>
  <conditionalFormatting sqref="S352">
    <cfRule type="expression" dxfId="1278" priority="1839">
      <formula>S352&gt;S319+S317</formula>
    </cfRule>
  </conditionalFormatting>
  <conditionalFormatting sqref="U352">
    <cfRule type="expression" dxfId="1277" priority="1838">
      <formula>U352&gt;U319+U317</formula>
    </cfRule>
  </conditionalFormatting>
  <conditionalFormatting sqref="W352">
    <cfRule type="expression" dxfId="1276" priority="1837">
      <formula>W352&gt;W319+W317</formula>
    </cfRule>
  </conditionalFormatting>
  <conditionalFormatting sqref="Y352">
    <cfRule type="expression" dxfId="1275" priority="1836">
      <formula>Y352&gt;Y319+Y317</formula>
    </cfRule>
  </conditionalFormatting>
  <conditionalFormatting sqref="K319">
    <cfRule type="expression" dxfId="1274" priority="1835">
      <formula>K352&gt;K319+K317</formula>
    </cfRule>
  </conditionalFormatting>
  <conditionalFormatting sqref="M319">
    <cfRule type="expression" dxfId="1273" priority="1834">
      <formula>M352&gt;M319+M317</formula>
    </cfRule>
  </conditionalFormatting>
  <conditionalFormatting sqref="O319">
    <cfRule type="expression" dxfId="1272" priority="1833">
      <formula>O352&gt;O319+O317</formula>
    </cfRule>
  </conditionalFormatting>
  <conditionalFormatting sqref="Q319">
    <cfRule type="expression" dxfId="1271" priority="1832">
      <formula>Q352&gt;Q319+Q317</formula>
    </cfRule>
  </conditionalFormatting>
  <conditionalFormatting sqref="S319">
    <cfRule type="expression" dxfId="1270" priority="1831">
      <formula>S352&gt;S319+S317</formula>
    </cfRule>
  </conditionalFormatting>
  <conditionalFormatting sqref="U319">
    <cfRule type="expression" dxfId="1269" priority="1830">
      <formula>U352&gt;U319+U317</formula>
    </cfRule>
  </conditionalFormatting>
  <conditionalFormatting sqref="W319">
    <cfRule type="expression" dxfId="1268" priority="1829">
      <formula>W352&gt;W319+W317</formula>
    </cfRule>
  </conditionalFormatting>
  <conditionalFormatting sqref="Y319">
    <cfRule type="expression" dxfId="1267" priority="1828">
      <formula>Y352&gt;Y319+Y317</formula>
    </cfRule>
  </conditionalFormatting>
  <conditionalFormatting sqref="M317">
    <cfRule type="expression" dxfId="1266" priority="1823">
      <formula>M352&gt;M319+M317</formula>
    </cfRule>
    <cfRule type="expression" dxfId="1265" priority="1826">
      <formula>M345&gt;M317</formula>
    </cfRule>
  </conditionalFormatting>
  <conditionalFormatting sqref="M317">
    <cfRule type="expression" dxfId="1264" priority="1825">
      <formula>M345&gt;M317</formula>
    </cfRule>
  </conditionalFormatting>
  <conditionalFormatting sqref="M317">
    <cfRule type="expression" dxfId="1263" priority="1824">
      <formula>M317&gt;M316</formula>
    </cfRule>
  </conditionalFormatting>
  <conditionalFormatting sqref="O317">
    <cfRule type="expression" dxfId="1262" priority="1819">
      <formula>O352&gt;O319+O317</formula>
    </cfRule>
    <cfRule type="expression" dxfId="1261" priority="1822">
      <formula>O345&gt;O317</formula>
    </cfRule>
  </conditionalFormatting>
  <conditionalFormatting sqref="O317">
    <cfRule type="expression" dxfId="1260" priority="1821">
      <formula>O345&gt;O317</formula>
    </cfRule>
  </conditionalFormatting>
  <conditionalFormatting sqref="O317">
    <cfRule type="expression" dxfId="1259" priority="1820">
      <formula>O317&gt;O316</formula>
    </cfRule>
  </conditionalFormatting>
  <conditionalFormatting sqref="Q317">
    <cfRule type="expression" dxfId="1258" priority="1815">
      <formula>Q352&gt;Q319+Q317</formula>
    </cfRule>
    <cfRule type="expression" dxfId="1257" priority="1818">
      <formula>Q345&gt;Q317</formula>
    </cfRule>
  </conditionalFormatting>
  <conditionalFormatting sqref="Q317">
    <cfRule type="expression" dxfId="1256" priority="1817">
      <formula>Q345&gt;Q317</formula>
    </cfRule>
  </conditionalFormatting>
  <conditionalFormatting sqref="Q317">
    <cfRule type="expression" dxfId="1255" priority="1816">
      <formula>Q317&gt;Q316</formula>
    </cfRule>
  </conditionalFormatting>
  <conditionalFormatting sqref="S317">
    <cfRule type="expression" dxfId="1254" priority="1811">
      <formula>S352&gt;S319+S317</formula>
    </cfRule>
    <cfRule type="expression" dxfId="1253" priority="1814">
      <formula>S345&gt;S317</formula>
    </cfRule>
  </conditionalFormatting>
  <conditionalFormatting sqref="S317">
    <cfRule type="expression" dxfId="1252" priority="1813">
      <formula>S345&gt;S317</formula>
    </cfRule>
  </conditionalFormatting>
  <conditionalFormatting sqref="S317">
    <cfRule type="expression" dxfId="1251" priority="1812">
      <formula>S317&gt;S316</formula>
    </cfRule>
  </conditionalFormatting>
  <conditionalFormatting sqref="U317">
    <cfRule type="expression" dxfId="1250" priority="1807">
      <formula>U352&gt;U319+U317</formula>
    </cfRule>
    <cfRule type="expression" dxfId="1249" priority="1810">
      <formula>U345&gt;U317</formula>
    </cfRule>
  </conditionalFormatting>
  <conditionalFormatting sqref="U317">
    <cfRule type="expression" dxfId="1248" priority="1809">
      <formula>U345&gt;U317</formula>
    </cfRule>
  </conditionalFormatting>
  <conditionalFormatting sqref="U317">
    <cfRule type="expression" dxfId="1247" priority="1808">
      <formula>U317&gt;U316</formula>
    </cfRule>
  </conditionalFormatting>
  <conditionalFormatting sqref="W317">
    <cfRule type="expression" dxfId="1246" priority="1803">
      <formula>W352&gt;W319+W317</formula>
    </cfRule>
    <cfRule type="expression" dxfId="1245" priority="1806">
      <formula>W345&gt;W317</formula>
    </cfRule>
  </conditionalFormatting>
  <conditionalFormatting sqref="W317">
    <cfRule type="expression" dxfId="1244" priority="1805">
      <formula>W345&gt;W317</formula>
    </cfRule>
  </conditionalFormatting>
  <conditionalFormatting sqref="W317">
    <cfRule type="expression" dxfId="1243" priority="1804">
      <formula>W317&gt;W316</formula>
    </cfRule>
  </conditionalFormatting>
  <conditionalFormatting sqref="Y317">
    <cfRule type="expression" dxfId="1242" priority="1799">
      <formula>Y352&gt;Y319+Y317</formula>
    </cfRule>
    <cfRule type="expression" dxfId="1241" priority="1802">
      <formula>Y345&gt;Y317</formula>
    </cfRule>
  </conditionalFormatting>
  <conditionalFormatting sqref="Y317">
    <cfRule type="expression" dxfId="1240" priority="1801">
      <formula>Y345&gt;Y317</formula>
    </cfRule>
  </conditionalFormatting>
  <conditionalFormatting sqref="Y317">
    <cfRule type="expression" dxfId="1239" priority="1800">
      <formula>Y317&gt;Y316</formula>
    </cfRule>
  </conditionalFormatting>
  <conditionalFormatting sqref="J116:AA116">
    <cfRule type="cellIs" dxfId="1238" priority="1798" operator="equal">
      <formula>0</formula>
    </cfRule>
  </conditionalFormatting>
  <conditionalFormatting sqref="AJ10">
    <cfRule type="cellIs" dxfId="1237" priority="1797" operator="equal">
      <formula>0</formula>
    </cfRule>
  </conditionalFormatting>
  <conditionalFormatting sqref="AJ8:AJ9">
    <cfRule type="cellIs" dxfId="1236" priority="1796" operator="equal">
      <formula>0</formula>
    </cfRule>
  </conditionalFormatting>
  <conditionalFormatting sqref="AJ448">
    <cfRule type="cellIs" dxfId="1235" priority="1794" operator="equal">
      <formula>0</formula>
    </cfRule>
  </conditionalFormatting>
  <conditionalFormatting sqref="AM448">
    <cfRule type="notContainsBlanks" dxfId="1234" priority="1795">
      <formula>LEN(TRIM(AM448))&gt;0</formula>
    </cfRule>
  </conditionalFormatting>
  <conditionalFormatting sqref="AK448">
    <cfRule type="notContainsBlanks" dxfId="1233" priority="1792">
      <formula>LEN(TRIM(AK448))&gt;0</formula>
    </cfRule>
  </conditionalFormatting>
  <conditionalFormatting sqref="J121:AA121">
    <cfRule type="expression" dxfId="1232" priority="1789">
      <formula>J122&gt;J121</formula>
    </cfRule>
  </conditionalFormatting>
  <conditionalFormatting sqref="D334:E334">
    <cfRule type="expression" dxfId="1231" priority="1786">
      <formula>D334&lt;&gt;D356</formula>
    </cfRule>
  </conditionalFormatting>
  <conditionalFormatting sqref="D356:E356">
    <cfRule type="expression" dxfId="1230" priority="1785">
      <formula>D334&lt;&gt;D356</formula>
    </cfRule>
  </conditionalFormatting>
  <conditionalFormatting sqref="L129:AA129">
    <cfRule type="expression" dxfId="1229" priority="1777">
      <formula>L129&gt;L128</formula>
    </cfRule>
  </conditionalFormatting>
  <conditionalFormatting sqref="L128:AA128">
    <cfRule type="expression" dxfId="1228" priority="1776">
      <formula>L129&gt;L128</formula>
    </cfRule>
  </conditionalFormatting>
  <conditionalFormatting sqref="L131:AA131">
    <cfRule type="expression" dxfId="1227" priority="1775">
      <formula>L131&gt;(L129-L130)</formula>
    </cfRule>
  </conditionalFormatting>
  <conditionalFormatting sqref="L129:AA129">
    <cfRule type="expression" dxfId="1226" priority="1774">
      <formula>L131&gt;(L129-L130)</formula>
    </cfRule>
  </conditionalFormatting>
  <conditionalFormatting sqref="M230">
    <cfRule type="expression" dxfId="1225" priority="1772">
      <formula>M231&gt;M230</formula>
    </cfRule>
  </conditionalFormatting>
  <conditionalFormatting sqref="O230">
    <cfRule type="cellIs" dxfId="1224" priority="1771" operator="equal">
      <formula>0</formula>
    </cfRule>
  </conditionalFormatting>
  <conditionalFormatting sqref="O230">
    <cfRule type="expression" dxfId="1223" priority="1769">
      <formula>O231&gt;O230</formula>
    </cfRule>
  </conditionalFormatting>
  <conditionalFormatting sqref="Q230">
    <cfRule type="cellIs" dxfId="1222" priority="1768" operator="equal">
      <formula>0</formula>
    </cfRule>
  </conditionalFormatting>
  <conditionalFormatting sqref="Q230">
    <cfRule type="expression" dxfId="1221" priority="1766">
      <formula>Q231&gt;Q230</formula>
    </cfRule>
  </conditionalFormatting>
  <conditionalFormatting sqref="S230">
    <cfRule type="cellIs" dxfId="1220" priority="1765" operator="equal">
      <formula>0</formula>
    </cfRule>
  </conditionalFormatting>
  <conditionalFormatting sqref="S230">
    <cfRule type="expression" dxfId="1219" priority="1763">
      <formula>S231&gt;S230</formula>
    </cfRule>
  </conditionalFormatting>
  <conditionalFormatting sqref="U230">
    <cfRule type="cellIs" dxfId="1218" priority="1762" operator="equal">
      <formula>0</formula>
    </cfRule>
  </conditionalFormatting>
  <conditionalFormatting sqref="U230">
    <cfRule type="expression" dxfId="1217" priority="1760">
      <formula>U231&gt;U230</formula>
    </cfRule>
  </conditionalFormatting>
  <conditionalFormatting sqref="W230">
    <cfRule type="cellIs" dxfId="1216" priority="1759" operator="equal">
      <formula>0</formula>
    </cfRule>
  </conditionalFormatting>
  <conditionalFormatting sqref="W230">
    <cfRule type="expression" dxfId="1215" priority="1757">
      <formula>W231&gt;W230</formula>
    </cfRule>
  </conditionalFormatting>
  <conditionalFormatting sqref="Y230">
    <cfRule type="cellIs" dxfId="1214" priority="1756" operator="equal">
      <formula>0</formula>
    </cfRule>
  </conditionalFormatting>
  <conditionalFormatting sqref="Y230">
    <cfRule type="expression" dxfId="1213" priority="1754">
      <formula>Y231&gt;Y230</formula>
    </cfRule>
  </conditionalFormatting>
  <conditionalFormatting sqref="AC230 AE230 AG230 AI230">
    <cfRule type="cellIs" dxfId="1212" priority="1753" operator="equal">
      <formula>0</formula>
    </cfRule>
  </conditionalFormatting>
  <conditionalFormatting sqref="AC230 AE230 AG230 AI230">
    <cfRule type="expression" dxfId="1211" priority="1751">
      <formula>AC231&gt;AC230</formula>
    </cfRule>
  </conditionalFormatting>
  <conditionalFormatting sqref="M238">
    <cfRule type="cellIs" dxfId="1210" priority="1750" operator="equal">
      <formula>0</formula>
    </cfRule>
  </conditionalFormatting>
  <conditionalFormatting sqref="M238">
    <cfRule type="expression" dxfId="1209" priority="1748">
      <formula>M239&gt;M238</formula>
    </cfRule>
  </conditionalFormatting>
  <conditionalFormatting sqref="O238">
    <cfRule type="cellIs" dxfId="1208" priority="1747" operator="equal">
      <formula>0</formula>
    </cfRule>
  </conditionalFormatting>
  <conditionalFormatting sqref="O238">
    <cfRule type="expression" dxfId="1207" priority="1745">
      <formula>O239&gt;O238</formula>
    </cfRule>
  </conditionalFormatting>
  <conditionalFormatting sqref="Q238">
    <cfRule type="cellIs" dxfId="1206" priority="1744" operator="equal">
      <formula>0</formula>
    </cfRule>
  </conditionalFormatting>
  <conditionalFormatting sqref="Q238">
    <cfRule type="expression" dxfId="1205" priority="1742">
      <formula>Q239&gt;Q238</formula>
    </cfRule>
  </conditionalFormatting>
  <conditionalFormatting sqref="S238">
    <cfRule type="cellIs" dxfId="1204" priority="1741" operator="equal">
      <formula>0</formula>
    </cfRule>
  </conditionalFormatting>
  <conditionalFormatting sqref="S238">
    <cfRule type="expression" dxfId="1203" priority="1739">
      <formula>S239&gt;S238</formula>
    </cfRule>
  </conditionalFormatting>
  <conditionalFormatting sqref="U238">
    <cfRule type="cellIs" dxfId="1202" priority="1738" operator="equal">
      <formula>0</formula>
    </cfRule>
  </conditionalFormatting>
  <conditionalFormatting sqref="U238">
    <cfRule type="expression" dxfId="1201" priority="1736">
      <formula>U239&gt;U238</formula>
    </cfRule>
  </conditionalFormatting>
  <conditionalFormatting sqref="W238">
    <cfRule type="cellIs" dxfId="1200" priority="1735" operator="equal">
      <formula>0</formula>
    </cfRule>
  </conditionalFormatting>
  <conditionalFormatting sqref="W238">
    <cfRule type="expression" dxfId="1199" priority="1733">
      <formula>W239&gt;W238</formula>
    </cfRule>
  </conditionalFormatting>
  <conditionalFormatting sqref="Y238">
    <cfRule type="cellIs" dxfId="1198" priority="1732" operator="equal">
      <formula>0</formula>
    </cfRule>
  </conditionalFormatting>
  <conditionalFormatting sqref="Y238">
    <cfRule type="expression" dxfId="1197" priority="1730">
      <formula>Y239&gt;Y238</formula>
    </cfRule>
  </conditionalFormatting>
  <conditionalFormatting sqref="AC238 AE238 AG238 AI238">
    <cfRule type="cellIs" dxfId="1196" priority="1729" operator="equal">
      <formula>0</formula>
    </cfRule>
  </conditionalFormatting>
  <conditionalFormatting sqref="AC238 AE238 AG238 AI238">
    <cfRule type="expression" dxfId="1195" priority="1727">
      <formula>AC239&gt;AC238</formula>
    </cfRule>
  </conditionalFormatting>
  <conditionalFormatting sqref="M222:M223">
    <cfRule type="cellIs" dxfId="1194" priority="1726" operator="equal">
      <formula>0</formula>
    </cfRule>
  </conditionalFormatting>
  <conditionalFormatting sqref="M223">
    <cfRule type="expression" dxfId="1193" priority="1702">
      <formula>M223&lt;(M224+M225+M226)</formula>
    </cfRule>
    <cfRule type="expression" dxfId="1192" priority="1725">
      <formula>M223&gt;M222</formula>
    </cfRule>
  </conditionalFormatting>
  <conditionalFormatting sqref="M222">
    <cfRule type="expression" dxfId="1191" priority="1724">
      <formula>M223&gt;M222</formula>
    </cfRule>
  </conditionalFormatting>
  <conditionalFormatting sqref="O222">
    <cfRule type="cellIs" dxfId="1190" priority="1723" operator="equal">
      <formula>0</formula>
    </cfRule>
  </conditionalFormatting>
  <conditionalFormatting sqref="O222">
    <cfRule type="expression" dxfId="1189" priority="1721">
      <formula>O223&gt;O222</formula>
    </cfRule>
  </conditionalFormatting>
  <conditionalFormatting sqref="Q222">
    <cfRule type="cellIs" dxfId="1188" priority="1720" operator="equal">
      <formula>0</formula>
    </cfRule>
  </conditionalFormatting>
  <conditionalFormatting sqref="Q222">
    <cfRule type="expression" dxfId="1187" priority="1718">
      <formula>Q223&gt;Q222</formula>
    </cfRule>
  </conditionalFormatting>
  <conditionalFormatting sqref="S222">
    <cfRule type="cellIs" dxfId="1186" priority="1717" operator="equal">
      <formula>0</formula>
    </cfRule>
  </conditionalFormatting>
  <conditionalFormatting sqref="S222">
    <cfRule type="expression" dxfId="1185" priority="1715">
      <formula>S223&gt;S222</formula>
    </cfRule>
  </conditionalFormatting>
  <conditionalFormatting sqref="U222">
    <cfRule type="cellIs" dxfId="1184" priority="1714" operator="equal">
      <formula>0</formula>
    </cfRule>
  </conditionalFormatting>
  <conditionalFormatting sqref="U222">
    <cfRule type="expression" dxfId="1183" priority="1712">
      <formula>U223&gt;U222</formula>
    </cfRule>
  </conditionalFormatting>
  <conditionalFormatting sqref="W222">
    <cfRule type="cellIs" dxfId="1182" priority="1711" operator="equal">
      <formula>0</formula>
    </cfRule>
  </conditionalFormatting>
  <conditionalFormatting sqref="W222">
    <cfRule type="expression" dxfId="1181" priority="1709">
      <formula>W223&gt;W222</formula>
    </cfRule>
  </conditionalFormatting>
  <conditionalFormatting sqref="Y222">
    <cfRule type="cellIs" dxfId="1180" priority="1708" operator="equal">
      <formula>0</formula>
    </cfRule>
  </conditionalFormatting>
  <conditionalFormatting sqref="Y222">
    <cfRule type="expression" dxfId="1179" priority="1706">
      <formula>Y223&gt;Y222</formula>
    </cfRule>
  </conditionalFormatting>
  <conditionalFormatting sqref="AC222 AE222 AG222 AI222">
    <cfRule type="cellIs" dxfId="1178" priority="1705" operator="equal">
      <formula>0</formula>
    </cfRule>
  </conditionalFormatting>
  <conditionalFormatting sqref="AC222 AE222 AG222 AI222">
    <cfRule type="expression" dxfId="1177" priority="1703">
      <formula>AC223&gt;AC222</formula>
    </cfRule>
  </conditionalFormatting>
  <conditionalFormatting sqref="O224">
    <cfRule type="expression" dxfId="1176" priority="1692">
      <formula>O223&lt;(O224+O225+O226)</formula>
    </cfRule>
    <cfRule type="expression" dxfId="1175" priority="1698">
      <formula>(O226+O225+O224)&gt;O222</formula>
    </cfRule>
  </conditionalFormatting>
  <conditionalFormatting sqref="O225">
    <cfRule type="expression" dxfId="1174" priority="1691">
      <formula>O223&lt;(O224+O225+O226)</formula>
    </cfRule>
    <cfRule type="expression" dxfId="1173" priority="1697">
      <formula>(O226+O225+O224)&gt;O222</formula>
    </cfRule>
  </conditionalFormatting>
  <conditionalFormatting sqref="O226">
    <cfRule type="expression" dxfId="1172" priority="1690">
      <formula>O223&lt;(O224+O225+O226)</formula>
    </cfRule>
    <cfRule type="expression" dxfId="1171" priority="1696">
      <formula>(O226+O225+O224)&gt;O222</formula>
    </cfRule>
  </conditionalFormatting>
  <conditionalFormatting sqref="O223">
    <cfRule type="cellIs" dxfId="1170" priority="1695" operator="equal">
      <formula>0</formula>
    </cfRule>
  </conditionalFormatting>
  <conditionalFormatting sqref="O223">
    <cfRule type="expression" dxfId="1169" priority="1693">
      <formula>O223&lt;(O224+O225+O226)</formula>
    </cfRule>
    <cfRule type="expression" dxfId="1168" priority="1694">
      <formula>O223&gt;O222</formula>
    </cfRule>
  </conditionalFormatting>
  <conditionalFormatting sqref="Q224">
    <cfRule type="expression" dxfId="1167" priority="1683">
      <formula>Q223&lt;(Q224+Q225+Q226)</formula>
    </cfRule>
    <cfRule type="expression" dxfId="1166" priority="1689">
      <formula>(Q226+Q225+Q224)&gt;Q222</formula>
    </cfRule>
  </conditionalFormatting>
  <conditionalFormatting sqref="Q225">
    <cfRule type="expression" dxfId="1165" priority="1682">
      <formula>Q223&lt;(Q224+Q225+Q226)</formula>
    </cfRule>
    <cfRule type="expression" dxfId="1164" priority="1688">
      <formula>(Q226+Q225+Q224)&gt;Q222</formula>
    </cfRule>
  </conditionalFormatting>
  <conditionalFormatting sqref="Q226">
    <cfRule type="expression" dxfId="1163" priority="1681">
      <formula>Q223&lt;(Q224+Q225+Q226)</formula>
    </cfRule>
    <cfRule type="expression" dxfId="1162" priority="1687">
      <formula>(Q226+Q225+Q224)&gt;Q222</formula>
    </cfRule>
  </conditionalFormatting>
  <conditionalFormatting sqref="Q223">
    <cfRule type="cellIs" dxfId="1161" priority="1686" operator="equal">
      <formula>0</formula>
    </cfRule>
  </conditionalFormatting>
  <conditionalFormatting sqref="Q223">
    <cfRule type="expression" dxfId="1160" priority="1684">
      <formula>Q223&lt;(Q224+Q225+Q226)</formula>
    </cfRule>
    <cfRule type="expression" dxfId="1159" priority="1685">
      <formula>Q223&gt;Q222</formula>
    </cfRule>
  </conditionalFormatting>
  <conditionalFormatting sqref="S224">
    <cfRule type="expression" dxfId="1158" priority="1674">
      <formula>S223&lt;(S224+S225+S226)</formula>
    </cfRule>
    <cfRule type="expression" dxfId="1157" priority="1680">
      <formula>(S226+S225+S224)&gt;S222</formula>
    </cfRule>
  </conditionalFormatting>
  <conditionalFormatting sqref="S225">
    <cfRule type="expression" dxfId="1156" priority="1673">
      <formula>S223&lt;(S224+S225+S226)</formula>
    </cfRule>
    <cfRule type="expression" dxfId="1155" priority="1679">
      <formula>(S226+S225+S224)&gt;S222</formula>
    </cfRule>
  </conditionalFormatting>
  <conditionalFormatting sqref="S226">
    <cfRule type="expression" dxfId="1154" priority="1672">
      <formula>S223&lt;(S224+S225+S226)</formula>
    </cfRule>
    <cfRule type="expression" dxfId="1153" priority="1678">
      <formula>(S226+S225+S224)&gt;S222</formula>
    </cfRule>
  </conditionalFormatting>
  <conditionalFormatting sqref="S223">
    <cfRule type="cellIs" dxfId="1152" priority="1677" operator="equal">
      <formula>0</formula>
    </cfRule>
  </conditionalFormatting>
  <conditionalFormatting sqref="S223">
    <cfRule type="expression" dxfId="1151" priority="1675">
      <formula>S223&lt;(S224+S225+S226)</formula>
    </cfRule>
    <cfRule type="expression" dxfId="1150" priority="1676">
      <formula>S223&gt;S222</formula>
    </cfRule>
  </conditionalFormatting>
  <conditionalFormatting sqref="U224">
    <cfRule type="expression" dxfId="1149" priority="1665">
      <formula>U223&lt;(U224+U225+U226)</formula>
    </cfRule>
    <cfRule type="expression" dxfId="1148" priority="1671">
      <formula>(U226+U225+U224)&gt;U222</formula>
    </cfRule>
  </conditionalFormatting>
  <conditionalFormatting sqref="U225">
    <cfRule type="expression" dxfId="1147" priority="1664">
      <formula>U223&lt;(U224+U225+U226)</formula>
    </cfRule>
    <cfRule type="expression" dxfId="1146" priority="1670">
      <formula>(U226+U225+U224)&gt;U222</formula>
    </cfRule>
  </conditionalFormatting>
  <conditionalFormatting sqref="U226">
    <cfRule type="expression" dxfId="1145" priority="1663">
      <formula>U223&lt;(U224+U225+U226)</formula>
    </cfRule>
    <cfRule type="expression" dxfId="1144" priority="1669">
      <formula>(U226+U225+U224)&gt;U222</formula>
    </cfRule>
  </conditionalFormatting>
  <conditionalFormatting sqref="U223">
    <cfRule type="cellIs" dxfId="1143" priority="1668" operator="equal">
      <formula>0</formula>
    </cfRule>
  </conditionalFormatting>
  <conditionalFormatting sqref="U223">
    <cfRule type="expression" dxfId="1142" priority="1666">
      <formula>U223&lt;(U224+U225+U226)</formula>
    </cfRule>
    <cfRule type="expression" dxfId="1141" priority="1667">
      <formula>U223&gt;U222</formula>
    </cfRule>
  </conditionalFormatting>
  <conditionalFormatting sqref="W224">
    <cfRule type="expression" dxfId="1140" priority="1656">
      <formula>W223&lt;(W224+W225+W226)</formula>
    </cfRule>
    <cfRule type="expression" dxfId="1139" priority="1662">
      <formula>(W226+W225+W224)&gt;W222</formula>
    </cfRule>
  </conditionalFormatting>
  <conditionalFormatting sqref="W225">
    <cfRule type="expression" dxfId="1138" priority="1655">
      <formula>W223&lt;(W224+W225+W226)</formula>
    </cfRule>
    <cfRule type="expression" dxfId="1137" priority="1661">
      <formula>(W226+W225+W224)&gt;W222</formula>
    </cfRule>
  </conditionalFormatting>
  <conditionalFormatting sqref="W226">
    <cfRule type="expression" dxfId="1136" priority="1654">
      <formula>W223&lt;(W224+W225+W226)</formula>
    </cfRule>
    <cfRule type="expression" dxfId="1135" priority="1660">
      <formula>(W226+W225+W224)&gt;W222</formula>
    </cfRule>
  </conditionalFormatting>
  <conditionalFormatting sqref="W223">
    <cfRule type="cellIs" dxfId="1134" priority="1659" operator="equal">
      <formula>0</formula>
    </cfRule>
  </conditionalFormatting>
  <conditionalFormatting sqref="W223">
    <cfRule type="expression" dxfId="1133" priority="1657">
      <formula>W223&lt;(W224+W225+W226)</formula>
    </cfRule>
    <cfRule type="expression" dxfId="1132" priority="1658">
      <formula>W223&gt;W222</formula>
    </cfRule>
  </conditionalFormatting>
  <conditionalFormatting sqref="Y224">
    <cfRule type="expression" dxfId="1131" priority="1647">
      <formula>Y223&lt;(Y224+Y225+Y226)</formula>
    </cfRule>
    <cfRule type="expression" dxfId="1130" priority="1653">
      <formula>(Y226+Y225+Y224)&gt;Y222</formula>
    </cfRule>
  </conditionalFormatting>
  <conditionalFormatting sqref="Y225">
    <cfRule type="expression" dxfId="1129" priority="1646">
      <formula>Y223&lt;(Y224+Y225+Y226)</formula>
    </cfRule>
    <cfRule type="expression" dxfId="1128" priority="1652">
      <formula>(Y226+Y225+Y224)&gt;Y222</formula>
    </cfRule>
  </conditionalFormatting>
  <conditionalFormatting sqref="Y226">
    <cfRule type="expression" dxfId="1127" priority="1645">
      <formula>Y223&lt;(Y224+Y225+Y226)</formula>
    </cfRule>
    <cfRule type="expression" dxfId="1126" priority="1651">
      <formula>(Y226+Y225+Y224)&gt;Y222</formula>
    </cfRule>
  </conditionalFormatting>
  <conditionalFormatting sqref="Y223">
    <cfRule type="cellIs" dxfId="1125" priority="1650" operator="equal">
      <formula>0</formula>
    </cfRule>
  </conditionalFormatting>
  <conditionalFormatting sqref="Y223">
    <cfRule type="expression" dxfId="1124" priority="1648">
      <formula>Y223&lt;(Y224+Y225+Y226)</formula>
    </cfRule>
    <cfRule type="expression" dxfId="1123" priority="1649">
      <formula>Y223&gt;Y222</formula>
    </cfRule>
  </conditionalFormatting>
  <conditionalFormatting sqref="AC224 AE224 AG224 AI224">
    <cfRule type="expression" dxfId="1122" priority="1638">
      <formula>AC223&lt;(AC224+AC225+AC226)</formula>
    </cfRule>
    <cfRule type="expression" dxfId="1121" priority="1644">
      <formula>(AC226+AC225+AC224)&gt;AC222</formula>
    </cfRule>
  </conditionalFormatting>
  <conditionalFormatting sqref="AC225 AE225 AG225 AI225">
    <cfRule type="expression" dxfId="1120" priority="1637">
      <formula>AC223&lt;(AC224+AC225+AC226)</formula>
    </cfRule>
    <cfRule type="expression" dxfId="1119" priority="1643">
      <formula>(AC226+AC225+AC224)&gt;AC222</formula>
    </cfRule>
  </conditionalFormatting>
  <conditionalFormatting sqref="AC226 AE226 AG226 AI226">
    <cfRule type="expression" dxfId="1118" priority="1636">
      <formula>AC223&lt;(AC224+AC225+AC226)</formula>
    </cfRule>
    <cfRule type="expression" dxfId="1117" priority="1642">
      <formula>(AC226+AC225+AC224)&gt;AC222</formula>
    </cfRule>
  </conditionalFormatting>
  <conditionalFormatting sqref="AC223 AE223 AG223 AI223">
    <cfRule type="cellIs" dxfId="1116" priority="1641" operator="equal">
      <formula>0</formula>
    </cfRule>
  </conditionalFormatting>
  <conditionalFormatting sqref="AC223 AE223 AG223 AI223">
    <cfRule type="expression" dxfId="1115" priority="1639">
      <formula>AC223&lt;(AC224+AC225+AC226)</formula>
    </cfRule>
    <cfRule type="expression" dxfId="1114" priority="1640">
      <formula>AC223&gt;AC222</formula>
    </cfRule>
  </conditionalFormatting>
  <conditionalFormatting sqref="M232">
    <cfRule type="expression" dxfId="1113" priority="1629">
      <formula>M231&lt;(M232+M233+M234)</formula>
    </cfRule>
    <cfRule type="expression" dxfId="1112" priority="1635">
      <formula>(M234+M233+M232)&gt;M230</formula>
    </cfRule>
  </conditionalFormatting>
  <conditionalFormatting sqref="M233">
    <cfRule type="expression" dxfId="1111" priority="1628">
      <formula>M231&lt;(M232+M233+M234)</formula>
    </cfRule>
    <cfRule type="expression" dxfId="1110" priority="1634">
      <formula>(M234+M233+M232)&gt;M230</formula>
    </cfRule>
  </conditionalFormatting>
  <conditionalFormatting sqref="M234">
    <cfRule type="expression" dxfId="1109" priority="1627">
      <formula>M231&lt;(M232+M233+M234)</formula>
    </cfRule>
    <cfRule type="expression" dxfId="1108" priority="1633">
      <formula>(M234+M233+M232)&gt;M230</formula>
    </cfRule>
  </conditionalFormatting>
  <conditionalFormatting sqref="M231">
    <cfRule type="cellIs" dxfId="1107" priority="1632" operator="equal">
      <formula>0</formula>
    </cfRule>
  </conditionalFormatting>
  <conditionalFormatting sqref="M231">
    <cfRule type="expression" dxfId="1106" priority="1630">
      <formula>M231&lt;(M232+M233+M234)</formula>
    </cfRule>
    <cfRule type="expression" dxfId="1105" priority="1631">
      <formula>M231&gt;M230</formula>
    </cfRule>
  </conditionalFormatting>
  <conditionalFormatting sqref="O232">
    <cfRule type="expression" dxfId="1104" priority="1620">
      <formula>O231&lt;(O232+O233+O234)</formula>
    </cfRule>
    <cfRule type="expression" dxfId="1103" priority="1626">
      <formula>(O234+O233+O232)&gt;O230</formula>
    </cfRule>
  </conditionalFormatting>
  <conditionalFormatting sqref="O233">
    <cfRule type="expression" dxfId="1102" priority="1619">
      <formula>O231&lt;(O232+O233+O234)</formula>
    </cfRule>
    <cfRule type="expression" dxfId="1101" priority="1625">
      <formula>(O234+O233+O232)&gt;O230</formula>
    </cfRule>
  </conditionalFormatting>
  <conditionalFormatting sqref="O234">
    <cfRule type="expression" dxfId="1100" priority="1618">
      <formula>O231&lt;(O232+O233+O234)</formula>
    </cfRule>
    <cfRule type="expression" dxfId="1099" priority="1624">
      <formula>(O234+O233+O232)&gt;O230</formula>
    </cfRule>
  </conditionalFormatting>
  <conditionalFormatting sqref="O231">
    <cfRule type="cellIs" dxfId="1098" priority="1623" operator="equal">
      <formula>0</formula>
    </cfRule>
  </conditionalFormatting>
  <conditionalFormatting sqref="O231">
    <cfRule type="expression" dxfId="1097" priority="1621">
      <formula>O231&lt;(O232+O233+O234)</formula>
    </cfRule>
    <cfRule type="expression" dxfId="1096" priority="1622">
      <formula>O231&gt;O230</formula>
    </cfRule>
  </conditionalFormatting>
  <conditionalFormatting sqref="Q232">
    <cfRule type="expression" dxfId="1095" priority="1611">
      <formula>Q231&lt;(Q232+Q233+Q234)</formula>
    </cfRule>
    <cfRule type="expression" dxfId="1094" priority="1617">
      <formula>(Q234+Q233+Q232)&gt;Q230</formula>
    </cfRule>
  </conditionalFormatting>
  <conditionalFormatting sqref="Q233">
    <cfRule type="expression" dxfId="1093" priority="1610">
      <formula>Q231&lt;(Q232+Q233+Q234)</formula>
    </cfRule>
    <cfRule type="expression" dxfId="1092" priority="1616">
      <formula>(Q234+Q233+Q232)&gt;Q230</formula>
    </cfRule>
  </conditionalFormatting>
  <conditionalFormatting sqref="Q234">
    <cfRule type="expression" dxfId="1091" priority="1609">
      <formula>Q231&lt;(Q232+Q233+Q234)</formula>
    </cfRule>
    <cfRule type="expression" dxfId="1090" priority="1615">
      <formula>(Q234+Q233+Q232)&gt;Q230</formula>
    </cfRule>
  </conditionalFormatting>
  <conditionalFormatting sqref="Q231">
    <cfRule type="cellIs" dxfId="1089" priority="1614" operator="equal">
      <formula>0</formula>
    </cfRule>
  </conditionalFormatting>
  <conditionalFormatting sqref="Q231">
    <cfRule type="expression" dxfId="1088" priority="1612">
      <formula>Q231&lt;(Q232+Q233+Q234)</formula>
    </cfRule>
    <cfRule type="expression" dxfId="1087" priority="1613">
      <formula>Q231&gt;Q230</formula>
    </cfRule>
  </conditionalFormatting>
  <conditionalFormatting sqref="S232">
    <cfRule type="expression" dxfId="1086" priority="1602">
      <formula>S231&lt;(S232+S233+S234)</formula>
    </cfRule>
    <cfRule type="expression" dxfId="1085" priority="1608">
      <formula>(S234+S233+S232)&gt;S230</formula>
    </cfRule>
  </conditionalFormatting>
  <conditionalFormatting sqref="S233">
    <cfRule type="expression" dxfId="1084" priority="1601">
      <formula>S231&lt;(S232+S233+S234)</formula>
    </cfRule>
    <cfRule type="expression" dxfId="1083" priority="1607">
      <formula>(S234+S233+S232)&gt;S230</formula>
    </cfRule>
  </conditionalFormatting>
  <conditionalFormatting sqref="S234">
    <cfRule type="expression" dxfId="1082" priority="1600">
      <formula>S231&lt;(S232+S233+S234)</formula>
    </cfRule>
    <cfRule type="expression" dxfId="1081" priority="1606">
      <formula>(S234+S233+S232)&gt;S230</formula>
    </cfRule>
  </conditionalFormatting>
  <conditionalFormatting sqref="S231">
    <cfRule type="cellIs" dxfId="1080" priority="1605" operator="equal">
      <formula>0</formula>
    </cfRule>
  </conditionalFormatting>
  <conditionalFormatting sqref="S231">
    <cfRule type="expression" dxfId="1079" priority="1603">
      <formula>S231&lt;(S232+S233+S234)</formula>
    </cfRule>
    <cfRule type="expression" dxfId="1078" priority="1604">
      <formula>S231&gt;S230</formula>
    </cfRule>
  </conditionalFormatting>
  <conditionalFormatting sqref="U232">
    <cfRule type="expression" dxfId="1077" priority="1593">
      <formula>U231&lt;(U232+U233+U234)</formula>
    </cfRule>
    <cfRule type="expression" dxfId="1076" priority="1599">
      <formula>(U234+U233+U232)&gt;U230</formula>
    </cfRule>
  </conditionalFormatting>
  <conditionalFormatting sqref="U233">
    <cfRule type="expression" dxfId="1075" priority="1592">
      <formula>U231&lt;(U232+U233+U234)</formula>
    </cfRule>
    <cfRule type="expression" dxfId="1074" priority="1598">
      <formula>(U234+U233+U232)&gt;U230</formula>
    </cfRule>
  </conditionalFormatting>
  <conditionalFormatting sqref="U234">
    <cfRule type="expression" dxfId="1073" priority="1591">
      <formula>U231&lt;(U232+U233+U234)</formula>
    </cfRule>
    <cfRule type="expression" dxfId="1072" priority="1597">
      <formula>(U234+U233+U232)&gt;U230</formula>
    </cfRule>
  </conditionalFormatting>
  <conditionalFormatting sqref="U231">
    <cfRule type="cellIs" dxfId="1071" priority="1596" operator="equal">
      <formula>0</formula>
    </cfRule>
  </conditionalFormatting>
  <conditionalFormatting sqref="U231">
    <cfRule type="expression" dxfId="1070" priority="1594">
      <formula>U231&lt;(U232+U233+U234)</formula>
    </cfRule>
    <cfRule type="expression" dxfId="1069" priority="1595">
      <formula>U231&gt;U230</formula>
    </cfRule>
  </conditionalFormatting>
  <conditionalFormatting sqref="W232">
    <cfRule type="expression" dxfId="1068" priority="1584">
      <formula>W231&lt;(W232+W233+W234)</formula>
    </cfRule>
    <cfRule type="expression" dxfId="1067" priority="1590">
      <formula>(W234+W233+W232)&gt;W230</formula>
    </cfRule>
  </conditionalFormatting>
  <conditionalFormatting sqref="W233">
    <cfRule type="expression" dxfId="1066" priority="1583">
      <formula>W231&lt;(W232+W233+W234)</formula>
    </cfRule>
    <cfRule type="expression" dxfId="1065" priority="1589">
      <formula>(W234+W233+W232)&gt;W230</formula>
    </cfRule>
  </conditionalFormatting>
  <conditionalFormatting sqref="W234">
    <cfRule type="expression" dxfId="1064" priority="1582">
      <formula>W231&lt;(W232+W233+W234)</formula>
    </cfRule>
    <cfRule type="expression" dxfId="1063" priority="1588">
      <formula>(W234+W233+W232)&gt;W230</formula>
    </cfRule>
  </conditionalFormatting>
  <conditionalFormatting sqref="W231">
    <cfRule type="cellIs" dxfId="1062" priority="1587" operator="equal">
      <formula>0</formula>
    </cfRule>
  </conditionalFormatting>
  <conditionalFormatting sqref="W231">
    <cfRule type="expression" dxfId="1061" priority="1585">
      <formula>W231&lt;(W232+W233+W234)</formula>
    </cfRule>
    <cfRule type="expression" dxfId="1060" priority="1586">
      <formula>W231&gt;W230</formula>
    </cfRule>
  </conditionalFormatting>
  <conditionalFormatting sqref="Y232">
    <cfRule type="expression" dxfId="1059" priority="1575">
      <formula>Y231&lt;(Y232+Y233+Y234)</formula>
    </cfRule>
    <cfRule type="expression" dxfId="1058" priority="1581">
      <formula>(Y234+Y233+Y232)&gt;Y230</formula>
    </cfRule>
  </conditionalFormatting>
  <conditionalFormatting sqref="Y233">
    <cfRule type="expression" dxfId="1057" priority="1574">
      <formula>Y231&lt;(Y232+Y233+Y234)</formula>
    </cfRule>
    <cfRule type="expression" dxfId="1056" priority="1580">
      <formula>(Y234+Y233+Y232)&gt;Y230</formula>
    </cfRule>
  </conditionalFormatting>
  <conditionalFormatting sqref="Y234">
    <cfRule type="expression" dxfId="1055" priority="1573">
      <formula>Y231&lt;(Y232+Y233+Y234)</formula>
    </cfRule>
    <cfRule type="expression" dxfId="1054" priority="1579">
      <formula>(Y234+Y233+Y232)&gt;Y230</formula>
    </cfRule>
  </conditionalFormatting>
  <conditionalFormatting sqref="Y231">
    <cfRule type="cellIs" dxfId="1053" priority="1578" operator="equal">
      <formula>0</formula>
    </cfRule>
  </conditionalFormatting>
  <conditionalFormatting sqref="Y231">
    <cfRule type="expression" dxfId="1052" priority="1576">
      <formula>Y231&lt;(Y232+Y233+Y234)</formula>
    </cfRule>
    <cfRule type="expression" dxfId="1051" priority="1577">
      <formula>Y231&gt;Y230</formula>
    </cfRule>
  </conditionalFormatting>
  <conditionalFormatting sqref="AC232 AE232 AG232 AI232">
    <cfRule type="expression" dxfId="1050" priority="1566">
      <formula>AC231&lt;(AC232+AC233+AC234)</formula>
    </cfRule>
    <cfRule type="expression" dxfId="1049" priority="1572">
      <formula>(AC234+AC233+AC232)&gt;AC230</formula>
    </cfRule>
  </conditionalFormatting>
  <conditionalFormatting sqref="AC233 AE233 AG233 AI233">
    <cfRule type="expression" dxfId="1048" priority="1565">
      <formula>AC231&lt;(AC232+AC233+AC234)</formula>
    </cfRule>
    <cfRule type="expression" dxfId="1047" priority="1571">
      <formula>(AC234+AC233+AC232)&gt;AC230</formula>
    </cfRule>
  </conditionalFormatting>
  <conditionalFormatting sqref="AC234 AE234 AG234 AI234">
    <cfRule type="expression" dxfId="1046" priority="1564">
      <formula>AC231&lt;(AC232+AC233+AC234)</formula>
    </cfRule>
    <cfRule type="expression" dxfId="1045" priority="1570">
      <formula>(AC234+AC233+AC232)&gt;AC230</formula>
    </cfRule>
  </conditionalFormatting>
  <conditionalFormatting sqref="AC231 AE231 AG231 AI231">
    <cfRule type="cellIs" dxfId="1044" priority="1569" operator="equal">
      <formula>0</formula>
    </cfRule>
  </conditionalFormatting>
  <conditionalFormatting sqref="AC231 AE231 AG231 AI231">
    <cfRule type="expression" dxfId="1043" priority="1567">
      <formula>AC231&lt;(AC232+AC233+AC234)</formula>
    </cfRule>
    <cfRule type="expression" dxfId="1042" priority="1568">
      <formula>AC231&gt;AC230</formula>
    </cfRule>
  </conditionalFormatting>
  <conditionalFormatting sqref="M240">
    <cfRule type="expression" dxfId="1041" priority="1557">
      <formula>M239&lt;(M240+M241+M242)</formula>
    </cfRule>
    <cfRule type="expression" dxfId="1040" priority="1563">
      <formula>(M242+M241+M240)&gt;M238</formula>
    </cfRule>
  </conditionalFormatting>
  <conditionalFormatting sqref="M241">
    <cfRule type="expression" dxfId="1039" priority="1556">
      <formula>M239&lt;(M240+M241+M242)</formula>
    </cfRule>
    <cfRule type="expression" dxfId="1038" priority="1562">
      <formula>(M242+M241+M240)&gt;M238</formula>
    </cfRule>
  </conditionalFormatting>
  <conditionalFormatting sqref="M242">
    <cfRule type="expression" dxfId="1037" priority="1555">
      <formula>M239&lt;(M240+M241+M242)</formula>
    </cfRule>
    <cfRule type="expression" dxfId="1036" priority="1561">
      <formula>(M242+M241+M240)&gt;M238</formula>
    </cfRule>
  </conditionalFormatting>
  <conditionalFormatting sqref="M239">
    <cfRule type="cellIs" dxfId="1035" priority="1560" operator="equal">
      <formula>0</formula>
    </cfRule>
  </conditionalFormatting>
  <conditionalFormatting sqref="M239">
    <cfRule type="expression" dxfId="1034" priority="1558">
      <formula>M239&lt;(M240+M241+M242)</formula>
    </cfRule>
    <cfRule type="expression" dxfId="1033" priority="1559">
      <formula>M239&gt;M238</formula>
    </cfRule>
  </conditionalFormatting>
  <conditionalFormatting sqref="O240">
    <cfRule type="expression" dxfId="1032" priority="1548">
      <formula>O239&lt;(O240+O241+O242)</formula>
    </cfRule>
    <cfRule type="expression" dxfId="1031" priority="1554">
      <formula>(O242+O241+O240)&gt;O238</formula>
    </cfRule>
  </conditionalFormatting>
  <conditionalFormatting sqref="O241">
    <cfRule type="expression" dxfId="1030" priority="1547">
      <formula>O239&lt;(O240+O241+O242)</formula>
    </cfRule>
    <cfRule type="expression" dxfId="1029" priority="1553">
      <formula>(O242+O241+O240)&gt;O238</formula>
    </cfRule>
  </conditionalFormatting>
  <conditionalFormatting sqref="O242">
    <cfRule type="expression" dxfId="1028" priority="1546">
      <formula>O239&lt;(O240+O241+O242)</formula>
    </cfRule>
    <cfRule type="expression" dxfId="1027" priority="1552">
      <formula>(O242+O241+O240)&gt;O238</formula>
    </cfRule>
  </conditionalFormatting>
  <conditionalFormatting sqref="O239">
    <cfRule type="cellIs" dxfId="1026" priority="1551" operator="equal">
      <formula>0</formula>
    </cfRule>
  </conditionalFormatting>
  <conditionalFormatting sqref="O239">
    <cfRule type="expression" dxfId="1025" priority="1549">
      <formula>O239&lt;(O240+O241+O242)</formula>
    </cfRule>
    <cfRule type="expression" dxfId="1024" priority="1550">
      <formula>O239&gt;O238</formula>
    </cfRule>
  </conditionalFormatting>
  <conditionalFormatting sqref="Q240">
    <cfRule type="expression" dxfId="1023" priority="1539">
      <formula>Q239&lt;(Q240+Q241+Q242)</formula>
    </cfRule>
    <cfRule type="expression" dxfId="1022" priority="1545">
      <formula>(Q242+Q241+Q240)&gt;Q238</formula>
    </cfRule>
  </conditionalFormatting>
  <conditionalFormatting sqref="Q241">
    <cfRule type="expression" dxfId="1021" priority="1538">
      <formula>Q239&lt;(Q240+Q241+Q242)</formula>
    </cfRule>
    <cfRule type="expression" dxfId="1020" priority="1544">
      <formula>(Q242+Q241+Q240)&gt;Q238</formula>
    </cfRule>
  </conditionalFormatting>
  <conditionalFormatting sqref="Q242">
    <cfRule type="expression" dxfId="1019" priority="1537">
      <formula>Q239&lt;(Q240+Q241+Q242)</formula>
    </cfRule>
    <cfRule type="expression" dxfId="1018" priority="1543">
      <formula>(Q242+Q241+Q240)&gt;Q238</formula>
    </cfRule>
  </conditionalFormatting>
  <conditionalFormatting sqref="Q239">
    <cfRule type="cellIs" dxfId="1017" priority="1542" operator="equal">
      <formula>0</formula>
    </cfRule>
  </conditionalFormatting>
  <conditionalFormatting sqref="Q239">
    <cfRule type="expression" dxfId="1016" priority="1540">
      <formula>Q239&lt;(Q240+Q241+Q242)</formula>
    </cfRule>
    <cfRule type="expression" dxfId="1015" priority="1541">
      <formula>Q239&gt;Q238</formula>
    </cfRule>
  </conditionalFormatting>
  <conditionalFormatting sqref="S240">
    <cfRule type="expression" dxfId="1014" priority="1530">
      <formula>S239&lt;(S240+S241+S242)</formula>
    </cfRule>
    <cfRule type="expression" dxfId="1013" priority="1536">
      <formula>(S242+S241+S240)&gt;S238</formula>
    </cfRule>
  </conditionalFormatting>
  <conditionalFormatting sqref="S241">
    <cfRule type="expression" dxfId="1012" priority="1529">
      <formula>S239&lt;(S240+S241+S242)</formula>
    </cfRule>
    <cfRule type="expression" dxfId="1011" priority="1535">
      <formula>(S242+S241+S240)&gt;S238</formula>
    </cfRule>
  </conditionalFormatting>
  <conditionalFormatting sqref="S242">
    <cfRule type="expression" dxfId="1010" priority="1528">
      <formula>S239&lt;(S240+S241+S242)</formula>
    </cfRule>
    <cfRule type="expression" dxfId="1009" priority="1534">
      <formula>(S242+S241+S240)&gt;S238</formula>
    </cfRule>
  </conditionalFormatting>
  <conditionalFormatting sqref="S239">
    <cfRule type="cellIs" dxfId="1008" priority="1533" operator="equal">
      <formula>0</formula>
    </cfRule>
  </conditionalFormatting>
  <conditionalFormatting sqref="S239">
    <cfRule type="expression" dxfId="1007" priority="1531">
      <formula>S239&lt;(S240+S241+S242)</formula>
    </cfRule>
    <cfRule type="expression" dxfId="1006" priority="1532">
      <formula>S239&gt;S238</formula>
    </cfRule>
  </conditionalFormatting>
  <conditionalFormatting sqref="U240">
    <cfRule type="expression" dxfId="1005" priority="1521">
      <formula>U239&lt;(U240+U241+U242)</formula>
    </cfRule>
    <cfRule type="expression" dxfId="1004" priority="1527">
      <formula>(U242+U241+U240)&gt;U238</formula>
    </cfRule>
  </conditionalFormatting>
  <conditionalFormatting sqref="U241">
    <cfRule type="expression" dxfId="1003" priority="1520">
      <formula>U239&lt;(U240+U241+U242)</formula>
    </cfRule>
    <cfRule type="expression" dxfId="1002" priority="1526">
      <formula>(U242+U241+U240)&gt;U238</formula>
    </cfRule>
  </conditionalFormatting>
  <conditionalFormatting sqref="U242">
    <cfRule type="expression" dxfId="1001" priority="1519">
      <formula>U239&lt;(U240+U241+U242)</formula>
    </cfRule>
    <cfRule type="expression" dxfId="1000" priority="1525">
      <formula>(U242+U241+U240)&gt;U238</formula>
    </cfRule>
  </conditionalFormatting>
  <conditionalFormatting sqref="U239">
    <cfRule type="cellIs" dxfId="999" priority="1524" operator="equal">
      <formula>0</formula>
    </cfRule>
  </conditionalFormatting>
  <conditionalFormatting sqref="U239">
    <cfRule type="expression" dxfId="998" priority="1522">
      <formula>U239&lt;(U240+U241+U242)</formula>
    </cfRule>
    <cfRule type="expression" dxfId="997" priority="1523">
      <formula>U239&gt;U238</formula>
    </cfRule>
  </conditionalFormatting>
  <conditionalFormatting sqref="W240">
    <cfRule type="expression" dxfId="996" priority="1512">
      <formula>W239&lt;(W240+W241+W242)</formula>
    </cfRule>
    <cfRule type="expression" dxfId="995" priority="1518">
      <formula>(W242+W241+W240)&gt;W238</formula>
    </cfRule>
  </conditionalFormatting>
  <conditionalFormatting sqref="W241">
    <cfRule type="expression" dxfId="994" priority="1511">
      <formula>W239&lt;(W240+W241+W242)</formula>
    </cfRule>
    <cfRule type="expression" dxfId="993" priority="1517">
      <formula>(W242+W241+W240)&gt;W238</formula>
    </cfRule>
  </conditionalFormatting>
  <conditionalFormatting sqref="W242">
    <cfRule type="expression" dxfId="992" priority="1510">
      <formula>W239&lt;(W240+W241+W242)</formula>
    </cfRule>
    <cfRule type="expression" dxfId="991" priority="1516">
      <formula>(W242+W241+W240)&gt;W238</formula>
    </cfRule>
  </conditionalFormatting>
  <conditionalFormatting sqref="W239">
    <cfRule type="cellIs" dxfId="990" priority="1515" operator="equal">
      <formula>0</formula>
    </cfRule>
  </conditionalFormatting>
  <conditionalFormatting sqref="W239">
    <cfRule type="expression" dxfId="989" priority="1513">
      <formula>W239&lt;(W240+W241+W242)</formula>
    </cfRule>
    <cfRule type="expression" dxfId="988" priority="1514">
      <formula>W239&gt;W238</formula>
    </cfRule>
  </conditionalFormatting>
  <conditionalFormatting sqref="Y240">
    <cfRule type="expression" dxfId="987" priority="1503">
      <formula>Y239&lt;(Y240+Y241+Y242)</formula>
    </cfRule>
    <cfRule type="expression" dxfId="986" priority="1509">
      <formula>(Y242+Y241+Y240)&gt;Y238</formula>
    </cfRule>
  </conditionalFormatting>
  <conditionalFormatting sqref="Y241">
    <cfRule type="expression" dxfId="985" priority="1502">
      <formula>Y239&lt;(Y240+Y241+Y242)</formula>
    </cfRule>
    <cfRule type="expression" dxfId="984" priority="1508">
      <formula>(Y242+Y241+Y240)&gt;Y238</formula>
    </cfRule>
  </conditionalFormatting>
  <conditionalFormatting sqref="Y242">
    <cfRule type="expression" dxfId="983" priority="1501">
      <formula>Y239&lt;(Y240+Y241+Y242)</formula>
    </cfRule>
    <cfRule type="expression" dxfId="982" priority="1507">
      <formula>(Y242+Y241+Y240)&gt;Y238</formula>
    </cfRule>
  </conditionalFormatting>
  <conditionalFormatting sqref="Y239">
    <cfRule type="cellIs" dxfId="981" priority="1506" operator="equal">
      <formula>0</formula>
    </cfRule>
  </conditionalFormatting>
  <conditionalFormatting sqref="Y239">
    <cfRule type="expression" dxfId="980" priority="1504">
      <formula>Y239&lt;(Y240+Y241+Y242)</formula>
    </cfRule>
    <cfRule type="expression" dxfId="979" priority="1505">
      <formula>Y239&gt;Y238</formula>
    </cfRule>
  </conditionalFormatting>
  <conditionalFormatting sqref="AC240 AE240 AG240 AI240">
    <cfRule type="expression" dxfId="978" priority="1494">
      <formula>AC239&lt;(AC240+AC241+AC242)</formula>
    </cfRule>
    <cfRule type="expression" dxfId="977" priority="1500">
      <formula>(AC242+AC241+AC240)&gt;AC238</formula>
    </cfRule>
  </conditionalFormatting>
  <conditionalFormatting sqref="AC241 AE241 AG241 AI241">
    <cfRule type="expression" dxfId="976" priority="1493">
      <formula>AC239&lt;(AC240+AC241+AC242)</formula>
    </cfRule>
    <cfRule type="expression" dxfId="975" priority="1499">
      <formula>(AC242+AC241+AC240)&gt;AC238</formula>
    </cfRule>
  </conditionalFormatting>
  <conditionalFormatting sqref="AC242 AE242 AG242 AI242">
    <cfRule type="expression" dxfId="974" priority="1492">
      <formula>AC239&lt;(AC240+AC241+AC242)</formula>
    </cfRule>
    <cfRule type="expression" dxfId="973" priority="1498">
      <formula>(AC242+AC241+AC240)&gt;AC238</formula>
    </cfRule>
  </conditionalFormatting>
  <conditionalFormatting sqref="AC239 AE239 AG239 AI239">
    <cfRule type="cellIs" dxfId="972" priority="1497" operator="equal">
      <formula>0</formula>
    </cfRule>
  </conditionalFormatting>
  <conditionalFormatting sqref="AC239 AE239 AG239 AI239">
    <cfRule type="expression" dxfId="971" priority="1495">
      <formula>AC239&lt;(AC240+AC241+AC242)</formula>
    </cfRule>
    <cfRule type="expression" dxfId="970" priority="1496">
      <formula>AC239&gt;AC238</formula>
    </cfRule>
  </conditionalFormatting>
  <conditionalFormatting sqref="F46:Y46 AB46:AI46">
    <cfRule type="cellIs" dxfId="969" priority="1490" operator="equal">
      <formula>0</formula>
    </cfRule>
  </conditionalFormatting>
  <conditionalFormatting sqref="L152:AA152">
    <cfRule type="expression" dxfId="968" priority="3435">
      <formula>L150&gt;L152</formula>
    </cfRule>
  </conditionalFormatting>
  <conditionalFormatting sqref="AK70:AK71">
    <cfRule type="notContainsBlanks" dxfId="967" priority="1488">
      <formula>LEN(TRIM(AK70))&gt;0</formula>
    </cfRule>
  </conditionalFormatting>
  <conditionalFormatting sqref="AM74">
    <cfRule type="notContainsBlanks" dxfId="966" priority="1486">
      <formula>LEN(TRIM(AM74))&gt;0</formula>
    </cfRule>
  </conditionalFormatting>
  <conditionalFormatting sqref="AM70:AM71 AM74:AM75">
    <cfRule type="notContainsBlanks" dxfId="965" priority="1485">
      <formula>LEN(TRIM(AM70))&gt;0</formula>
    </cfRule>
  </conditionalFormatting>
  <conditionalFormatting sqref="AL70">
    <cfRule type="notContainsBlanks" dxfId="964" priority="1489">
      <formula>LEN(TRIM(AL70))&gt;0</formula>
    </cfRule>
  </conditionalFormatting>
  <conditionalFormatting sqref="AJ70:AJ71">
    <cfRule type="cellIs" dxfId="963" priority="1479" operator="equal">
      <formula>0</formula>
    </cfRule>
  </conditionalFormatting>
  <conditionalFormatting sqref="AK80:AK81">
    <cfRule type="notContainsBlanks" dxfId="962" priority="1476">
      <formula>LEN(TRIM(AK80))&gt;0</formula>
    </cfRule>
  </conditionalFormatting>
  <conditionalFormatting sqref="AM78">
    <cfRule type="notContainsBlanks" dxfId="961" priority="1475">
      <formula>LEN(TRIM(AM78))&gt;0</formula>
    </cfRule>
  </conditionalFormatting>
  <conditionalFormatting sqref="AM78:AM81">
    <cfRule type="notContainsBlanks" dxfId="960" priority="1474">
      <formula>LEN(TRIM(AM78))&gt;0</formula>
    </cfRule>
  </conditionalFormatting>
  <conditionalFormatting sqref="AK84:AK85">
    <cfRule type="notContainsBlanks" dxfId="959" priority="1468">
      <formula>LEN(TRIM(AK84))&gt;0</formula>
    </cfRule>
  </conditionalFormatting>
  <conditionalFormatting sqref="AM82">
    <cfRule type="notContainsBlanks" dxfId="958" priority="1467">
      <formula>LEN(TRIM(AM82))&gt;0</formula>
    </cfRule>
  </conditionalFormatting>
  <conditionalFormatting sqref="AM82:AM85">
    <cfRule type="notContainsBlanks" dxfId="957" priority="1466">
      <formula>LEN(TRIM(AM82))&gt;0</formula>
    </cfRule>
  </conditionalFormatting>
  <conditionalFormatting sqref="AK92:AK93">
    <cfRule type="notContainsBlanks" dxfId="956" priority="1459">
      <formula>LEN(TRIM(AK92))&gt;0</formula>
    </cfRule>
  </conditionalFormatting>
  <conditionalFormatting sqref="AM90">
    <cfRule type="notContainsBlanks" dxfId="955" priority="1458">
      <formula>LEN(TRIM(AM90))&gt;0</formula>
    </cfRule>
  </conditionalFormatting>
  <conditionalFormatting sqref="AM90:AM93">
    <cfRule type="notContainsBlanks" dxfId="954" priority="1457">
      <formula>LEN(TRIM(AM90))&gt;0</formula>
    </cfRule>
  </conditionalFormatting>
  <conditionalFormatting sqref="AK96:AK97">
    <cfRule type="notContainsBlanks" dxfId="953" priority="1450">
      <formula>LEN(TRIM(AK96))&gt;0</formula>
    </cfRule>
  </conditionalFormatting>
  <conditionalFormatting sqref="AM94">
    <cfRule type="notContainsBlanks" dxfId="952" priority="1449">
      <formula>LEN(TRIM(AM94))&gt;0</formula>
    </cfRule>
  </conditionalFormatting>
  <conditionalFormatting sqref="AM94:AM97">
    <cfRule type="notContainsBlanks" dxfId="951" priority="1448">
      <formula>LEN(TRIM(AM94))&gt;0</formula>
    </cfRule>
  </conditionalFormatting>
  <conditionalFormatting sqref="AK100:AK101">
    <cfRule type="notContainsBlanks" dxfId="950" priority="1441">
      <formula>LEN(TRIM(AK100))&gt;0</formula>
    </cfRule>
  </conditionalFormatting>
  <conditionalFormatting sqref="AM98">
    <cfRule type="notContainsBlanks" dxfId="949" priority="1440">
      <formula>LEN(TRIM(AM98))&gt;0</formula>
    </cfRule>
  </conditionalFormatting>
  <conditionalFormatting sqref="AM98:AM101">
    <cfRule type="notContainsBlanks" dxfId="948" priority="1439">
      <formula>LEN(TRIM(AM98))&gt;0</formula>
    </cfRule>
  </conditionalFormatting>
  <conditionalFormatting sqref="AK104:AK105">
    <cfRule type="notContainsBlanks" dxfId="947" priority="1432">
      <formula>LEN(TRIM(AK104))&gt;0</formula>
    </cfRule>
  </conditionalFormatting>
  <conditionalFormatting sqref="AM102">
    <cfRule type="notContainsBlanks" dxfId="946" priority="1431">
      <formula>LEN(TRIM(AM102))&gt;0</formula>
    </cfRule>
  </conditionalFormatting>
  <conditionalFormatting sqref="AM102:AM105">
    <cfRule type="notContainsBlanks" dxfId="945" priority="1430">
      <formula>LEN(TRIM(AM102))&gt;0</formula>
    </cfRule>
  </conditionalFormatting>
  <conditionalFormatting sqref="AK108:AK109">
    <cfRule type="notContainsBlanks" dxfId="944" priority="1423">
      <formula>LEN(TRIM(AK108))&gt;0</formula>
    </cfRule>
  </conditionalFormatting>
  <conditionalFormatting sqref="AM106">
    <cfRule type="notContainsBlanks" dxfId="943" priority="1422">
      <formula>LEN(TRIM(AM106))&gt;0</formula>
    </cfRule>
  </conditionalFormatting>
  <conditionalFormatting sqref="AM106:AM109">
    <cfRule type="notContainsBlanks" dxfId="942" priority="1421">
      <formula>LEN(TRIM(AM106))&gt;0</formula>
    </cfRule>
  </conditionalFormatting>
  <conditionalFormatting sqref="AK88:AK89">
    <cfRule type="notContainsBlanks" dxfId="941" priority="1396">
      <formula>LEN(TRIM(AK88))&gt;0</formula>
    </cfRule>
  </conditionalFormatting>
  <conditionalFormatting sqref="AM86">
    <cfRule type="notContainsBlanks" dxfId="940" priority="1395">
      <formula>LEN(TRIM(AM86))&gt;0</formula>
    </cfRule>
  </conditionalFormatting>
  <conditionalFormatting sqref="AM86:AM89">
    <cfRule type="notContainsBlanks" dxfId="939" priority="1394">
      <formula>LEN(TRIM(AM86))&gt;0</formula>
    </cfRule>
  </conditionalFormatting>
  <conditionalFormatting sqref="AJ78:AJ81">
    <cfRule type="cellIs" dxfId="938" priority="1374" operator="equal">
      <formula>0</formula>
    </cfRule>
  </conditionalFormatting>
  <conditionalFormatting sqref="AJ82:AJ85">
    <cfRule type="cellIs" dxfId="937" priority="1373" operator="equal">
      <formula>0</formula>
    </cfRule>
  </conditionalFormatting>
  <conditionalFormatting sqref="F54:Y54 AB54:AI54">
    <cfRule type="expression" dxfId="936" priority="1387">
      <formula>F55&gt;F54</formula>
    </cfRule>
  </conditionalFormatting>
  <conditionalFormatting sqref="AK110:AK111">
    <cfRule type="notContainsBlanks" dxfId="935" priority="1385">
      <formula>LEN(TRIM(AK110))&gt;0</formula>
    </cfRule>
  </conditionalFormatting>
  <conditionalFormatting sqref="AM110">
    <cfRule type="notContainsBlanks" dxfId="934" priority="1384">
      <formula>LEN(TRIM(AM110))&gt;0</formula>
    </cfRule>
  </conditionalFormatting>
  <conditionalFormatting sqref="AM110:AM111">
    <cfRule type="notContainsBlanks" dxfId="933" priority="1383">
      <formula>LEN(TRIM(AM110))&gt;0</formula>
    </cfRule>
  </conditionalFormatting>
  <conditionalFormatting sqref="AJ98:AJ101">
    <cfRule type="cellIs" dxfId="932" priority="1369" operator="equal">
      <formula>0</formula>
    </cfRule>
  </conditionalFormatting>
  <conditionalFormatting sqref="AJ102:AJ111">
    <cfRule type="cellIs" dxfId="931" priority="1368" operator="equal">
      <formula>0</formula>
    </cfRule>
  </conditionalFormatting>
  <conditionalFormatting sqref="AJ74:AJ75">
    <cfRule type="cellIs" dxfId="930" priority="1375" operator="equal">
      <formula>0</formula>
    </cfRule>
  </conditionalFormatting>
  <conditionalFormatting sqref="AJ86:AJ89">
    <cfRule type="cellIs" dxfId="929" priority="1372" operator="equal">
      <formula>0</formula>
    </cfRule>
  </conditionalFormatting>
  <conditionalFormatting sqref="AJ90:AJ93">
    <cfRule type="cellIs" dxfId="928" priority="1371" operator="equal">
      <formula>0</formula>
    </cfRule>
  </conditionalFormatting>
  <conditionalFormatting sqref="AJ94:AJ97">
    <cfRule type="cellIs" dxfId="927" priority="1370" operator="equal">
      <formula>0</formula>
    </cfRule>
  </conditionalFormatting>
  <conditionalFormatting sqref="Z370:AA385">
    <cfRule type="cellIs" dxfId="926" priority="1354" operator="equal">
      <formula>0</formula>
    </cfRule>
  </conditionalFormatting>
  <conditionalFormatting sqref="AJ53:AJ54">
    <cfRule type="cellIs" dxfId="925" priority="1366" operator="equal">
      <formula>0</formula>
    </cfRule>
  </conditionalFormatting>
  <conditionalFormatting sqref="AJ55">
    <cfRule type="cellIs" dxfId="924" priority="1365" operator="equal">
      <formula>0</formula>
    </cfRule>
  </conditionalFormatting>
  <conditionalFormatting sqref="M339">
    <cfRule type="expression" dxfId="923" priority="1351">
      <formula>M339&gt;M356</formula>
    </cfRule>
    <cfRule type="expression" dxfId="922" priority="1352">
      <formula>M339&gt;M356 &amp; EXACT($I$3,"1") &amp; EXACT($E$3,"1")</formula>
    </cfRule>
  </conditionalFormatting>
  <conditionalFormatting sqref="O339">
    <cfRule type="expression" dxfId="921" priority="1349">
      <formula>O339&gt;O356</formula>
    </cfRule>
    <cfRule type="expression" dxfId="920" priority="1350">
      <formula>O339&gt;O356 &amp; EXACT($I$3,"1") &amp; EXACT($E$3,"1")</formula>
    </cfRule>
  </conditionalFormatting>
  <conditionalFormatting sqref="Q339">
    <cfRule type="expression" dxfId="919" priority="1347">
      <formula>Q339&gt;Q356</formula>
    </cfRule>
    <cfRule type="expression" dxfId="918" priority="1348">
      <formula>Q339&gt;Q356 &amp; EXACT($I$3,"1") &amp; EXACT($E$3,"1")</formula>
    </cfRule>
  </conditionalFormatting>
  <conditionalFormatting sqref="S339">
    <cfRule type="expression" dxfId="917" priority="1345">
      <formula>S339&gt;S356</formula>
    </cfRule>
    <cfRule type="expression" dxfId="916" priority="1346">
      <formula>S339&gt;S356 &amp; EXACT($I$3,"1") &amp; EXACT($E$3,"1")</formula>
    </cfRule>
  </conditionalFormatting>
  <conditionalFormatting sqref="U339">
    <cfRule type="expression" dxfId="915" priority="1343">
      <formula>U339&gt;U356</formula>
    </cfRule>
    <cfRule type="expression" dxfId="914" priority="1344">
      <formula>U339&gt;U356 &amp; EXACT($I$3,"1") &amp; EXACT($E$3,"1")</formula>
    </cfRule>
  </conditionalFormatting>
  <conditionalFormatting sqref="W339">
    <cfRule type="expression" dxfId="913" priority="1341">
      <formula>W339&gt;W356</formula>
    </cfRule>
    <cfRule type="expression" dxfId="912" priority="1342">
      <formula>W339&gt;W356 &amp; EXACT($I$3,"1") &amp; EXACT($E$3,"1")</formula>
    </cfRule>
  </conditionalFormatting>
  <conditionalFormatting sqref="Y339">
    <cfRule type="expression" dxfId="911" priority="1339">
      <formula>Y339&gt;Y356</formula>
    </cfRule>
    <cfRule type="expression" dxfId="910" priority="1340">
      <formula>Y339&gt;Y356 &amp; EXACT($I$3,"1") &amp; EXACT($E$3,"1")</formula>
    </cfRule>
  </conditionalFormatting>
  <conditionalFormatting sqref="K356">
    <cfRule type="expression" dxfId="909" priority="1338">
      <formula>K339&gt;K356</formula>
    </cfRule>
  </conditionalFormatting>
  <conditionalFormatting sqref="M356">
    <cfRule type="expression" dxfId="908" priority="1337">
      <formula>M339&gt;M356</formula>
    </cfRule>
  </conditionalFormatting>
  <conditionalFormatting sqref="O356">
    <cfRule type="expression" dxfId="907" priority="1336">
      <formula>O339&gt;O356</formula>
    </cfRule>
  </conditionalFormatting>
  <conditionalFormatting sqref="Q356">
    <cfRule type="expression" dxfId="906" priority="1335">
      <formula>Q339&gt;Q356</formula>
    </cfRule>
  </conditionalFormatting>
  <conditionalFormatting sqref="S356">
    <cfRule type="expression" dxfId="905" priority="1334">
      <formula>S339&gt;S356</formula>
    </cfRule>
  </conditionalFormatting>
  <conditionalFormatting sqref="U356">
    <cfRule type="expression" dxfId="904" priority="1333">
      <formula>U339&gt;U356</formula>
    </cfRule>
  </conditionalFormatting>
  <conditionalFormatting sqref="W356">
    <cfRule type="expression" dxfId="903" priority="1332">
      <formula>W339&gt;W356</formula>
    </cfRule>
  </conditionalFormatting>
  <conditionalFormatting sqref="Y356">
    <cfRule type="expression" dxfId="902" priority="1331">
      <formula>Y339&gt;Y356</formula>
    </cfRule>
  </conditionalFormatting>
  <conditionalFormatting sqref="AA356:AI356">
    <cfRule type="expression" dxfId="901" priority="1330">
      <formula>AA339&gt;AA356</formula>
    </cfRule>
  </conditionalFormatting>
  <conditionalFormatting sqref="AK453:AK454">
    <cfRule type="notContainsBlanks" dxfId="900" priority="1327">
      <formula>LEN(TRIM(AK453))&gt;0</formula>
    </cfRule>
  </conditionalFormatting>
  <conditionalFormatting sqref="AM453">
    <cfRule type="notContainsBlanks" dxfId="899" priority="1326">
      <formula>LEN(TRIM(AM453))&gt;0</formula>
    </cfRule>
  </conditionalFormatting>
  <conditionalFormatting sqref="AJ453">
    <cfRule type="cellIs" dxfId="898" priority="1324" operator="equal">
      <formula>0</formula>
    </cfRule>
  </conditionalFormatting>
  <conditionalFormatting sqref="AJ454">
    <cfRule type="cellIs" dxfId="897" priority="1323" operator="equal">
      <formula>0</formula>
    </cfRule>
  </conditionalFormatting>
  <conditionalFormatting sqref="AJ452">
    <cfRule type="cellIs" dxfId="896" priority="1322" operator="equal">
      <formula>0</formula>
    </cfRule>
  </conditionalFormatting>
  <conditionalFormatting sqref="AM455">
    <cfRule type="notContainsBlanks" dxfId="895" priority="1317">
      <formula>LEN(TRIM(AM455))&gt;0</formula>
    </cfRule>
  </conditionalFormatting>
  <conditionalFormatting sqref="AK455">
    <cfRule type="notContainsBlanks" dxfId="894" priority="1316">
      <formula>LEN(TRIM(AK455))&gt;0</formula>
    </cfRule>
  </conditionalFormatting>
  <conditionalFormatting sqref="AJ455">
    <cfRule type="cellIs" dxfId="893" priority="1315" operator="equal">
      <formula>0</formula>
    </cfRule>
  </conditionalFormatting>
  <conditionalFormatting sqref="AM456">
    <cfRule type="notContainsBlanks" dxfId="892" priority="1312">
      <formula>LEN(TRIM(AM456))&gt;0</formula>
    </cfRule>
  </conditionalFormatting>
  <conditionalFormatting sqref="AK456">
    <cfRule type="notContainsBlanks" dxfId="891" priority="1311">
      <formula>LEN(TRIM(AK456))&gt;0</formula>
    </cfRule>
  </conditionalFormatting>
  <conditionalFormatting sqref="AJ456">
    <cfRule type="cellIs" dxfId="890" priority="1310" operator="equal">
      <formula>0</formula>
    </cfRule>
  </conditionalFormatting>
  <conditionalFormatting sqref="AM457:AM459">
    <cfRule type="notContainsBlanks" dxfId="889" priority="1302">
      <formula>LEN(TRIM(AM457))&gt;0</formula>
    </cfRule>
  </conditionalFormatting>
  <conditionalFormatting sqref="AK458:AK459">
    <cfRule type="notContainsBlanks" dxfId="888" priority="1301">
      <formula>LEN(TRIM(AK458))&gt;0</formula>
    </cfRule>
  </conditionalFormatting>
  <conditionalFormatting sqref="AM458">
    <cfRule type="notContainsBlanks" dxfId="887" priority="1300">
      <formula>LEN(TRIM(AM458))&gt;0</formula>
    </cfRule>
  </conditionalFormatting>
  <conditionalFormatting sqref="AM460">
    <cfRule type="notContainsBlanks" dxfId="886" priority="1294">
      <formula>LEN(TRIM(AM460))&gt;0</formula>
    </cfRule>
  </conditionalFormatting>
  <conditionalFormatting sqref="AK460">
    <cfRule type="notContainsBlanks" dxfId="885" priority="1293">
      <formula>LEN(TRIM(AK460))&gt;0</formula>
    </cfRule>
  </conditionalFormatting>
  <conditionalFormatting sqref="AM461">
    <cfRule type="notContainsBlanks" dxfId="884" priority="1289">
      <formula>LEN(TRIM(AM461))&gt;0</formula>
    </cfRule>
  </conditionalFormatting>
  <conditionalFormatting sqref="AK461">
    <cfRule type="notContainsBlanks" dxfId="883" priority="1288">
      <formula>LEN(TRIM(AK461))&gt;0</formula>
    </cfRule>
  </conditionalFormatting>
  <conditionalFormatting sqref="AM462:AM464">
    <cfRule type="notContainsBlanks" dxfId="882" priority="1279">
      <formula>LEN(TRIM(AM462))&gt;0</formula>
    </cfRule>
  </conditionalFormatting>
  <conditionalFormatting sqref="AK463:AK464">
    <cfRule type="notContainsBlanks" dxfId="881" priority="1278">
      <formula>LEN(TRIM(AK463))&gt;0</formula>
    </cfRule>
  </conditionalFormatting>
  <conditionalFormatting sqref="AM463">
    <cfRule type="notContainsBlanks" dxfId="880" priority="1277">
      <formula>LEN(TRIM(AM463))&gt;0</formula>
    </cfRule>
  </conditionalFormatting>
  <conditionalFormatting sqref="AM465">
    <cfRule type="notContainsBlanks" dxfId="879" priority="1271">
      <formula>LEN(TRIM(AM465))&gt;0</formula>
    </cfRule>
  </conditionalFormatting>
  <conditionalFormatting sqref="AK465">
    <cfRule type="notContainsBlanks" dxfId="878" priority="1270">
      <formula>LEN(TRIM(AK465))&gt;0</formula>
    </cfRule>
  </conditionalFormatting>
  <conditionalFormatting sqref="AM466">
    <cfRule type="notContainsBlanks" dxfId="877" priority="1266">
      <formula>LEN(TRIM(AM466))&gt;0</formula>
    </cfRule>
  </conditionalFormatting>
  <conditionalFormatting sqref="AK466">
    <cfRule type="notContainsBlanks" dxfId="876" priority="1265">
      <formula>LEN(TRIM(AK466))&gt;0</formula>
    </cfRule>
  </conditionalFormatting>
  <conditionalFormatting sqref="AM467:AM469">
    <cfRule type="notContainsBlanks" dxfId="875" priority="1256">
      <formula>LEN(TRIM(AM467))&gt;0</formula>
    </cfRule>
  </conditionalFormatting>
  <conditionalFormatting sqref="AK468:AK469">
    <cfRule type="notContainsBlanks" dxfId="874" priority="1255">
      <formula>LEN(TRIM(AK468))&gt;0</formula>
    </cfRule>
  </conditionalFormatting>
  <conditionalFormatting sqref="AM468">
    <cfRule type="notContainsBlanks" dxfId="873" priority="1254">
      <formula>LEN(TRIM(AM468))&gt;0</formula>
    </cfRule>
  </conditionalFormatting>
  <conditionalFormatting sqref="AM470">
    <cfRule type="notContainsBlanks" dxfId="872" priority="1248">
      <formula>LEN(TRIM(AM470))&gt;0</formula>
    </cfRule>
  </conditionalFormatting>
  <conditionalFormatting sqref="AK470">
    <cfRule type="notContainsBlanks" dxfId="871" priority="1247">
      <formula>LEN(TRIM(AK470))&gt;0</formula>
    </cfRule>
  </conditionalFormatting>
  <conditionalFormatting sqref="AJ459">
    <cfRule type="cellIs" dxfId="870" priority="1234" operator="equal">
      <formula>0</formula>
    </cfRule>
  </conditionalFormatting>
  <conditionalFormatting sqref="AM471">
    <cfRule type="notContainsBlanks" dxfId="869" priority="1243">
      <formula>LEN(TRIM(AM471))&gt;0</formula>
    </cfRule>
  </conditionalFormatting>
  <conditionalFormatting sqref="AK471">
    <cfRule type="notContainsBlanks" dxfId="868" priority="1242">
      <formula>LEN(TRIM(AK471))&gt;0</formula>
    </cfRule>
  </conditionalFormatting>
  <conditionalFormatting sqref="AJ461">
    <cfRule type="cellIs" dxfId="867" priority="1229" operator="equal">
      <formula>0</formula>
    </cfRule>
  </conditionalFormatting>
  <conditionalFormatting sqref="AJ458">
    <cfRule type="cellIs" dxfId="866" priority="1235" operator="equal">
      <formula>0</formula>
    </cfRule>
  </conditionalFormatting>
  <conditionalFormatting sqref="AJ457">
    <cfRule type="cellIs" dxfId="865" priority="1233" operator="equal">
      <formula>0</formula>
    </cfRule>
  </conditionalFormatting>
  <conditionalFormatting sqref="AJ460">
    <cfRule type="cellIs" dxfId="864" priority="1231" operator="equal">
      <formula>0</formula>
    </cfRule>
  </conditionalFormatting>
  <conditionalFormatting sqref="AJ463">
    <cfRule type="cellIs" dxfId="863" priority="1223" operator="equal">
      <formula>0</formula>
    </cfRule>
  </conditionalFormatting>
  <conditionalFormatting sqref="AJ464">
    <cfRule type="cellIs" dxfId="862" priority="1222" operator="equal">
      <formula>0</formula>
    </cfRule>
  </conditionalFormatting>
  <conditionalFormatting sqref="AJ462">
    <cfRule type="cellIs" dxfId="861" priority="1221" operator="equal">
      <formula>0</formula>
    </cfRule>
  </conditionalFormatting>
  <conditionalFormatting sqref="AJ465">
    <cfRule type="cellIs" dxfId="860" priority="1219" operator="equal">
      <formula>0</formula>
    </cfRule>
  </conditionalFormatting>
  <conditionalFormatting sqref="AJ466">
    <cfRule type="cellIs" dxfId="859" priority="1217" operator="equal">
      <formula>0</formula>
    </cfRule>
  </conditionalFormatting>
  <conditionalFormatting sqref="AJ468">
    <cfRule type="cellIs" dxfId="858" priority="1211" operator="equal">
      <formula>0</formula>
    </cfRule>
  </conditionalFormatting>
  <conditionalFormatting sqref="AJ469">
    <cfRule type="cellIs" dxfId="857" priority="1210" operator="equal">
      <formula>0</formula>
    </cfRule>
  </conditionalFormatting>
  <conditionalFormatting sqref="AJ467">
    <cfRule type="cellIs" dxfId="856" priority="1209" operator="equal">
      <formula>0</formula>
    </cfRule>
  </conditionalFormatting>
  <conditionalFormatting sqref="AJ470">
    <cfRule type="cellIs" dxfId="855" priority="1207" operator="equal">
      <formula>0</formula>
    </cfRule>
  </conditionalFormatting>
  <conditionalFormatting sqref="AJ471">
    <cfRule type="cellIs" dxfId="854" priority="1205" operator="equal">
      <formula>0</formula>
    </cfRule>
  </conditionalFormatting>
  <conditionalFormatting sqref="AM472:AM474">
    <cfRule type="notContainsBlanks" dxfId="853" priority="1197">
      <formula>LEN(TRIM(AM472))&gt;0</formula>
    </cfRule>
  </conditionalFormatting>
  <conditionalFormatting sqref="AK473:AK474">
    <cfRule type="notContainsBlanks" dxfId="852" priority="1196">
      <formula>LEN(TRIM(AK473))&gt;0</formula>
    </cfRule>
  </conditionalFormatting>
  <conditionalFormatting sqref="AM473">
    <cfRule type="notContainsBlanks" dxfId="851" priority="1195">
      <formula>LEN(TRIM(AM473))&gt;0</formula>
    </cfRule>
  </conditionalFormatting>
  <conditionalFormatting sqref="AJ473">
    <cfRule type="cellIs" dxfId="850" priority="1194" operator="equal">
      <formula>0</formula>
    </cfRule>
  </conditionalFormatting>
  <conditionalFormatting sqref="AJ474">
    <cfRule type="cellIs" dxfId="849" priority="1193" operator="equal">
      <formula>0</formula>
    </cfRule>
  </conditionalFormatting>
  <conditionalFormatting sqref="AJ472">
    <cfRule type="cellIs" dxfId="848" priority="1192" operator="equal">
      <formula>0</formula>
    </cfRule>
  </conditionalFormatting>
  <conditionalFormatting sqref="AM475">
    <cfRule type="notContainsBlanks" dxfId="847" priority="1189">
      <formula>LEN(TRIM(AM475))&gt;0</formula>
    </cfRule>
  </conditionalFormatting>
  <conditionalFormatting sqref="AK475">
    <cfRule type="notContainsBlanks" dxfId="846" priority="1188">
      <formula>LEN(TRIM(AK475))&gt;0</formula>
    </cfRule>
  </conditionalFormatting>
  <conditionalFormatting sqref="AJ475">
    <cfRule type="cellIs" dxfId="845" priority="1187" operator="equal">
      <formula>0</formula>
    </cfRule>
  </conditionalFormatting>
  <conditionalFormatting sqref="AM476">
    <cfRule type="notContainsBlanks" dxfId="844" priority="1184">
      <formula>LEN(TRIM(AM476))&gt;0</formula>
    </cfRule>
  </conditionalFormatting>
  <conditionalFormatting sqref="AK476">
    <cfRule type="notContainsBlanks" dxfId="843" priority="1183">
      <formula>LEN(TRIM(AK476))&gt;0</formula>
    </cfRule>
  </conditionalFormatting>
  <conditionalFormatting sqref="AJ476">
    <cfRule type="cellIs" dxfId="842" priority="1182" operator="equal">
      <formula>0</formula>
    </cfRule>
  </conditionalFormatting>
  <conditionalFormatting sqref="AM477:AM479">
    <cfRule type="notContainsBlanks" dxfId="841" priority="1174">
      <formula>LEN(TRIM(AM477))&gt;0</formula>
    </cfRule>
  </conditionalFormatting>
  <conditionalFormatting sqref="AK478:AK479">
    <cfRule type="notContainsBlanks" dxfId="840" priority="1173">
      <formula>LEN(TRIM(AK478))&gt;0</formula>
    </cfRule>
  </conditionalFormatting>
  <conditionalFormatting sqref="AM478">
    <cfRule type="notContainsBlanks" dxfId="839" priority="1172">
      <formula>LEN(TRIM(AM478))&gt;0</formula>
    </cfRule>
  </conditionalFormatting>
  <conditionalFormatting sqref="AM480">
    <cfRule type="notContainsBlanks" dxfId="838" priority="1170">
      <formula>LEN(TRIM(AM480))&gt;0</formula>
    </cfRule>
  </conditionalFormatting>
  <conditionalFormatting sqref="AK480">
    <cfRule type="notContainsBlanks" dxfId="837" priority="1169">
      <formula>LEN(TRIM(AK480))&gt;0</formula>
    </cfRule>
  </conditionalFormatting>
  <conditionalFormatting sqref="AM481">
    <cfRule type="notContainsBlanks" dxfId="836" priority="1167">
      <formula>LEN(TRIM(AM481))&gt;0</formula>
    </cfRule>
  </conditionalFormatting>
  <conditionalFormatting sqref="AK481">
    <cfRule type="notContainsBlanks" dxfId="835" priority="1166">
      <formula>LEN(TRIM(AK481))&gt;0</formula>
    </cfRule>
  </conditionalFormatting>
  <conditionalFormatting sqref="AM482:AM484">
    <cfRule type="notContainsBlanks" dxfId="834" priority="1163">
      <formula>LEN(TRIM(AM482))&gt;0</formula>
    </cfRule>
  </conditionalFormatting>
  <conditionalFormatting sqref="AK483:AK484">
    <cfRule type="notContainsBlanks" dxfId="833" priority="1162">
      <formula>LEN(TRIM(AK483))&gt;0</formula>
    </cfRule>
  </conditionalFormatting>
  <conditionalFormatting sqref="AM483">
    <cfRule type="notContainsBlanks" dxfId="832" priority="1161">
      <formula>LEN(TRIM(AM483))&gt;0</formula>
    </cfRule>
  </conditionalFormatting>
  <conditionalFormatting sqref="AM485">
    <cfRule type="notContainsBlanks" dxfId="831" priority="1159">
      <formula>LEN(TRIM(AM485))&gt;0</formula>
    </cfRule>
  </conditionalFormatting>
  <conditionalFormatting sqref="AK485">
    <cfRule type="notContainsBlanks" dxfId="830" priority="1158">
      <formula>LEN(TRIM(AK485))&gt;0</formula>
    </cfRule>
  </conditionalFormatting>
  <conditionalFormatting sqref="AM486">
    <cfRule type="notContainsBlanks" dxfId="829" priority="1156">
      <formula>LEN(TRIM(AM486))&gt;0</formula>
    </cfRule>
  </conditionalFormatting>
  <conditionalFormatting sqref="AK486">
    <cfRule type="notContainsBlanks" dxfId="828" priority="1155">
      <formula>LEN(TRIM(AK486))&gt;0</formula>
    </cfRule>
  </conditionalFormatting>
  <conditionalFormatting sqref="AM487:AM489">
    <cfRule type="notContainsBlanks" dxfId="827" priority="1152">
      <formula>LEN(TRIM(AM487))&gt;0</formula>
    </cfRule>
  </conditionalFormatting>
  <conditionalFormatting sqref="AK488:AK489">
    <cfRule type="notContainsBlanks" dxfId="826" priority="1151">
      <formula>LEN(TRIM(AK488))&gt;0</formula>
    </cfRule>
  </conditionalFormatting>
  <conditionalFormatting sqref="AM488">
    <cfRule type="notContainsBlanks" dxfId="825" priority="1150">
      <formula>LEN(TRIM(AM488))&gt;0</formula>
    </cfRule>
  </conditionalFormatting>
  <conditionalFormatting sqref="AM490">
    <cfRule type="notContainsBlanks" dxfId="824" priority="1148">
      <formula>LEN(TRIM(AM490))&gt;0</formula>
    </cfRule>
  </conditionalFormatting>
  <conditionalFormatting sqref="AK490">
    <cfRule type="notContainsBlanks" dxfId="823" priority="1147">
      <formula>LEN(TRIM(AK490))&gt;0</formula>
    </cfRule>
  </conditionalFormatting>
  <conditionalFormatting sqref="AJ479">
    <cfRule type="cellIs" dxfId="822" priority="1142" operator="equal">
      <formula>0</formula>
    </cfRule>
  </conditionalFormatting>
  <conditionalFormatting sqref="AM491">
    <cfRule type="notContainsBlanks" dxfId="821" priority="1145">
      <formula>LEN(TRIM(AM491))&gt;0</formula>
    </cfRule>
  </conditionalFormatting>
  <conditionalFormatting sqref="AK491">
    <cfRule type="notContainsBlanks" dxfId="820" priority="1144">
      <formula>LEN(TRIM(AK491))&gt;0</formula>
    </cfRule>
  </conditionalFormatting>
  <conditionalFormatting sqref="AJ481">
    <cfRule type="cellIs" dxfId="819" priority="1137" operator="equal">
      <formula>0</formula>
    </cfRule>
  </conditionalFormatting>
  <conditionalFormatting sqref="AJ478">
    <cfRule type="cellIs" dxfId="818" priority="1143" operator="equal">
      <formula>0</formula>
    </cfRule>
  </conditionalFormatting>
  <conditionalFormatting sqref="AJ477">
    <cfRule type="cellIs" dxfId="817" priority="1141" operator="equal">
      <formula>0</formula>
    </cfRule>
  </conditionalFormatting>
  <conditionalFormatting sqref="AJ480">
    <cfRule type="cellIs" dxfId="816" priority="1139" operator="equal">
      <formula>0</formula>
    </cfRule>
  </conditionalFormatting>
  <conditionalFormatting sqref="AJ483">
    <cfRule type="cellIs" dxfId="815" priority="1131" operator="equal">
      <formula>0</formula>
    </cfRule>
  </conditionalFormatting>
  <conditionalFormatting sqref="AJ484">
    <cfRule type="cellIs" dxfId="814" priority="1130" operator="equal">
      <formula>0</formula>
    </cfRule>
  </conditionalFormatting>
  <conditionalFormatting sqref="AJ482">
    <cfRule type="cellIs" dxfId="813" priority="1129" operator="equal">
      <formula>0</formula>
    </cfRule>
  </conditionalFormatting>
  <conditionalFormatting sqref="AJ485">
    <cfRule type="cellIs" dxfId="812" priority="1127" operator="equal">
      <formula>0</formula>
    </cfRule>
  </conditionalFormatting>
  <conditionalFormatting sqref="AJ486">
    <cfRule type="cellIs" dxfId="811" priority="1125" operator="equal">
      <formula>0</formula>
    </cfRule>
  </conditionalFormatting>
  <conditionalFormatting sqref="AJ488">
    <cfRule type="cellIs" dxfId="810" priority="1119" operator="equal">
      <formula>0</formula>
    </cfRule>
  </conditionalFormatting>
  <conditionalFormatting sqref="AJ489">
    <cfRule type="cellIs" dxfId="809" priority="1118" operator="equal">
      <formula>0</formula>
    </cfRule>
  </conditionalFormatting>
  <conditionalFormatting sqref="AJ487">
    <cfRule type="cellIs" dxfId="808" priority="1117" operator="equal">
      <formula>0</formula>
    </cfRule>
  </conditionalFormatting>
  <conditionalFormatting sqref="AJ490">
    <cfRule type="cellIs" dxfId="807" priority="1115" operator="equal">
      <formula>0</formula>
    </cfRule>
  </conditionalFormatting>
  <conditionalFormatting sqref="AJ491">
    <cfRule type="cellIs" dxfId="806" priority="1113" operator="equal">
      <formula>0</formula>
    </cfRule>
  </conditionalFormatting>
  <conditionalFormatting sqref="AM492:AM494">
    <cfRule type="notContainsBlanks" dxfId="805" priority="1105">
      <formula>LEN(TRIM(AM492))&gt;0</formula>
    </cfRule>
  </conditionalFormatting>
  <conditionalFormatting sqref="AK493:AK494">
    <cfRule type="notContainsBlanks" dxfId="804" priority="1104">
      <formula>LEN(TRIM(AK493))&gt;0</formula>
    </cfRule>
  </conditionalFormatting>
  <conditionalFormatting sqref="AM493">
    <cfRule type="notContainsBlanks" dxfId="803" priority="1103">
      <formula>LEN(TRIM(AM493))&gt;0</formula>
    </cfRule>
  </conditionalFormatting>
  <conditionalFormatting sqref="AJ493">
    <cfRule type="cellIs" dxfId="802" priority="1102" operator="equal">
      <formula>0</formula>
    </cfRule>
  </conditionalFormatting>
  <conditionalFormatting sqref="AJ494">
    <cfRule type="cellIs" dxfId="801" priority="1101" operator="equal">
      <formula>0</formula>
    </cfRule>
  </conditionalFormatting>
  <conditionalFormatting sqref="AJ492">
    <cfRule type="cellIs" dxfId="800" priority="1100" operator="equal">
      <formula>0</formula>
    </cfRule>
  </conditionalFormatting>
  <conditionalFormatting sqref="AM495">
    <cfRule type="notContainsBlanks" dxfId="799" priority="1097">
      <formula>LEN(TRIM(AM495))&gt;0</formula>
    </cfRule>
  </conditionalFormatting>
  <conditionalFormatting sqref="AK495">
    <cfRule type="notContainsBlanks" dxfId="798" priority="1096">
      <formula>LEN(TRIM(AK495))&gt;0</formula>
    </cfRule>
  </conditionalFormatting>
  <conditionalFormatting sqref="AJ495">
    <cfRule type="cellIs" dxfId="797" priority="1095" operator="equal">
      <formula>0</formula>
    </cfRule>
  </conditionalFormatting>
  <conditionalFormatting sqref="AM496">
    <cfRule type="notContainsBlanks" dxfId="796" priority="1092">
      <formula>LEN(TRIM(AM496))&gt;0</formula>
    </cfRule>
  </conditionalFormatting>
  <conditionalFormatting sqref="AK496">
    <cfRule type="notContainsBlanks" dxfId="795" priority="1091">
      <formula>LEN(TRIM(AK496))&gt;0</formula>
    </cfRule>
  </conditionalFormatting>
  <conditionalFormatting sqref="AJ496">
    <cfRule type="cellIs" dxfId="794" priority="1090" operator="equal">
      <formula>0</formula>
    </cfRule>
  </conditionalFormatting>
  <conditionalFormatting sqref="AM497:AM499">
    <cfRule type="notContainsBlanks" dxfId="793" priority="1082">
      <formula>LEN(TRIM(AM497))&gt;0</formula>
    </cfRule>
  </conditionalFormatting>
  <conditionalFormatting sqref="AK498:AK499">
    <cfRule type="notContainsBlanks" dxfId="792" priority="1081">
      <formula>LEN(TRIM(AK498))&gt;0</formula>
    </cfRule>
  </conditionalFormatting>
  <conditionalFormatting sqref="AM498">
    <cfRule type="notContainsBlanks" dxfId="791" priority="1080">
      <formula>LEN(TRIM(AM498))&gt;0</formula>
    </cfRule>
  </conditionalFormatting>
  <conditionalFormatting sqref="AM500">
    <cfRule type="notContainsBlanks" dxfId="790" priority="1078">
      <formula>LEN(TRIM(AM500))&gt;0</formula>
    </cfRule>
  </conditionalFormatting>
  <conditionalFormatting sqref="AK500">
    <cfRule type="notContainsBlanks" dxfId="789" priority="1077">
      <formula>LEN(TRIM(AK500))&gt;0</formula>
    </cfRule>
  </conditionalFormatting>
  <conditionalFormatting sqref="AM501">
    <cfRule type="notContainsBlanks" dxfId="788" priority="1075">
      <formula>LEN(TRIM(AM501))&gt;0</formula>
    </cfRule>
  </conditionalFormatting>
  <conditionalFormatting sqref="AK501">
    <cfRule type="notContainsBlanks" dxfId="787" priority="1074">
      <formula>LEN(TRIM(AK501))&gt;0</formula>
    </cfRule>
  </conditionalFormatting>
  <conditionalFormatting sqref="AM502:AM504">
    <cfRule type="notContainsBlanks" dxfId="786" priority="1071">
      <formula>LEN(TRIM(AM502))&gt;0</formula>
    </cfRule>
  </conditionalFormatting>
  <conditionalFormatting sqref="AK503:AK504">
    <cfRule type="notContainsBlanks" dxfId="785" priority="1070">
      <formula>LEN(TRIM(AK503))&gt;0</formula>
    </cfRule>
  </conditionalFormatting>
  <conditionalFormatting sqref="AM503">
    <cfRule type="notContainsBlanks" dxfId="784" priority="1069">
      <formula>LEN(TRIM(AM503))&gt;0</formula>
    </cfRule>
  </conditionalFormatting>
  <conditionalFormatting sqref="AM505">
    <cfRule type="notContainsBlanks" dxfId="783" priority="1067">
      <formula>LEN(TRIM(AM505))&gt;0</formula>
    </cfRule>
  </conditionalFormatting>
  <conditionalFormatting sqref="AK505">
    <cfRule type="notContainsBlanks" dxfId="782" priority="1066">
      <formula>LEN(TRIM(AK505))&gt;0</formula>
    </cfRule>
  </conditionalFormatting>
  <conditionalFormatting sqref="AM506">
    <cfRule type="notContainsBlanks" dxfId="781" priority="1064">
      <formula>LEN(TRIM(AM506))&gt;0</formula>
    </cfRule>
  </conditionalFormatting>
  <conditionalFormatting sqref="AK506">
    <cfRule type="notContainsBlanks" dxfId="780" priority="1063">
      <formula>LEN(TRIM(AK506))&gt;0</formula>
    </cfRule>
  </conditionalFormatting>
  <conditionalFormatting sqref="AM507:AM509">
    <cfRule type="notContainsBlanks" dxfId="779" priority="1060">
      <formula>LEN(TRIM(AM507))&gt;0</formula>
    </cfRule>
  </conditionalFormatting>
  <conditionalFormatting sqref="AK508:AK509">
    <cfRule type="notContainsBlanks" dxfId="778" priority="1059">
      <formula>LEN(TRIM(AK508))&gt;0</formula>
    </cfRule>
  </conditionalFormatting>
  <conditionalFormatting sqref="AM508">
    <cfRule type="notContainsBlanks" dxfId="777" priority="1058">
      <formula>LEN(TRIM(AM508))&gt;0</formula>
    </cfRule>
  </conditionalFormatting>
  <conditionalFormatting sqref="AM510">
    <cfRule type="notContainsBlanks" dxfId="776" priority="1056">
      <formula>LEN(TRIM(AM510))&gt;0</formula>
    </cfRule>
  </conditionalFormatting>
  <conditionalFormatting sqref="AK510">
    <cfRule type="notContainsBlanks" dxfId="775" priority="1055">
      <formula>LEN(TRIM(AK510))&gt;0</formula>
    </cfRule>
  </conditionalFormatting>
  <conditionalFormatting sqref="AJ499">
    <cfRule type="cellIs" dxfId="774" priority="1050" operator="equal">
      <formula>0</formula>
    </cfRule>
  </conditionalFormatting>
  <conditionalFormatting sqref="AM511">
    <cfRule type="notContainsBlanks" dxfId="773" priority="1053">
      <formula>LEN(TRIM(AM511))&gt;0</formula>
    </cfRule>
  </conditionalFormatting>
  <conditionalFormatting sqref="AK511">
    <cfRule type="notContainsBlanks" dxfId="772" priority="1052">
      <formula>LEN(TRIM(AK511))&gt;0</formula>
    </cfRule>
  </conditionalFormatting>
  <conditionalFormatting sqref="AJ501">
    <cfRule type="cellIs" dxfId="771" priority="1045" operator="equal">
      <formula>0</formula>
    </cfRule>
  </conditionalFormatting>
  <conditionalFormatting sqref="AJ498">
    <cfRule type="cellIs" dxfId="770" priority="1051" operator="equal">
      <formula>0</formula>
    </cfRule>
  </conditionalFormatting>
  <conditionalFormatting sqref="AJ497">
    <cfRule type="cellIs" dxfId="769" priority="1049" operator="equal">
      <formula>0</formula>
    </cfRule>
  </conditionalFormatting>
  <conditionalFormatting sqref="AJ500">
    <cfRule type="cellIs" dxfId="768" priority="1047" operator="equal">
      <formula>0</formula>
    </cfRule>
  </conditionalFormatting>
  <conditionalFormatting sqref="AJ503">
    <cfRule type="cellIs" dxfId="767" priority="1039" operator="equal">
      <formula>0</formula>
    </cfRule>
  </conditionalFormatting>
  <conditionalFormatting sqref="AJ504">
    <cfRule type="cellIs" dxfId="766" priority="1038" operator="equal">
      <formula>0</formula>
    </cfRule>
  </conditionalFormatting>
  <conditionalFormatting sqref="AJ502">
    <cfRule type="cellIs" dxfId="765" priority="1037" operator="equal">
      <formula>0</formula>
    </cfRule>
  </conditionalFormatting>
  <conditionalFormatting sqref="AJ505">
    <cfRule type="cellIs" dxfId="764" priority="1035" operator="equal">
      <formula>0</formula>
    </cfRule>
  </conditionalFormatting>
  <conditionalFormatting sqref="AJ506">
    <cfRule type="cellIs" dxfId="763" priority="1033" operator="equal">
      <formula>0</formula>
    </cfRule>
  </conditionalFormatting>
  <conditionalFormatting sqref="AJ508">
    <cfRule type="cellIs" dxfId="762" priority="1027" operator="equal">
      <formula>0</formula>
    </cfRule>
  </conditionalFormatting>
  <conditionalFormatting sqref="AJ509">
    <cfRule type="cellIs" dxfId="761" priority="1026" operator="equal">
      <formula>0</formula>
    </cfRule>
  </conditionalFormatting>
  <conditionalFormatting sqref="AJ507">
    <cfRule type="cellIs" dxfId="760" priority="1025" operator="equal">
      <formula>0</formula>
    </cfRule>
  </conditionalFormatting>
  <conditionalFormatting sqref="AJ510">
    <cfRule type="cellIs" dxfId="759" priority="1023" operator="equal">
      <formula>0</formula>
    </cfRule>
  </conditionalFormatting>
  <conditionalFormatting sqref="AJ511">
    <cfRule type="cellIs" dxfId="758" priority="1021" operator="equal">
      <formula>0</formula>
    </cfRule>
  </conditionalFormatting>
  <conditionalFormatting sqref="AK512">
    <cfRule type="notContainsBlanks" dxfId="757" priority="1013">
      <formula>LEN(TRIM(AK512))&gt;0</formula>
    </cfRule>
  </conditionalFormatting>
  <conditionalFormatting sqref="AM512:AM514">
    <cfRule type="notContainsBlanks" dxfId="756" priority="1012">
      <formula>LEN(TRIM(AM512))&gt;0</formula>
    </cfRule>
  </conditionalFormatting>
  <conditionalFormatting sqref="AK513:AK514">
    <cfRule type="notContainsBlanks" dxfId="755" priority="1011">
      <formula>LEN(TRIM(AK513))&gt;0</formula>
    </cfRule>
  </conditionalFormatting>
  <conditionalFormatting sqref="AM513">
    <cfRule type="notContainsBlanks" dxfId="754" priority="1010">
      <formula>LEN(TRIM(AM513))&gt;0</formula>
    </cfRule>
  </conditionalFormatting>
  <conditionalFormatting sqref="AM515">
    <cfRule type="notContainsBlanks" dxfId="753" priority="1008">
      <formula>LEN(TRIM(AM515))&gt;0</formula>
    </cfRule>
  </conditionalFormatting>
  <conditionalFormatting sqref="AK515">
    <cfRule type="notContainsBlanks" dxfId="752" priority="1007">
      <formula>LEN(TRIM(AK515))&gt;0</formula>
    </cfRule>
  </conditionalFormatting>
  <conditionalFormatting sqref="AM516">
    <cfRule type="notContainsBlanks" dxfId="751" priority="1005">
      <formula>LEN(TRIM(AM516))&gt;0</formula>
    </cfRule>
  </conditionalFormatting>
  <conditionalFormatting sqref="AK516">
    <cfRule type="notContainsBlanks" dxfId="750" priority="1004">
      <formula>LEN(TRIM(AK516))&gt;0</formula>
    </cfRule>
  </conditionalFormatting>
  <conditionalFormatting sqref="AJ513">
    <cfRule type="cellIs" dxfId="749" priority="1003" operator="equal">
      <formula>0</formula>
    </cfRule>
  </conditionalFormatting>
  <conditionalFormatting sqref="AJ514">
    <cfRule type="cellIs" dxfId="748" priority="1002" operator="equal">
      <formula>0</formula>
    </cfRule>
  </conditionalFormatting>
  <conditionalFormatting sqref="AJ512">
    <cfRule type="cellIs" dxfId="747" priority="1001" operator="equal">
      <formula>0</formula>
    </cfRule>
  </conditionalFormatting>
  <conditionalFormatting sqref="AJ515">
    <cfRule type="cellIs" dxfId="746" priority="999" operator="equal">
      <formula>0</formula>
    </cfRule>
  </conditionalFormatting>
  <conditionalFormatting sqref="AJ516">
    <cfRule type="cellIs" dxfId="745" priority="997" operator="equal">
      <formula>0</formula>
    </cfRule>
  </conditionalFormatting>
  <conditionalFormatting sqref="F512:AI515">
    <cfRule type="expression" dxfId="744" priority="993">
      <formula>F512=0</formula>
    </cfRule>
  </conditionalFormatting>
  <conditionalFormatting sqref="F516:AI516">
    <cfRule type="expression" dxfId="743" priority="935">
      <formula>F516=0</formula>
    </cfRule>
  </conditionalFormatting>
  <conditionalFormatting sqref="G492 I492 K492">
    <cfRule type="expression" dxfId="742" priority="881">
      <formula>G492=0</formula>
    </cfRule>
  </conditionalFormatting>
  <conditionalFormatting sqref="F492:K492">
    <cfRule type="cellIs" dxfId="741" priority="880" operator="equal">
      <formula>0</formula>
    </cfRule>
  </conditionalFormatting>
  <conditionalFormatting sqref="G496 I496 K496">
    <cfRule type="expression" dxfId="740" priority="879">
      <formula>G496=0</formula>
    </cfRule>
  </conditionalFormatting>
  <conditionalFormatting sqref="F496:K496">
    <cfRule type="cellIs" dxfId="739" priority="878" operator="equal">
      <formula>0</formula>
    </cfRule>
  </conditionalFormatting>
  <conditionalFormatting sqref="F452:AI452">
    <cfRule type="cellIs" dxfId="738" priority="848" operator="equal">
      <formula>0</formula>
    </cfRule>
  </conditionalFormatting>
  <conditionalFormatting sqref="AH384:AI384">
    <cfRule type="cellIs" dxfId="737" priority="811" operator="equal">
      <formula>0</formula>
    </cfRule>
  </conditionalFormatting>
  <conditionalFormatting sqref="AH384:AI384">
    <cfRule type="cellIs" dxfId="736" priority="810" operator="equal">
      <formula>0</formula>
    </cfRule>
  </conditionalFormatting>
  <conditionalFormatting sqref="AH384:AI384">
    <cfRule type="cellIs" dxfId="735" priority="809" operator="equal">
      <formula>0</formula>
    </cfRule>
  </conditionalFormatting>
  <conditionalFormatting sqref="AH427:AI427">
    <cfRule type="cellIs" dxfId="734" priority="808" operator="equal">
      <formula>0</formula>
    </cfRule>
  </conditionalFormatting>
  <conditionalFormatting sqref="AH384:AI384">
    <cfRule type="expression" dxfId="733" priority="807">
      <formula>AH384&lt;&gt;AH371</formula>
    </cfRule>
  </conditionalFormatting>
  <conditionalFormatting sqref="AH246:AI246">
    <cfRule type="cellIs" dxfId="732" priority="806" operator="equal">
      <formula>0</formula>
    </cfRule>
  </conditionalFormatting>
  <conditionalFormatting sqref="AH370:AI370">
    <cfRule type="cellIs" dxfId="731" priority="805" operator="equal">
      <formula>0</formula>
    </cfRule>
  </conditionalFormatting>
  <conditionalFormatting sqref="AH405:AI405">
    <cfRule type="cellIs" dxfId="730" priority="802" operator="equal">
      <formula>0</formula>
    </cfRule>
  </conditionalFormatting>
  <conditionalFormatting sqref="AH405:AI405">
    <cfRule type="cellIs" dxfId="729" priority="801" operator="equal">
      <formula>0</formula>
    </cfRule>
  </conditionalFormatting>
  <conditionalFormatting sqref="AH405:AI405">
    <cfRule type="cellIs" dxfId="728" priority="800" operator="equal">
      <formula>0</formula>
    </cfRule>
  </conditionalFormatting>
  <conditionalFormatting sqref="AH448:AI448">
    <cfRule type="expression" dxfId="727" priority="798">
      <formula>AH448&gt;AH446</formula>
    </cfRule>
  </conditionalFormatting>
  <conditionalFormatting sqref="AH372:AI377">
    <cfRule type="expression" dxfId="726" priority="796">
      <formula>AH357&gt;AH372</formula>
    </cfRule>
  </conditionalFormatting>
  <conditionalFormatting sqref="AH370:AI370">
    <cfRule type="expression" dxfId="725" priority="795">
      <formula>AH370&gt;AH371</formula>
    </cfRule>
  </conditionalFormatting>
  <conditionalFormatting sqref="AH384:AI384">
    <cfRule type="expression" dxfId="724" priority="794">
      <formula>AH384&lt;&gt;AH371</formula>
    </cfRule>
  </conditionalFormatting>
  <conditionalFormatting sqref="AH428:AI434">
    <cfRule type="expression" dxfId="723" priority="788">
      <formula>AH428&gt;AH$422</formula>
    </cfRule>
  </conditionalFormatting>
  <conditionalFormatting sqref="AH422:AI422">
    <cfRule type="expression" dxfId="722" priority="787">
      <formula>AH428&gt;AH$422</formula>
    </cfRule>
  </conditionalFormatting>
  <conditionalFormatting sqref="AH448:AI448">
    <cfRule type="expression" dxfId="721" priority="786">
      <formula>AH446&gt;AH448</formula>
    </cfRule>
  </conditionalFormatting>
  <conditionalFormatting sqref="AH18:AI18">
    <cfRule type="cellIs" dxfId="720" priority="785" operator="equal">
      <formula>0</formula>
    </cfRule>
  </conditionalFormatting>
  <conditionalFormatting sqref="AH14:AI14">
    <cfRule type="cellIs" dxfId="719" priority="784" operator="equal">
      <formula>0</formula>
    </cfRule>
  </conditionalFormatting>
  <conditionalFormatting sqref="AH14:AI14">
    <cfRule type="expression" dxfId="718" priority="783">
      <formula>AH58&gt;AH14</formula>
    </cfRule>
  </conditionalFormatting>
  <conditionalFormatting sqref="AH248:AI248">
    <cfRule type="cellIs" dxfId="717" priority="782" operator="equal">
      <formula>0</formula>
    </cfRule>
  </conditionalFormatting>
  <conditionalFormatting sqref="AH247:AI247">
    <cfRule type="expression" dxfId="716" priority="781">
      <formula>AH247&gt;AH246</formula>
    </cfRule>
  </conditionalFormatting>
  <conditionalFormatting sqref="AH246:AI246">
    <cfRule type="expression" dxfId="715" priority="780">
      <formula>AH247&gt;AH246</formula>
    </cfRule>
  </conditionalFormatting>
  <conditionalFormatting sqref="AH248:AI248">
    <cfRule type="expression" dxfId="714" priority="779">
      <formula>AH248&gt;AH247</formula>
    </cfRule>
  </conditionalFormatting>
  <conditionalFormatting sqref="AH247:AI247">
    <cfRule type="expression" dxfId="713" priority="778">
      <formula>AH248&gt;AH247</formula>
    </cfRule>
  </conditionalFormatting>
  <conditionalFormatting sqref="AH250:AI250">
    <cfRule type="expression" dxfId="712" priority="777">
      <formula>AH250&gt;AH249</formula>
    </cfRule>
  </conditionalFormatting>
  <conditionalFormatting sqref="AH249:AI249">
    <cfRule type="expression" dxfId="711" priority="776">
      <formula>AH250&gt;AH249</formula>
    </cfRule>
  </conditionalFormatting>
  <conditionalFormatting sqref="AH252:AI252">
    <cfRule type="expression" dxfId="710" priority="775">
      <formula>AH252&gt;AH251</formula>
    </cfRule>
  </conditionalFormatting>
  <conditionalFormatting sqref="AH251:AI251">
    <cfRule type="expression" dxfId="709" priority="774">
      <formula>AH252&gt;AH251</formula>
    </cfRule>
  </conditionalFormatting>
  <conditionalFormatting sqref="AH255:AI255">
    <cfRule type="cellIs" dxfId="708" priority="773" operator="equal">
      <formula>0</formula>
    </cfRule>
  </conditionalFormatting>
  <conditionalFormatting sqref="AH257:AI257">
    <cfRule type="cellIs" dxfId="707" priority="772" operator="equal">
      <formula>0</formula>
    </cfRule>
  </conditionalFormatting>
  <conditionalFormatting sqref="AH256:AI256">
    <cfRule type="expression" dxfId="706" priority="771">
      <formula>AH256&gt;AH255</formula>
    </cfRule>
  </conditionalFormatting>
  <conditionalFormatting sqref="AH255:AI255">
    <cfRule type="expression" dxfId="705" priority="770">
      <formula>AH256&gt;AH255</formula>
    </cfRule>
  </conditionalFormatting>
  <conditionalFormatting sqref="AH257:AI257">
    <cfRule type="expression" dxfId="704" priority="769">
      <formula>AH257&gt;AH256</formula>
    </cfRule>
  </conditionalFormatting>
  <conditionalFormatting sqref="AH256:AI256">
    <cfRule type="expression" dxfId="703" priority="768">
      <formula>AH257&gt;AH256</formula>
    </cfRule>
  </conditionalFormatting>
  <conditionalFormatting sqref="AH259:AI259">
    <cfRule type="expression" dxfId="702" priority="767">
      <formula>AH259&gt;AH258</formula>
    </cfRule>
  </conditionalFormatting>
  <conditionalFormatting sqref="AH258:AI258">
    <cfRule type="expression" dxfId="701" priority="766">
      <formula>AH259&gt;AH258</formula>
    </cfRule>
  </conditionalFormatting>
  <conditionalFormatting sqref="AH261:AI261">
    <cfRule type="expression" dxfId="700" priority="765">
      <formula>AH261&gt;AH260</formula>
    </cfRule>
  </conditionalFormatting>
  <conditionalFormatting sqref="AH260:AI260">
    <cfRule type="expression" dxfId="699" priority="764">
      <formula>AH261&gt;AH260</formula>
    </cfRule>
  </conditionalFormatting>
  <conditionalFormatting sqref="AH266:AI266">
    <cfRule type="cellIs" dxfId="698" priority="763" operator="equal">
      <formula>0</formula>
    </cfRule>
  </conditionalFormatting>
  <conditionalFormatting sqref="AH265:AI265">
    <cfRule type="expression" dxfId="697" priority="762">
      <formula>AH265&gt;AH264</formula>
    </cfRule>
  </conditionalFormatting>
  <conditionalFormatting sqref="AH264:AI264">
    <cfRule type="expression" dxfId="696" priority="761">
      <formula>AH265&gt;AH264</formula>
    </cfRule>
  </conditionalFormatting>
  <conditionalFormatting sqref="AH266:AI266">
    <cfRule type="expression" dxfId="695" priority="760">
      <formula>AH266&gt;AH265</formula>
    </cfRule>
  </conditionalFormatting>
  <conditionalFormatting sqref="AH265:AI265">
    <cfRule type="expression" dxfId="694" priority="759">
      <formula>AH266&gt;AH265</formula>
    </cfRule>
  </conditionalFormatting>
  <conditionalFormatting sqref="AH268:AI268">
    <cfRule type="expression" dxfId="693" priority="758">
      <formula>AH268&gt;AH267</formula>
    </cfRule>
  </conditionalFormatting>
  <conditionalFormatting sqref="AH267:AI267">
    <cfRule type="expression" dxfId="692" priority="757">
      <formula>AH268&gt;AH267</formula>
    </cfRule>
  </conditionalFormatting>
  <conditionalFormatting sqref="AH270:AI270">
    <cfRule type="expression" dxfId="691" priority="756">
      <formula>AH270&gt;AH269</formula>
    </cfRule>
  </conditionalFormatting>
  <conditionalFormatting sqref="AH269:AI269">
    <cfRule type="expression" dxfId="690" priority="755">
      <formula>AH270&gt;AH269</formula>
    </cfRule>
  </conditionalFormatting>
  <conditionalFormatting sqref="AH273:AI273">
    <cfRule type="cellIs" dxfId="689" priority="754" operator="equal">
      <formula>0</formula>
    </cfRule>
  </conditionalFormatting>
  <conditionalFormatting sqref="AH275:AI275">
    <cfRule type="cellIs" dxfId="688" priority="753" operator="equal">
      <formula>0</formula>
    </cfRule>
  </conditionalFormatting>
  <conditionalFormatting sqref="AH274:AI274">
    <cfRule type="expression" dxfId="687" priority="752">
      <formula>AH274&gt;AH273</formula>
    </cfRule>
  </conditionalFormatting>
  <conditionalFormatting sqref="AH273:AI273">
    <cfRule type="expression" dxfId="686" priority="751">
      <formula>AH274&gt;AH273</formula>
    </cfRule>
  </conditionalFormatting>
  <conditionalFormatting sqref="AH275:AI275">
    <cfRule type="expression" dxfId="685" priority="750">
      <formula>AH275&gt;AH274</formula>
    </cfRule>
  </conditionalFormatting>
  <conditionalFormatting sqref="AH274:AI274">
    <cfRule type="expression" dxfId="684" priority="749">
      <formula>AH275&gt;AH274</formula>
    </cfRule>
  </conditionalFormatting>
  <conditionalFormatting sqref="AH277:AI277">
    <cfRule type="expression" dxfId="683" priority="748">
      <formula>AH277&gt;AH276</formula>
    </cfRule>
  </conditionalFormatting>
  <conditionalFormatting sqref="AH276:AI276">
    <cfRule type="expression" dxfId="682" priority="747">
      <formula>AH277&gt;AH276</formula>
    </cfRule>
  </conditionalFormatting>
  <conditionalFormatting sqref="AH279:AI279">
    <cfRule type="expression" dxfId="681" priority="746">
      <formula>AH279&gt;AH278</formula>
    </cfRule>
  </conditionalFormatting>
  <conditionalFormatting sqref="AH278:AI278">
    <cfRule type="expression" dxfId="680" priority="745">
      <formula>AH279&gt;AH278</formula>
    </cfRule>
  </conditionalFormatting>
  <conditionalFormatting sqref="AM72:AM73">
    <cfRule type="notContainsBlanks" dxfId="679" priority="742">
      <formula>LEN(TRIM(AM72))&gt;0</formula>
    </cfRule>
  </conditionalFormatting>
  <conditionalFormatting sqref="AL72">
    <cfRule type="notContainsBlanks" dxfId="678" priority="744">
      <formula>LEN(TRIM(AL72))&gt;0</formula>
    </cfRule>
  </conditionalFormatting>
  <conditionalFormatting sqref="AJ72:AJ73">
    <cfRule type="cellIs" dxfId="677" priority="741" operator="equal">
      <formula>0</formula>
    </cfRule>
  </conditionalFormatting>
  <conditionalFormatting sqref="AM76">
    <cfRule type="notContainsBlanks" dxfId="676" priority="739">
      <formula>LEN(TRIM(AM76))&gt;0</formula>
    </cfRule>
  </conditionalFormatting>
  <conditionalFormatting sqref="AM76:AM77">
    <cfRule type="notContainsBlanks" dxfId="675" priority="738">
      <formula>LEN(TRIM(AM76))&gt;0</formula>
    </cfRule>
  </conditionalFormatting>
  <conditionalFormatting sqref="AJ76:AJ77">
    <cfRule type="cellIs" dxfId="674" priority="737" operator="equal">
      <formula>0</formula>
    </cfRule>
  </conditionalFormatting>
  <conditionalFormatting sqref="L72:AA72">
    <cfRule type="expression" dxfId="673" priority="736">
      <formula>L72&gt;L70</formula>
    </cfRule>
  </conditionalFormatting>
  <conditionalFormatting sqref="L70:AA70">
    <cfRule type="expression" dxfId="672" priority="735">
      <formula>L72&gt;L70</formula>
    </cfRule>
  </conditionalFormatting>
  <conditionalFormatting sqref="L71:AA71">
    <cfRule type="expression" dxfId="671" priority="734">
      <formula>L73&gt;L71</formula>
    </cfRule>
  </conditionalFormatting>
  <conditionalFormatting sqref="L73:AA73">
    <cfRule type="expression" dxfId="670" priority="733">
      <formula>L73&gt;L71</formula>
    </cfRule>
  </conditionalFormatting>
  <conditionalFormatting sqref="L76:AA76">
    <cfRule type="expression" dxfId="669" priority="732">
      <formula>L76&gt;L74</formula>
    </cfRule>
  </conditionalFormatting>
  <conditionalFormatting sqref="L74:AA74">
    <cfRule type="expression" dxfId="668" priority="731">
      <formula>L76&gt;L74</formula>
    </cfRule>
  </conditionalFormatting>
  <conditionalFormatting sqref="L75:AA75">
    <cfRule type="expression" dxfId="667" priority="730">
      <formula>L77&gt;L75</formula>
    </cfRule>
  </conditionalFormatting>
  <conditionalFormatting sqref="L77:AA77">
    <cfRule type="expression" dxfId="666" priority="729">
      <formula>L77&gt;L75</formula>
    </cfRule>
  </conditionalFormatting>
  <conditionalFormatting sqref="L80:AA80">
    <cfRule type="expression" dxfId="665" priority="728">
      <formula>L80&gt;L78</formula>
    </cfRule>
  </conditionalFormatting>
  <conditionalFormatting sqref="L78:AA78">
    <cfRule type="expression" dxfId="664" priority="727">
      <formula>L80&gt;L78</formula>
    </cfRule>
  </conditionalFormatting>
  <conditionalFormatting sqref="L79:AA79">
    <cfRule type="expression" dxfId="663" priority="726">
      <formula>L81&gt;L79</formula>
    </cfRule>
  </conditionalFormatting>
  <conditionalFormatting sqref="L81:AA81">
    <cfRule type="expression" dxfId="662" priority="725">
      <formula>L81&gt;L79</formula>
    </cfRule>
  </conditionalFormatting>
  <conditionalFormatting sqref="M84">
    <cfRule type="expression" dxfId="661" priority="724">
      <formula>M84&gt;M82</formula>
    </cfRule>
  </conditionalFormatting>
  <conditionalFormatting sqref="M82">
    <cfRule type="expression" dxfId="660" priority="723">
      <formula>M84&gt;M82</formula>
    </cfRule>
  </conditionalFormatting>
  <conditionalFormatting sqref="M83">
    <cfRule type="expression" dxfId="659" priority="722">
      <formula>M85&gt;M83</formula>
    </cfRule>
  </conditionalFormatting>
  <conditionalFormatting sqref="M85">
    <cfRule type="expression" dxfId="658" priority="721">
      <formula>M85&gt;M83</formula>
    </cfRule>
  </conditionalFormatting>
  <conditionalFormatting sqref="O84">
    <cfRule type="expression" dxfId="657" priority="720">
      <formula>O84&gt;O82</formula>
    </cfRule>
  </conditionalFormatting>
  <conditionalFormatting sqref="O82">
    <cfRule type="expression" dxfId="656" priority="719">
      <formula>O84&gt;O82</formula>
    </cfRule>
  </conditionalFormatting>
  <conditionalFormatting sqref="O83">
    <cfRule type="expression" dxfId="655" priority="718">
      <formula>O85&gt;O83</formula>
    </cfRule>
  </conditionalFormatting>
  <conditionalFormatting sqref="O85">
    <cfRule type="expression" dxfId="654" priority="717">
      <formula>O85&gt;O83</formula>
    </cfRule>
  </conditionalFormatting>
  <conditionalFormatting sqref="Q84">
    <cfRule type="expression" dxfId="653" priority="716">
      <formula>Q84&gt;Q82</formula>
    </cfRule>
  </conditionalFormatting>
  <conditionalFormatting sqref="Q82">
    <cfRule type="expression" dxfId="652" priority="715">
      <formula>Q84&gt;Q82</formula>
    </cfRule>
  </conditionalFormatting>
  <conditionalFormatting sqref="Q83">
    <cfRule type="expression" dxfId="651" priority="714">
      <formula>Q85&gt;Q83</formula>
    </cfRule>
  </conditionalFormatting>
  <conditionalFormatting sqref="Q85">
    <cfRule type="expression" dxfId="650" priority="713">
      <formula>Q85&gt;Q83</formula>
    </cfRule>
  </conditionalFormatting>
  <conditionalFormatting sqref="S84">
    <cfRule type="expression" dxfId="649" priority="712">
      <formula>S84&gt;S82</formula>
    </cfRule>
  </conditionalFormatting>
  <conditionalFormatting sqref="S82">
    <cfRule type="expression" dxfId="648" priority="711">
      <formula>S84&gt;S82</formula>
    </cfRule>
  </conditionalFormatting>
  <conditionalFormatting sqref="S83">
    <cfRule type="expression" dxfId="647" priority="710">
      <formula>S85&gt;S83</formula>
    </cfRule>
  </conditionalFormatting>
  <conditionalFormatting sqref="S85">
    <cfRule type="expression" dxfId="646" priority="709">
      <formula>S85&gt;S83</formula>
    </cfRule>
  </conditionalFormatting>
  <conditionalFormatting sqref="U84">
    <cfRule type="expression" dxfId="645" priority="708">
      <formula>U84&gt;U82</formula>
    </cfRule>
  </conditionalFormatting>
  <conditionalFormatting sqref="U82">
    <cfRule type="expression" dxfId="644" priority="707">
      <formula>U84&gt;U82</formula>
    </cfRule>
  </conditionalFormatting>
  <conditionalFormatting sqref="U83">
    <cfRule type="expression" dxfId="643" priority="706">
      <formula>U85&gt;U83</formula>
    </cfRule>
  </conditionalFormatting>
  <conditionalFormatting sqref="U85">
    <cfRule type="expression" dxfId="642" priority="705">
      <formula>U85&gt;U83</formula>
    </cfRule>
  </conditionalFormatting>
  <conditionalFormatting sqref="W84">
    <cfRule type="expression" dxfId="641" priority="704">
      <formula>W84&gt;W82</formula>
    </cfRule>
  </conditionalFormatting>
  <conditionalFormatting sqref="W82">
    <cfRule type="expression" dxfId="640" priority="703">
      <formula>W84&gt;W82</formula>
    </cfRule>
  </conditionalFormatting>
  <conditionalFormatting sqref="W83">
    <cfRule type="expression" dxfId="639" priority="702">
      <formula>W85&gt;W83</formula>
    </cfRule>
  </conditionalFormatting>
  <conditionalFormatting sqref="W85">
    <cfRule type="expression" dxfId="638" priority="701">
      <formula>W85&gt;W83</formula>
    </cfRule>
  </conditionalFormatting>
  <conditionalFormatting sqref="Y84">
    <cfRule type="expression" dxfId="637" priority="700">
      <formula>Y84&gt;Y82</formula>
    </cfRule>
  </conditionalFormatting>
  <conditionalFormatting sqref="Y82">
    <cfRule type="expression" dxfId="636" priority="699">
      <formula>Y84&gt;Y82</formula>
    </cfRule>
  </conditionalFormatting>
  <conditionalFormatting sqref="Y83">
    <cfRule type="expression" dxfId="635" priority="698">
      <formula>Y85&gt;Y83</formula>
    </cfRule>
  </conditionalFormatting>
  <conditionalFormatting sqref="Y85">
    <cfRule type="expression" dxfId="634" priority="697">
      <formula>Y85&gt;Y83</formula>
    </cfRule>
  </conditionalFormatting>
  <conditionalFormatting sqref="AA84">
    <cfRule type="expression" dxfId="633" priority="696">
      <formula>AA84&gt;AA82</formula>
    </cfRule>
  </conditionalFormatting>
  <conditionalFormatting sqref="AA82">
    <cfRule type="expression" dxfId="632" priority="695">
      <formula>AA84&gt;AA82</formula>
    </cfRule>
  </conditionalFormatting>
  <conditionalFormatting sqref="AA83">
    <cfRule type="expression" dxfId="631" priority="694">
      <formula>AA85&gt;AA83</formula>
    </cfRule>
  </conditionalFormatting>
  <conditionalFormatting sqref="AA85">
    <cfRule type="expression" dxfId="630" priority="693">
      <formula>AA85&gt;AA83</formula>
    </cfRule>
  </conditionalFormatting>
  <conditionalFormatting sqref="M88">
    <cfRule type="expression" dxfId="629" priority="692">
      <formula>M88&gt;M86</formula>
    </cfRule>
  </conditionalFormatting>
  <conditionalFormatting sqref="M86">
    <cfRule type="expression" dxfId="628" priority="691">
      <formula>M88&gt;M86</formula>
    </cfRule>
  </conditionalFormatting>
  <conditionalFormatting sqref="M87">
    <cfRule type="expression" dxfId="627" priority="690">
      <formula>M89&gt;M87</formula>
    </cfRule>
  </conditionalFormatting>
  <conditionalFormatting sqref="M89">
    <cfRule type="expression" dxfId="626" priority="689">
      <formula>M89&gt;M87</formula>
    </cfRule>
  </conditionalFormatting>
  <conditionalFormatting sqref="O88">
    <cfRule type="expression" dxfId="625" priority="688">
      <formula>O88&gt;O86</formula>
    </cfRule>
  </conditionalFormatting>
  <conditionalFormatting sqref="O86">
    <cfRule type="expression" dxfId="624" priority="687">
      <formula>O88&gt;O86</formula>
    </cfRule>
  </conditionalFormatting>
  <conditionalFormatting sqref="O87">
    <cfRule type="expression" dxfId="623" priority="686">
      <formula>O89&gt;O87</formula>
    </cfRule>
  </conditionalFormatting>
  <conditionalFormatting sqref="O89">
    <cfRule type="expression" dxfId="622" priority="685">
      <formula>O89&gt;O87</formula>
    </cfRule>
  </conditionalFormatting>
  <conditionalFormatting sqref="Q88">
    <cfRule type="expression" dxfId="621" priority="684">
      <formula>Q88&gt;Q86</formula>
    </cfRule>
  </conditionalFormatting>
  <conditionalFormatting sqref="Q86">
    <cfRule type="expression" dxfId="620" priority="683">
      <formula>Q88&gt;Q86</formula>
    </cfRule>
  </conditionalFormatting>
  <conditionalFormatting sqref="Q87">
    <cfRule type="expression" dxfId="619" priority="682">
      <formula>Q89&gt;Q87</formula>
    </cfRule>
  </conditionalFormatting>
  <conditionalFormatting sqref="Q89">
    <cfRule type="expression" dxfId="618" priority="681">
      <formula>Q89&gt;Q87</formula>
    </cfRule>
  </conditionalFormatting>
  <conditionalFormatting sqref="S88">
    <cfRule type="expression" dxfId="617" priority="680">
      <formula>S88&gt;S86</formula>
    </cfRule>
  </conditionalFormatting>
  <conditionalFormatting sqref="S86">
    <cfRule type="expression" dxfId="616" priority="679">
      <formula>S88&gt;S86</formula>
    </cfRule>
  </conditionalFormatting>
  <conditionalFormatting sqref="S87">
    <cfRule type="expression" dxfId="615" priority="678">
      <formula>S89&gt;S87</formula>
    </cfRule>
  </conditionalFormatting>
  <conditionalFormatting sqref="S89">
    <cfRule type="expression" dxfId="614" priority="677">
      <formula>S89&gt;S87</formula>
    </cfRule>
  </conditionalFormatting>
  <conditionalFormatting sqref="U88">
    <cfRule type="expression" dxfId="613" priority="676">
      <formula>U88&gt;U86</formula>
    </cfRule>
  </conditionalFormatting>
  <conditionalFormatting sqref="U86">
    <cfRule type="expression" dxfId="612" priority="675">
      <formula>U88&gt;U86</formula>
    </cfRule>
  </conditionalFormatting>
  <conditionalFormatting sqref="U87">
    <cfRule type="expression" dxfId="611" priority="674">
      <formula>U89&gt;U87</formula>
    </cfRule>
  </conditionalFormatting>
  <conditionalFormatting sqref="U89">
    <cfRule type="expression" dxfId="610" priority="673">
      <formula>U89&gt;U87</formula>
    </cfRule>
  </conditionalFormatting>
  <conditionalFormatting sqref="W88">
    <cfRule type="expression" dxfId="609" priority="672">
      <formula>W88&gt;W86</formula>
    </cfRule>
  </conditionalFormatting>
  <conditionalFormatting sqref="W86">
    <cfRule type="expression" dxfId="608" priority="671">
      <formula>W88&gt;W86</formula>
    </cfRule>
  </conditionalFormatting>
  <conditionalFormatting sqref="W87">
    <cfRule type="expression" dxfId="607" priority="670">
      <formula>W89&gt;W87</formula>
    </cfRule>
  </conditionalFormatting>
  <conditionalFormatting sqref="W89">
    <cfRule type="expression" dxfId="606" priority="669">
      <formula>W89&gt;W87</formula>
    </cfRule>
  </conditionalFormatting>
  <conditionalFormatting sqref="Y88">
    <cfRule type="expression" dxfId="605" priority="668">
      <formula>Y88&gt;Y86</formula>
    </cfRule>
  </conditionalFormatting>
  <conditionalFormatting sqref="Y86">
    <cfRule type="expression" dxfId="604" priority="667">
      <formula>Y88&gt;Y86</formula>
    </cfRule>
  </conditionalFormatting>
  <conditionalFormatting sqref="Y87">
    <cfRule type="expression" dxfId="603" priority="666">
      <formula>Y89&gt;Y87</formula>
    </cfRule>
  </conditionalFormatting>
  <conditionalFormatting sqref="Y89">
    <cfRule type="expression" dxfId="602" priority="665">
      <formula>Y89&gt;Y87</formula>
    </cfRule>
  </conditionalFormatting>
  <conditionalFormatting sqref="AA88">
    <cfRule type="expression" dxfId="601" priority="664">
      <formula>AA88&gt;AA86</formula>
    </cfRule>
  </conditionalFormatting>
  <conditionalFormatting sqref="AA86">
    <cfRule type="expression" dxfId="600" priority="663">
      <formula>AA88&gt;AA86</formula>
    </cfRule>
  </conditionalFormatting>
  <conditionalFormatting sqref="AA87">
    <cfRule type="expression" dxfId="599" priority="662">
      <formula>AA89&gt;AA87</formula>
    </cfRule>
  </conditionalFormatting>
  <conditionalFormatting sqref="AA89">
    <cfRule type="expression" dxfId="598" priority="661">
      <formula>AA89&gt;AA87</formula>
    </cfRule>
  </conditionalFormatting>
  <conditionalFormatting sqref="L92:AA92">
    <cfRule type="expression" dxfId="597" priority="660">
      <formula>L92&gt;L90</formula>
    </cfRule>
  </conditionalFormatting>
  <conditionalFormatting sqref="L90:AA90">
    <cfRule type="expression" dxfId="596" priority="659">
      <formula>L92&gt;L90</formula>
    </cfRule>
  </conditionalFormatting>
  <conditionalFormatting sqref="L91:AA91">
    <cfRule type="expression" dxfId="595" priority="658">
      <formula>L93&gt;L91</formula>
    </cfRule>
  </conditionalFormatting>
  <conditionalFormatting sqref="L93:AA93">
    <cfRule type="expression" dxfId="594" priority="657">
      <formula>L93&gt;L91</formula>
    </cfRule>
  </conditionalFormatting>
  <conditionalFormatting sqref="L96:AA96">
    <cfRule type="expression" dxfId="593" priority="656">
      <formula>L96&gt;L94</formula>
    </cfRule>
  </conditionalFormatting>
  <conditionalFormatting sqref="L94:AA94">
    <cfRule type="expression" dxfId="592" priority="655">
      <formula>L96&gt;L94</formula>
    </cfRule>
  </conditionalFormatting>
  <conditionalFormatting sqref="L95:AA95">
    <cfRule type="expression" dxfId="591" priority="654">
      <formula>L97&gt;L95</formula>
    </cfRule>
  </conditionalFormatting>
  <conditionalFormatting sqref="L97:AA97">
    <cfRule type="expression" dxfId="590" priority="653">
      <formula>L97&gt;L95</formula>
    </cfRule>
  </conditionalFormatting>
  <conditionalFormatting sqref="L100:AA100">
    <cfRule type="expression" dxfId="589" priority="652">
      <formula>L100&gt;L98</formula>
    </cfRule>
  </conditionalFormatting>
  <conditionalFormatting sqref="L98:AA98">
    <cfRule type="expression" dxfId="588" priority="651">
      <formula>L100&gt;L98</formula>
    </cfRule>
  </conditionalFormatting>
  <conditionalFormatting sqref="L99:AA99">
    <cfRule type="expression" dxfId="587" priority="650">
      <formula>L101&gt;L99</formula>
    </cfRule>
  </conditionalFormatting>
  <conditionalFormatting sqref="L101:AA101">
    <cfRule type="expression" dxfId="586" priority="649">
      <formula>L101&gt;L99</formula>
    </cfRule>
  </conditionalFormatting>
  <conditionalFormatting sqref="L104:AA104">
    <cfRule type="expression" dxfId="585" priority="648">
      <formula>L104&gt;L102</formula>
    </cfRule>
  </conditionalFormatting>
  <conditionalFormatting sqref="L102:AA102">
    <cfRule type="expression" dxfId="584" priority="647">
      <formula>L104&gt;L102</formula>
    </cfRule>
  </conditionalFormatting>
  <conditionalFormatting sqref="L103:AA103">
    <cfRule type="expression" dxfId="583" priority="646">
      <formula>L105&gt;L103</formula>
    </cfRule>
  </conditionalFormatting>
  <conditionalFormatting sqref="L105:AA105">
    <cfRule type="expression" dxfId="582" priority="645">
      <formula>L105&gt;L103</formula>
    </cfRule>
  </conditionalFormatting>
  <conditionalFormatting sqref="L108:AA108">
    <cfRule type="expression" dxfId="581" priority="644">
      <formula>L108&gt;L106</formula>
    </cfRule>
  </conditionalFormatting>
  <conditionalFormatting sqref="L106:AA106">
    <cfRule type="expression" dxfId="580" priority="643">
      <formula>L108&gt;L106</formula>
    </cfRule>
  </conditionalFormatting>
  <conditionalFormatting sqref="L107:AA107">
    <cfRule type="expression" dxfId="579" priority="642">
      <formula>L109&gt;L107</formula>
    </cfRule>
  </conditionalFormatting>
  <conditionalFormatting sqref="L109:AA109">
    <cfRule type="expression" dxfId="578" priority="641">
      <formula>L109&gt;L107</formula>
    </cfRule>
  </conditionalFormatting>
  <conditionalFormatting sqref="AK72:AK73">
    <cfRule type="notContainsBlanks" dxfId="577" priority="640">
      <formula>LEN(TRIM(AK72))&gt;0</formula>
    </cfRule>
  </conditionalFormatting>
  <conditionalFormatting sqref="AK74:AK75">
    <cfRule type="notContainsBlanks" dxfId="576" priority="639">
      <formula>LEN(TRIM(AK74))&gt;0</formula>
    </cfRule>
  </conditionalFormatting>
  <conditionalFormatting sqref="AK76:AK77">
    <cfRule type="notContainsBlanks" dxfId="575" priority="638">
      <formula>LEN(TRIM(AK76))&gt;0</formula>
    </cfRule>
  </conditionalFormatting>
  <conditionalFormatting sqref="AK78:AK79">
    <cfRule type="notContainsBlanks" dxfId="574" priority="637">
      <formula>LEN(TRIM(AK78))&gt;0</formula>
    </cfRule>
  </conditionalFormatting>
  <conditionalFormatting sqref="AK82:AK83">
    <cfRule type="notContainsBlanks" dxfId="573" priority="636">
      <formula>LEN(TRIM(AK82))&gt;0</formula>
    </cfRule>
  </conditionalFormatting>
  <conditionalFormatting sqref="AK86:AK87">
    <cfRule type="notContainsBlanks" dxfId="572" priority="635">
      <formula>LEN(TRIM(AK86))&gt;0</formula>
    </cfRule>
  </conditionalFormatting>
  <conditionalFormatting sqref="AK90:AK91">
    <cfRule type="notContainsBlanks" dxfId="571" priority="634">
      <formula>LEN(TRIM(AK90))&gt;0</formula>
    </cfRule>
  </conditionalFormatting>
  <conditionalFormatting sqref="AK94:AK95">
    <cfRule type="notContainsBlanks" dxfId="570" priority="633">
      <formula>LEN(TRIM(AK94))&gt;0</formula>
    </cfRule>
  </conditionalFormatting>
  <conditionalFormatting sqref="AK98:AK99">
    <cfRule type="notContainsBlanks" dxfId="569" priority="632">
      <formula>LEN(TRIM(AK98))&gt;0</formula>
    </cfRule>
  </conditionalFormatting>
  <conditionalFormatting sqref="AK102:AK103">
    <cfRule type="notContainsBlanks" dxfId="568" priority="631">
      <formula>LEN(TRIM(AK102))&gt;0</formula>
    </cfRule>
  </conditionalFormatting>
  <conditionalFormatting sqref="AK106:AK107">
    <cfRule type="notContainsBlanks" dxfId="567" priority="630">
      <formula>LEN(TRIM(AK106))&gt;0</formula>
    </cfRule>
  </conditionalFormatting>
  <conditionalFormatting sqref="M163 O163 Q163 S163 U163 W163 Y163 AA163">
    <cfRule type="expression" dxfId="566" priority="3443">
      <formula>(M160+M161+M163)&gt;M153</formula>
    </cfRule>
  </conditionalFormatting>
  <conditionalFormatting sqref="F507">
    <cfRule type="cellIs" dxfId="565" priority="629" operator="equal">
      <formula>0</formula>
    </cfRule>
  </conditionalFormatting>
  <conditionalFormatting sqref="F502 L502 N502 P502 R502 T502 V502 X502 Z502 J502 H502 AB502 AD502 AF502 AH502">
    <cfRule type="cellIs" dxfId="564" priority="628" operator="equal">
      <formula>0</formula>
    </cfRule>
  </conditionalFormatting>
  <conditionalFormatting sqref="AJ132">
    <cfRule type="cellIs" dxfId="563" priority="627" operator="equal">
      <formula>0</formula>
    </cfRule>
  </conditionalFormatting>
  <conditionalFormatting sqref="J132:AA132">
    <cfRule type="cellIs" dxfId="562" priority="626" operator="equal">
      <formula>0</formula>
    </cfRule>
  </conditionalFormatting>
  <conditionalFormatting sqref="F453:Y453 AB453:AI453">
    <cfRule type="expression" dxfId="561" priority="619">
      <formula>F452&lt;&gt;F453+F454+F455+F456</formula>
    </cfRule>
  </conditionalFormatting>
  <conditionalFormatting sqref="F452:AI452">
    <cfRule type="expression" dxfId="560" priority="618">
      <formula>F452&lt;&gt;F453+F454+F455+F456</formula>
    </cfRule>
  </conditionalFormatting>
  <conditionalFormatting sqref="F454:Y454 AB454:AI454">
    <cfRule type="expression" dxfId="559" priority="617">
      <formula>F452&lt;&gt;F453+F454+F455+F456</formula>
    </cfRule>
  </conditionalFormatting>
  <conditionalFormatting sqref="F455:Y455 AB455:AI455">
    <cfRule type="expression" dxfId="558" priority="616">
      <formula>F452&lt;&gt;F453+F454+F455+F456</formula>
    </cfRule>
  </conditionalFormatting>
  <conditionalFormatting sqref="F456:Y456 AB456:AI456">
    <cfRule type="expression" dxfId="557" priority="615">
      <formula>F452&lt;&gt;F453+F454+F455+F456</formula>
    </cfRule>
  </conditionalFormatting>
  <conditionalFormatting sqref="F457:AI457">
    <cfRule type="cellIs" dxfId="556" priority="614" operator="equal">
      <formula>0</formula>
    </cfRule>
  </conditionalFormatting>
  <conditionalFormatting sqref="F458:Y458 AB458:AI458">
    <cfRule type="expression" dxfId="555" priority="613">
      <formula>F457&lt;&gt;F458+F459+F460+F461</formula>
    </cfRule>
  </conditionalFormatting>
  <conditionalFormatting sqref="F457:AI457">
    <cfRule type="expression" dxfId="554" priority="612">
      <formula>F457&lt;&gt;F458+F459+F460+F461</formula>
    </cfRule>
  </conditionalFormatting>
  <conditionalFormatting sqref="F459:Y459 AB459:AI459">
    <cfRule type="expression" dxfId="553" priority="611">
      <formula>F457&lt;&gt;F458+F459+F460+F461</formula>
    </cfRule>
  </conditionalFormatting>
  <conditionalFormatting sqref="F460:Y460 AB460:AI460">
    <cfRule type="expression" dxfId="552" priority="610">
      <formula>F457&lt;&gt;F458+F459+F460+F461</formula>
    </cfRule>
  </conditionalFormatting>
  <conditionalFormatting sqref="F461:Y461 AB461:AI461">
    <cfRule type="expression" dxfId="551" priority="609">
      <formula>F457&lt;&gt;F458+F459+F460+F461</formula>
    </cfRule>
  </conditionalFormatting>
  <conditionalFormatting sqref="F462:AI462">
    <cfRule type="cellIs" dxfId="550" priority="608" operator="equal">
      <formula>0</formula>
    </cfRule>
  </conditionalFormatting>
  <conditionalFormatting sqref="F463:Y463 AB463:AI463">
    <cfRule type="expression" dxfId="549" priority="607">
      <formula>F462&lt;&gt;F463+F464+F465+F466</formula>
    </cfRule>
  </conditionalFormatting>
  <conditionalFormatting sqref="F462:AI462">
    <cfRule type="expression" dxfId="548" priority="606">
      <formula>F462&lt;&gt;F463+F464+F465+F466</formula>
    </cfRule>
  </conditionalFormatting>
  <conditionalFormatting sqref="F464:Y464 AB464:AI464">
    <cfRule type="expression" dxfId="547" priority="605">
      <formula>F462&lt;&gt;F463+F464+F465+F466</formula>
    </cfRule>
  </conditionalFormatting>
  <conditionalFormatting sqref="F465:Y465 AB465:AI465">
    <cfRule type="expression" dxfId="546" priority="604">
      <formula>F462&lt;&gt;F463+F464+F465+F466</formula>
    </cfRule>
  </conditionalFormatting>
  <conditionalFormatting sqref="F466:Y466 AB466:AI466">
    <cfRule type="expression" dxfId="545" priority="603">
      <formula>F462&lt;&gt;F463+F464+F465+F466</formula>
    </cfRule>
  </conditionalFormatting>
  <conditionalFormatting sqref="F467:AI467">
    <cfRule type="cellIs" dxfId="544" priority="596" operator="equal">
      <formula>0</formula>
    </cfRule>
  </conditionalFormatting>
  <conditionalFormatting sqref="F468:Y468 AB468:AI468">
    <cfRule type="expression" dxfId="543" priority="595">
      <formula>F467&lt;&gt;F468+F469+F470+F471</formula>
    </cfRule>
  </conditionalFormatting>
  <conditionalFormatting sqref="F467:AI467">
    <cfRule type="expression" dxfId="542" priority="594">
      <formula>F467&lt;&gt;F468+F469+F470+F471</formula>
    </cfRule>
  </conditionalFormatting>
  <conditionalFormatting sqref="F469:Y469 AB469:AI469">
    <cfRule type="expression" dxfId="541" priority="593">
      <formula>F467&lt;&gt;F468+F469+F470+F471</formula>
    </cfRule>
  </conditionalFormatting>
  <conditionalFormatting sqref="F470:Y470 AB470:AI470">
    <cfRule type="expression" dxfId="540" priority="592">
      <formula>F467&lt;&gt;F468+F469+F470+F471</formula>
    </cfRule>
  </conditionalFormatting>
  <conditionalFormatting sqref="F471:Y471 AB471:AI471">
    <cfRule type="expression" dxfId="539" priority="591">
      <formula>F467&lt;&gt;F468+F469+F470+F471</formula>
    </cfRule>
  </conditionalFormatting>
  <conditionalFormatting sqref="F472:AI472">
    <cfRule type="cellIs" dxfId="538" priority="590" operator="equal">
      <formula>0</formula>
    </cfRule>
  </conditionalFormatting>
  <conditionalFormatting sqref="F473:Y473 AB473:AI473">
    <cfRule type="expression" dxfId="537" priority="589">
      <formula>F472&lt;&gt;F473+F474+F475+F476</formula>
    </cfRule>
  </conditionalFormatting>
  <conditionalFormatting sqref="F472:AI472">
    <cfRule type="expression" dxfId="536" priority="588">
      <formula>F472&lt;&gt;F473+F474+F475+F476</formula>
    </cfRule>
  </conditionalFormatting>
  <conditionalFormatting sqref="F474:Y474 AB474:AI474">
    <cfRule type="expression" dxfId="535" priority="587">
      <formula>F472&lt;&gt;F473+F474+F475+F476</formula>
    </cfRule>
  </conditionalFormatting>
  <conditionalFormatting sqref="F475:Y475 AB475:AI475">
    <cfRule type="expression" dxfId="534" priority="586">
      <formula>F472&lt;&gt;F473+F474+F475+F476</formula>
    </cfRule>
  </conditionalFormatting>
  <conditionalFormatting sqref="F476:Y476 AB476:AI476">
    <cfRule type="expression" dxfId="533" priority="585">
      <formula>F472&lt;&gt;F473+F474+F475+F476</formula>
    </cfRule>
  </conditionalFormatting>
  <conditionalFormatting sqref="F477:AI477">
    <cfRule type="cellIs" dxfId="532" priority="584" operator="equal">
      <formula>0</formula>
    </cfRule>
  </conditionalFormatting>
  <conditionalFormatting sqref="F478:Y478 AB478:AI478">
    <cfRule type="expression" dxfId="531" priority="583">
      <formula>F477&lt;&gt;F478+F479+F480+F481</formula>
    </cfRule>
  </conditionalFormatting>
  <conditionalFormatting sqref="F477:AI477">
    <cfRule type="expression" dxfId="530" priority="582">
      <formula>F477&lt;&gt;F478+F479+F480+F481</formula>
    </cfRule>
  </conditionalFormatting>
  <conditionalFormatting sqref="F479:Y479 AB479:AI479">
    <cfRule type="expression" dxfId="529" priority="581">
      <formula>F477&lt;&gt;F478+F479+F480+F481</formula>
    </cfRule>
  </conditionalFormatting>
  <conditionalFormatting sqref="F480:Y480 AB480:AI480">
    <cfRule type="expression" dxfId="528" priority="580">
      <formula>F477&lt;&gt;F478+F479+F480+F481</formula>
    </cfRule>
  </conditionalFormatting>
  <conditionalFormatting sqref="F481:Y481 AB481:AI481">
    <cfRule type="expression" dxfId="527" priority="579">
      <formula>F477&lt;&gt;F478+F479+F480+F481</formula>
    </cfRule>
  </conditionalFormatting>
  <conditionalFormatting sqref="F482:AI482">
    <cfRule type="cellIs" dxfId="526" priority="578" operator="equal">
      <formula>0</formula>
    </cfRule>
  </conditionalFormatting>
  <conditionalFormatting sqref="F483:Y483 AB483:AI483">
    <cfRule type="expression" dxfId="525" priority="577">
      <formula>F482&lt;&gt;F483+F484+F485+F486</formula>
    </cfRule>
  </conditionalFormatting>
  <conditionalFormatting sqref="F482:AI482">
    <cfRule type="expression" dxfId="524" priority="576">
      <formula>F482&lt;&gt;F483+F484+F485+F486</formula>
    </cfRule>
  </conditionalFormatting>
  <conditionalFormatting sqref="F484:Y484 AB484:AI484">
    <cfRule type="expression" dxfId="523" priority="575">
      <formula>F482&lt;&gt;F483+F484+F485+F486</formula>
    </cfRule>
  </conditionalFormatting>
  <conditionalFormatting sqref="F485:Y485 AB485:AI485">
    <cfRule type="expression" dxfId="522" priority="574">
      <formula>F482&lt;&gt;F483+F484+F485+F486</formula>
    </cfRule>
  </conditionalFormatting>
  <conditionalFormatting sqref="F486:Y486 AB486:AI486">
    <cfRule type="expression" dxfId="521" priority="573">
      <formula>F482&lt;&gt;F483+F484+F485+F486</formula>
    </cfRule>
  </conditionalFormatting>
  <conditionalFormatting sqref="F487:AI487">
    <cfRule type="cellIs" dxfId="520" priority="572" operator="equal">
      <formula>0</formula>
    </cfRule>
  </conditionalFormatting>
  <conditionalFormatting sqref="F488:Y488 AB488:AI488">
    <cfRule type="expression" dxfId="519" priority="571">
      <formula>F487&lt;&gt;F488+F489+F490+F491</formula>
    </cfRule>
  </conditionalFormatting>
  <conditionalFormatting sqref="F487:AI487">
    <cfRule type="expression" dxfId="518" priority="570">
      <formula>F487&lt;&gt;F488+F489+F490+F491</formula>
    </cfRule>
  </conditionalFormatting>
  <conditionalFormatting sqref="F489:Y489 AB489:AI489">
    <cfRule type="expression" dxfId="517" priority="569">
      <formula>F487&lt;&gt;F488+F489+F490+F491</formula>
    </cfRule>
  </conditionalFormatting>
  <conditionalFormatting sqref="F490:Y490 AB490:AI490">
    <cfRule type="expression" dxfId="516" priority="568">
      <formula>F487&lt;&gt;F488+F489+F490+F491</formula>
    </cfRule>
  </conditionalFormatting>
  <conditionalFormatting sqref="F491:Y491 AB491:AI491">
    <cfRule type="expression" dxfId="515" priority="567">
      <formula>F487&lt;&gt;F488+F489+F490+F491</formula>
    </cfRule>
  </conditionalFormatting>
  <conditionalFormatting sqref="L492:AI492">
    <cfRule type="cellIs" dxfId="514" priority="566" operator="equal">
      <formula>0</formula>
    </cfRule>
  </conditionalFormatting>
  <conditionalFormatting sqref="L493:Y493 AB493:AI493">
    <cfRule type="expression" dxfId="513" priority="565">
      <formula>L492&lt;&gt;L493+L494+L495+L496</formula>
    </cfRule>
  </conditionalFormatting>
  <conditionalFormatting sqref="L492:AI492">
    <cfRule type="expression" dxfId="512" priority="564">
      <formula>L492&lt;&gt;L493+L494+L495+L496</formula>
    </cfRule>
  </conditionalFormatting>
  <conditionalFormatting sqref="L494:Y494 AB494:AI494">
    <cfRule type="expression" dxfId="511" priority="563">
      <formula>L492&lt;&gt;L493+L494+L495+L496</formula>
    </cfRule>
  </conditionalFormatting>
  <conditionalFormatting sqref="L495:Y495 AB495:AI495">
    <cfRule type="expression" dxfId="510" priority="562">
      <formula>L492&lt;&gt;L493+L494+L495+L496</formula>
    </cfRule>
  </conditionalFormatting>
  <conditionalFormatting sqref="L496:Y496 AB496:AI496">
    <cfRule type="expression" dxfId="509" priority="561">
      <formula>L492&lt;&gt;L493+L494+L495+L496</formula>
    </cfRule>
  </conditionalFormatting>
  <conditionalFormatting sqref="F497:AI497">
    <cfRule type="cellIs" dxfId="508" priority="560" operator="equal">
      <formula>0</formula>
    </cfRule>
  </conditionalFormatting>
  <conditionalFormatting sqref="F498:Y498 AB498:AI498">
    <cfRule type="expression" dxfId="507" priority="559">
      <formula>F497&lt;&gt;F498+F499+F500+F501</formula>
    </cfRule>
  </conditionalFormatting>
  <conditionalFormatting sqref="F497:AI497">
    <cfRule type="expression" dxfId="506" priority="558">
      <formula>F497&lt;&gt;F498+F499+F500+F501</formula>
    </cfRule>
  </conditionalFormatting>
  <conditionalFormatting sqref="F499:Y499 AB499:AI499">
    <cfRule type="expression" dxfId="505" priority="557">
      <formula>F497&lt;&gt;F498+F499+F500+F501</formula>
    </cfRule>
  </conditionalFormatting>
  <conditionalFormatting sqref="F500:Y500 AB500:AI500">
    <cfRule type="expression" dxfId="504" priority="556">
      <formula>F497&lt;&gt;F498+F499+F500+F501</formula>
    </cfRule>
  </conditionalFormatting>
  <conditionalFormatting sqref="F501:Y501 AB501:AI501">
    <cfRule type="expression" dxfId="503" priority="555">
      <formula>F497&lt;&gt;F498+F499+F500+F501</formula>
    </cfRule>
  </conditionalFormatting>
  <conditionalFormatting sqref="K502">
    <cfRule type="cellIs" dxfId="502" priority="554" operator="equal">
      <formula>0</formula>
    </cfRule>
  </conditionalFormatting>
  <conditionalFormatting sqref="K503">
    <cfRule type="expression" dxfId="501" priority="553">
      <formula>K502&lt;&gt;K503+K504+K505+K506</formula>
    </cfRule>
  </conditionalFormatting>
  <conditionalFormatting sqref="K502">
    <cfRule type="expression" dxfId="500" priority="552">
      <formula>K502&lt;&gt;K503+K504+K505+K506</formula>
    </cfRule>
  </conditionalFormatting>
  <conditionalFormatting sqref="K504">
    <cfRule type="expression" dxfId="499" priority="551">
      <formula>K502&lt;&gt;K503+K504+K505+K506</formula>
    </cfRule>
  </conditionalFormatting>
  <conditionalFormatting sqref="K505">
    <cfRule type="expression" dxfId="498" priority="550">
      <formula>K502&lt;&gt;K503+K504+K505+K506</formula>
    </cfRule>
  </conditionalFormatting>
  <conditionalFormatting sqref="K506">
    <cfRule type="expression" dxfId="497" priority="549">
      <formula>K502&lt;&gt;K503+K504+K505+K506</formula>
    </cfRule>
  </conditionalFormatting>
  <conditionalFormatting sqref="M502">
    <cfRule type="cellIs" dxfId="496" priority="548" operator="equal">
      <formula>0</formula>
    </cfRule>
  </conditionalFormatting>
  <conditionalFormatting sqref="M503">
    <cfRule type="expression" dxfId="495" priority="547">
      <formula>M502&lt;&gt;M503+M504+M505+M506</formula>
    </cfRule>
  </conditionalFormatting>
  <conditionalFormatting sqref="M502">
    <cfRule type="expression" dxfId="494" priority="546">
      <formula>M502&lt;&gt;M503+M504+M505+M506</formula>
    </cfRule>
  </conditionalFormatting>
  <conditionalFormatting sqref="M504">
    <cfRule type="expression" dxfId="493" priority="545">
      <formula>M502&lt;&gt;M503+M504+M505+M506</formula>
    </cfRule>
  </conditionalFormatting>
  <conditionalFormatting sqref="M505">
    <cfRule type="expression" dxfId="492" priority="544">
      <formula>M502&lt;&gt;M503+M504+M505+M506</formula>
    </cfRule>
  </conditionalFormatting>
  <conditionalFormatting sqref="M506">
    <cfRule type="expression" dxfId="491" priority="543">
      <formula>M502&lt;&gt;M503+M504+M505+M506</formula>
    </cfRule>
  </conditionalFormatting>
  <conditionalFormatting sqref="O502">
    <cfRule type="cellIs" dxfId="490" priority="542" operator="equal">
      <formula>0</formula>
    </cfRule>
  </conditionalFormatting>
  <conditionalFormatting sqref="O503">
    <cfRule type="expression" dxfId="489" priority="541">
      <formula>O502&lt;&gt;O503+O504+O505+O506</formula>
    </cfRule>
  </conditionalFormatting>
  <conditionalFormatting sqref="O502">
    <cfRule type="expression" dxfId="488" priority="540">
      <formula>O502&lt;&gt;O503+O504+O505+O506</formula>
    </cfRule>
  </conditionalFormatting>
  <conditionalFormatting sqref="O504">
    <cfRule type="expression" dxfId="487" priority="539">
      <formula>O502&lt;&gt;O503+O504+O505+O506</formula>
    </cfRule>
  </conditionalFormatting>
  <conditionalFormatting sqref="O505">
    <cfRule type="expression" dxfId="486" priority="538">
      <formula>O502&lt;&gt;O503+O504+O505+O506</formula>
    </cfRule>
  </conditionalFormatting>
  <conditionalFormatting sqref="O506">
    <cfRule type="expression" dxfId="485" priority="537">
      <formula>O502&lt;&gt;O503+O504+O505+O506</formula>
    </cfRule>
  </conditionalFormatting>
  <conditionalFormatting sqref="Q502">
    <cfRule type="cellIs" dxfId="484" priority="536" operator="equal">
      <formula>0</formula>
    </cfRule>
  </conditionalFormatting>
  <conditionalFormatting sqref="Q503">
    <cfRule type="expression" dxfId="483" priority="535">
      <formula>Q502&lt;&gt;Q503+Q504+Q505+Q506</formula>
    </cfRule>
  </conditionalFormatting>
  <conditionalFormatting sqref="Q502">
    <cfRule type="expression" dxfId="482" priority="534">
      <formula>Q502&lt;&gt;Q503+Q504+Q505+Q506</formula>
    </cfRule>
  </conditionalFormatting>
  <conditionalFormatting sqref="Q504">
    <cfRule type="expression" dxfId="481" priority="533">
      <formula>Q502&lt;&gt;Q503+Q504+Q505+Q506</formula>
    </cfRule>
  </conditionalFormatting>
  <conditionalFormatting sqref="Q505">
    <cfRule type="expression" dxfId="480" priority="532">
      <formula>Q502&lt;&gt;Q503+Q504+Q505+Q506</formula>
    </cfRule>
  </conditionalFormatting>
  <conditionalFormatting sqref="Q506">
    <cfRule type="expression" dxfId="479" priority="531">
      <formula>Q502&lt;&gt;Q503+Q504+Q505+Q506</formula>
    </cfRule>
  </conditionalFormatting>
  <conditionalFormatting sqref="S502">
    <cfRule type="cellIs" dxfId="478" priority="530" operator="equal">
      <formula>0</formula>
    </cfRule>
  </conditionalFormatting>
  <conditionalFormatting sqref="S503">
    <cfRule type="expression" dxfId="477" priority="529">
      <formula>S502&lt;&gt;S503+S504+S505+S506</formula>
    </cfRule>
  </conditionalFormatting>
  <conditionalFormatting sqref="S502">
    <cfRule type="expression" dxfId="476" priority="528">
      <formula>S502&lt;&gt;S503+S504+S505+S506</formula>
    </cfRule>
  </conditionalFormatting>
  <conditionalFormatting sqref="S504">
    <cfRule type="expression" dxfId="475" priority="527">
      <formula>S502&lt;&gt;S503+S504+S505+S506</formula>
    </cfRule>
  </conditionalFormatting>
  <conditionalFormatting sqref="S505">
    <cfRule type="expression" dxfId="474" priority="526">
      <formula>S502&lt;&gt;S503+S504+S505+S506</formula>
    </cfRule>
  </conditionalFormatting>
  <conditionalFormatting sqref="S506">
    <cfRule type="expression" dxfId="473" priority="525">
      <formula>S502&lt;&gt;S503+S504+S505+S506</formula>
    </cfRule>
  </conditionalFormatting>
  <conditionalFormatting sqref="U502">
    <cfRule type="cellIs" dxfId="472" priority="524" operator="equal">
      <formula>0</formula>
    </cfRule>
  </conditionalFormatting>
  <conditionalFormatting sqref="U503">
    <cfRule type="expression" dxfId="471" priority="523">
      <formula>U502&lt;&gt;U503+U504+U505+U506</formula>
    </cfRule>
  </conditionalFormatting>
  <conditionalFormatting sqref="U502">
    <cfRule type="expression" dxfId="470" priority="522">
      <formula>U502&lt;&gt;U503+U504+U505+U506</formula>
    </cfRule>
  </conditionalFormatting>
  <conditionalFormatting sqref="U504">
    <cfRule type="expression" dxfId="469" priority="521">
      <formula>U502&lt;&gt;U503+U504+U505+U506</formula>
    </cfRule>
  </conditionalFormatting>
  <conditionalFormatting sqref="U505">
    <cfRule type="expression" dxfId="468" priority="520">
      <formula>U502&lt;&gt;U503+U504+U505+U506</formula>
    </cfRule>
  </conditionalFormatting>
  <conditionalFormatting sqref="U506">
    <cfRule type="expression" dxfId="467" priority="519">
      <formula>U502&lt;&gt;U503+U504+U505+U506</formula>
    </cfRule>
  </conditionalFormatting>
  <conditionalFormatting sqref="W502">
    <cfRule type="cellIs" dxfId="466" priority="518" operator="equal">
      <formula>0</formula>
    </cfRule>
  </conditionalFormatting>
  <conditionalFormatting sqref="W503">
    <cfRule type="expression" dxfId="465" priority="517">
      <formula>W502&lt;&gt;W503+W504+W505+W506</formula>
    </cfRule>
  </conditionalFormatting>
  <conditionalFormatting sqref="W502">
    <cfRule type="expression" dxfId="464" priority="516">
      <formula>W502&lt;&gt;W503+W504+W505+W506</formula>
    </cfRule>
  </conditionalFormatting>
  <conditionalFormatting sqref="W504">
    <cfRule type="expression" dxfId="463" priority="515">
      <formula>W502&lt;&gt;W503+W504+W505+W506</formula>
    </cfRule>
  </conditionalFormatting>
  <conditionalFormatting sqref="W505">
    <cfRule type="expression" dxfId="462" priority="514">
      <formula>W502&lt;&gt;W503+W504+W505+W506</formula>
    </cfRule>
  </conditionalFormatting>
  <conditionalFormatting sqref="W506">
    <cfRule type="expression" dxfId="461" priority="513">
      <formula>W502&lt;&gt;W503+W504+W505+W506</formula>
    </cfRule>
  </conditionalFormatting>
  <conditionalFormatting sqref="Y502">
    <cfRule type="cellIs" dxfId="460" priority="512" operator="equal">
      <formula>0</formula>
    </cfRule>
  </conditionalFormatting>
  <conditionalFormatting sqref="Y503">
    <cfRule type="expression" dxfId="459" priority="511">
      <formula>Y502&lt;&gt;Y503+Y504+Y505+Y506</formula>
    </cfRule>
  </conditionalFormatting>
  <conditionalFormatting sqref="Y502">
    <cfRule type="expression" dxfId="458" priority="510">
      <formula>Y502&lt;&gt;Y503+Y504+Y505+Y506</formula>
    </cfRule>
  </conditionalFormatting>
  <conditionalFormatting sqref="Y504">
    <cfRule type="expression" dxfId="457" priority="509">
      <formula>Y502&lt;&gt;Y503+Y504+Y505+Y506</formula>
    </cfRule>
  </conditionalFormatting>
  <conditionalFormatting sqref="Y505">
    <cfRule type="expression" dxfId="456" priority="508">
      <formula>Y502&lt;&gt;Y503+Y504+Y505+Y506</formula>
    </cfRule>
  </conditionalFormatting>
  <conditionalFormatting sqref="Y506">
    <cfRule type="expression" dxfId="455" priority="507">
      <formula>Y502&lt;&gt;Y503+Y504+Y505+Y506</formula>
    </cfRule>
  </conditionalFormatting>
  <conditionalFormatting sqref="AA502 AC502 AE502 AG502 AI502">
    <cfRule type="cellIs" dxfId="454" priority="506" operator="equal">
      <formula>0</formula>
    </cfRule>
  </conditionalFormatting>
  <conditionalFormatting sqref="AC503 AE503 AG503 AI503">
    <cfRule type="expression" dxfId="453" priority="505">
      <formula>AC502&lt;&gt;AC503+AC504+AC505+AC506</formula>
    </cfRule>
  </conditionalFormatting>
  <conditionalFormatting sqref="AA502 AC502 AE502 AG502 AI502">
    <cfRule type="expression" dxfId="452" priority="504">
      <formula>AA502&lt;&gt;AA503+AA504+AA505+AA506</formula>
    </cfRule>
  </conditionalFormatting>
  <conditionalFormatting sqref="AC504 AE504 AG504 AI504">
    <cfRule type="expression" dxfId="451" priority="503">
      <formula>AC502&lt;&gt;AC503+AC504+AC505+AC506</formula>
    </cfRule>
  </conditionalFormatting>
  <conditionalFormatting sqref="AC505 AE505 AG505 AI505">
    <cfRule type="expression" dxfId="450" priority="502">
      <formula>AC502&lt;&gt;AC503+AC504+AC505+AC506</formula>
    </cfRule>
  </conditionalFormatting>
  <conditionalFormatting sqref="AC506 AE506 AG506 AI506">
    <cfRule type="expression" dxfId="449" priority="501">
      <formula>AC502&lt;&gt;AC503+AC504+AC505+AC506</formula>
    </cfRule>
  </conditionalFormatting>
  <conditionalFormatting sqref="I502">
    <cfRule type="cellIs" dxfId="448" priority="500" operator="equal">
      <formula>0</formula>
    </cfRule>
  </conditionalFormatting>
  <conditionalFormatting sqref="I503">
    <cfRule type="expression" dxfId="447" priority="499">
      <formula>I502&lt;&gt;I503+I504+I505+I506</formula>
    </cfRule>
  </conditionalFormatting>
  <conditionalFormatting sqref="I502">
    <cfRule type="expression" dxfId="446" priority="498">
      <formula>I502&lt;&gt;I503+I504+I505+I506</formula>
    </cfRule>
  </conditionalFormatting>
  <conditionalFormatting sqref="I504">
    <cfRule type="expression" dxfId="445" priority="497">
      <formula>I502&lt;&gt;I503+I504+I505+I506</formula>
    </cfRule>
  </conditionalFormatting>
  <conditionalFormatting sqref="I505">
    <cfRule type="expression" dxfId="444" priority="496">
      <formula>I502&lt;&gt;I503+I504+I505+I506</formula>
    </cfRule>
  </conditionalFormatting>
  <conditionalFormatting sqref="I506">
    <cfRule type="expression" dxfId="443" priority="495">
      <formula>I502&lt;&gt;I503+I504+I505+I506</formula>
    </cfRule>
  </conditionalFormatting>
  <conditionalFormatting sqref="G502">
    <cfRule type="cellIs" dxfId="442" priority="494" operator="equal">
      <formula>0</formula>
    </cfRule>
  </conditionalFormatting>
  <conditionalFormatting sqref="G503">
    <cfRule type="expression" dxfId="441" priority="493">
      <formula>G502&lt;&gt;G503+G504+G505+G506</formula>
    </cfRule>
  </conditionalFormatting>
  <conditionalFormatting sqref="G502">
    <cfRule type="expression" dxfId="440" priority="492">
      <formula>G502&lt;&gt;G503+G504+G505+G506</formula>
    </cfRule>
  </conditionalFormatting>
  <conditionalFormatting sqref="G504">
    <cfRule type="expression" dxfId="439" priority="491">
      <formula>G502&lt;&gt;G503+G504+G505+G506</formula>
    </cfRule>
  </conditionalFormatting>
  <conditionalFormatting sqref="G505">
    <cfRule type="expression" dxfId="438" priority="490">
      <formula>G502&lt;&gt;G503+G504+G505+G506</formula>
    </cfRule>
  </conditionalFormatting>
  <conditionalFormatting sqref="G506">
    <cfRule type="expression" dxfId="437" priority="489">
      <formula>G502&lt;&gt;G503+G504+G505+G506</formula>
    </cfRule>
  </conditionalFormatting>
  <conditionalFormatting sqref="G507:AI507">
    <cfRule type="cellIs" dxfId="436" priority="488" operator="equal">
      <formula>0</formula>
    </cfRule>
  </conditionalFormatting>
  <conditionalFormatting sqref="G508">
    <cfRule type="expression" dxfId="435" priority="487">
      <formula>G507&lt;&gt;G508+G509+G510+G511</formula>
    </cfRule>
  </conditionalFormatting>
  <conditionalFormatting sqref="G507:AI507">
    <cfRule type="expression" dxfId="434" priority="486">
      <formula>G507&lt;&gt;G508+G509+G510+G511</formula>
    </cfRule>
  </conditionalFormatting>
  <conditionalFormatting sqref="G509">
    <cfRule type="expression" dxfId="433" priority="485">
      <formula>G507&lt;&gt;G508+G509+G510+G511</formula>
    </cfRule>
  </conditionalFormatting>
  <conditionalFormatting sqref="G510">
    <cfRule type="expression" dxfId="432" priority="484">
      <formula>G507&lt;&gt;G508+G509+G510+G511</formula>
    </cfRule>
  </conditionalFormatting>
  <conditionalFormatting sqref="G511">
    <cfRule type="expression" dxfId="431" priority="483">
      <formula>G507&lt;&gt;G508+G509+G510+G511</formula>
    </cfRule>
  </conditionalFormatting>
  <conditionalFormatting sqref="I508">
    <cfRule type="expression" dxfId="430" priority="481">
      <formula>I507&lt;&gt;I508+I509+I510+I511</formula>
    </cfRule>
  </conditionalFormatting>
  <conditionalFormatting sqref="I509">
    <cfRule type="expression" dxfId="429" priority="479">
      <formula>I507&lt;&gt;I508+I509+I510+I511</formula>
    </cfRule>
  </conditionalFormatting>
  <conditionalFormatting sqref="I510">
    <cfRule type="expression" dxfId="428" priority="478">
      <formula>I507&lt;&gt;I508+I509+I510+I511</formula>
    </cfRule>
  </conditionalFormatting>
  <conditionalFormatting sqref="I511">
    <cfRule type="expression" dxfId="427" priority="477">
      <formula>I507&lt;&gt;I508+I509+I510+I511</formula>
    </cfRule>
  </conditionalFormatting>
  <conditionalFormatting sqref="K508">
    <cfRule type="expression" dxfId="426" priority="475">
      <formula>K507&lt;&gt;K508+K509+K510+K511</formula>
    </cfRule>
  </conditionalFormatting>
  <conditionalFormatting sqref="K509">
    <cfRule type="expression" dxfId="425" priority="473">
      <formula>K507&lt;&gt;K508+K509+K510+K511</formula>
    </cfRule>
  </conditionalFormatting>
  <conditionalFormatting sqref="K510">
    <cfRule type="expression" dxfId="424" priority="472">
      <formula>K507&lt;&gt;K508+K509+K510+K511</formula>
    </cfRule>
  </conditionalFormatting>
  <conditionalFormatting sqref="K511">
    <cfRule type="expression" dxfId="423" priority="471">
      <formula>K507&lt;&gt;K508+K509+K510+K511</formula>
    </cfRule>
  </conditionalFormatting>
  <conditionalFormatting sqref="M508">
    <cfRule type="expression" dxfId="422" priority="469">
      <formula>M507&lt;&gt;M508+M509+M510+M511</formula>
    </cfRule>
  </conditionalFormatting>
  <conditionalFormatting sqref="M509">
    <cfRule type="expression" dxfId="421" priority="467">
      <formula>M507&lt;&gt;M508+M509+M510+M511</formula>
    </cfRule>
  </conditionalFormatting>
  <conditionalFormatting sqref="M510">
    <cfRule type="expression" dxfId="420" priority="466">
      <formula>M507&lt;&gt;M508+M509+M510+M511</formula>
    </cfRule>
  </conditionalFormatting>
  <conditionalFormatting sqref="M511">
    <cfRule type="expression" dxfId="419" priority="465">
      <formula>M507&lt;&gt;M508+M509+M510+M511</formula>
    </cfRule>
  </conditionalFormatting>
  <conditionalFormatting sqref="O508">
    <cfRule type="expression" dxfId="418" priority="463">
      <formula>O507&lt;&gt;O508+O509+O510+O511</formula>
    </cfRule>
  </conditionalFormatting>
  <conditionalFormatting sqref="O509">
    <cfRule type="expression" dxfId="417" priority="461">
      <formula>O507&lt;&gt;O508+O509+O510+O511</formula>
    </cfRule>
  </conditionalFormatting>
  <conditionalFormatting sqref="O510">
    <cfRule type="expression" dxfId="416" priority="460">
      <formula>O507&lt;&gt;O508+O509+O510+O511</formula>
    </cfRule>
  </conditionalFormatting>
  <conditionalFormatting sqref="O511">
    <cfRule type="expression" dxfId="415" priority="459">
      <formula>O507&lt;&gt;O508+O509+O510+O511</formula>
    </cfRule>
  </conditionalFormatting>
  <conditionalFormatting sqref="Q508">
    <cfRule type="expression" dxfId="414" priority="457">
      <formula>Q507&lt;&gt;Q508+Q509+Q510+Q511</formula>
    </cfRule>
  </conditionalFormatting>
  <conditionalFormatting sqref="Q509">
    <cfRule type="expression" dxfId="413" priority="455">
      <formula>Q507&lt;&gt;Q508+Q509+Q510+Q511</formula>
    </cfRule>
  </conditionalFormatting>
  <conditionalFormatting sqref="Q510">
    <cfRule type="expression" dxfId="412" priority="454">
      <formula>Q507&lt;&gt;Q508+Q509+Q510+Q511</formula>
    </cfRule>
  </conditionalFormatting>
  <conditionalFormatting sqref="Q511">
    <cfRule type="expression" dxfId="411" priority="453">
      <formula>Q507&lt;&gt;Q508+Q509+Q510+Q511</formula>
    </cfRule>
  </conditionalFormatting>
  <conditionalFormatting sqref="S508">
    <cfRule type="expression" dxfId="410" priority="451">
      <formula>S507&lt;&gt;S508+S509+S510+S511</formula>
    </cfRule>
  </conditionalFormatting>
  <conditionalFormatting sqref="S509">
    <cfRule type="expression" dxfId="409" priority="449">
      <formula>S507&lt;&gt;S508+S509+S510+S511</formula>
    </cfRule>
  </conditionalFormatting>
  <conditionalFormatting sqref="S510">
    <cfRule type="expression" dxfId="408" priority="448">
      <formula>S507&lt;&gt;S508+S509+S510+S511</formula>
    </cfRule>
  </conditionalFormatting>
  <conditionalFormatting sqref="S511">
    <cfRule type="expression" dxfId="407" priority="447">
      <formula>S507&lt;&gt;S508+S509+S510+S511</formula>
    </cfRule>
  </conditionalFormatting>
  <conditionalFormatting sqref="U508">
    <cfRule type="expression" dxfId="406" priority="445">
      <formula>U507&lt;&gt;U508+U509+U510+U511</formula>
    </cfRule>
  </conditionalFormatting>
  <conditionalFormatting sqref="U509">
    <cfRule type="expression" dxfId="405" priority="443">
      <formula>U507&lt;&gt;U508+U509+U510+U511</formula>
    </cfRule>
  </conditionalFormatting>
  <conditionalFormatting sqref="U510">
    <cfRule type="expression" dxfId="404" priority="442">
      <formula>U507&lt;&gt;U508+U509+U510+U511</formula>
    </cfRule>
  </conditionalFormatting>
  <conditionalFormatting sqref="U511">
    <cfRule type="expression" dxfId="403" priority="441">
      <formula>U507&lt;&gt;U508+U509+U510+U511</formula>
    </cfRule>
  </conditionalFormatting>
  <conditionalFormatting sqref="W508">
    <cfRule type="expression" dxfId="402" priority="439">
      <formula>W507&lt;&gt;W508+W509+W510+W511</formula>
    </cfRule>
  </conditionalFormatting>
  <conditionalFormatting sqref="W509">
    <cfRule type="expression" dxfId="401" priority="437">
      <formula>W507&lt;&gt;W508+W509+W510+W511</formula>
    </cfRule>
  </conditionalFormatting>
  <conditionalFormatting sqref="W510">
    <cfRule type="expression" dxfId="400" priority="436">
      <formula>W507&lt;&gt;W508+W509+W510+W511</formula>
    </cfRule>
  </conditionalFormatting>
  <conditionalFormatting sqref="W511">
    <cfRule type="expression" dxfId="399" priority="435">
      <formula>W507&lt;&gt;W508+W509+W510+W511</formula>
    </cfRule>
  </conditionalFormatting>
  <conditionalFormatting sqref="Y508">
    <cfRule type="expression" dxfId="398" priority="433">
      <formula>Y507&lt;&gt;Y508+Y509+Y510+Y511</formula>
    </cfRule>
  </conditionalFormatting>
  <conditionalFormatting sqref="Y509">
    <cfRule type="expression" dxfId="397" priority="431">
      <formula>Y507&lt;&gt;Y508+Y509+Y510+Y511</formula>
    </cfRule>
  </conditionalFormatting>
  <conditionalFormatting sqref="Y510">
    <cfRule type="expression" dxfId="396" priority="430">
      <formula>Y507&lt;&gt;Y508+Y509+Y510+Y511</formula>
    </cfRule>
  </conditionalFormatting>
  <conditionalFormatting sqref="Y511">
    <cfRule type="expression" dxfId="395" priority="429">
      <formula>Y507&lt;&gt;Y508+Y509+Y510+Y511</formula>
    </cfRule>
  </conditionalFormatting>
  <conditionalFormatting sqref="AC508 AE508 AG508 AI508">
    <cfRule type="expression" dxfId="394" priority="427">
      <formula>AC507&lt;&gt;AC508+AC509+AC510+AC511</formula>
    </cfRule>
  </conditionalFormatting>
  <conditionalFormatting sqref="AC509 AE509 AG509 AI509">
    <cfRule type="expression" dxfId="393" priority="425">
      <formula>AC507&lt;&gt;AC508+AC509+AC510+AC511</formula>
    </cfRule>
  </conditionalFormatting>
  <conditionalFormatting sqref="AC510 AE510 AG510 AI510">
    <cfRule type="expression" dxfId="392" priority="424">
      <formula>AC507&lt;&gt;AC508+AC509+AC510+AC511</formula>
    </cfRule>
  </conditionalFormatting>
  <conditionalFormatting sqref="AC511 AE511 AG511 AI511">
    <cfRule type="expression" dxfId="391" priority="423">
      <formula>AC507&lt;&gt;AC508+AC509+AC510+AC511</formula>
    </cfRule>
  </conditionalFormatting>
  <conditionalFormatting sqref="AK507">
    <cfRule type="notContainsBlanks" dxfId="390" priority="422">
      <formula>LEN(TRIM(AK507))&gt;0</formula>
    </cfRule>
  </conditionalFormatting>
  <conditionalFormatting sqref="AK502">
    <cfRule type="notContainsBlanks" dxfId="389" priority="421">
      <formula>LEN(TRIM(AK502))&gt;0</formula>
    </cfRule>
  </conditionalFormatting>
  <conditionalFormatting sqref="AK497">
    <cfRule type="notContainsBlanks" dxfId="388" priority="420">
      <formula>LEN(TRIM(AK497))&gt;0</formula>
    </cfRule>
  </conditionalFormatting>
  <conditionalFormatting sqref="AK492">
    <cfRule type="notContainsBlanks" dxfId="387" priority="419">
      <formula>LEN(TRIM(AK492))&gt;0</formula>
    </cfRule>
  </conditionalFormatting>
  <conditionalFormatting sqref="AK487">
    <cfRule type="notContainsBlanks" dxfId="386" priority="418">
      <formula>LEN(TRIM(AK487))&gt;0</formula>
    </cfRule>
  </conditionalFormatting>
  <conditionalFormatting sqref="AK482">
    <cfRule type="notContainsBlanks" dxfId="385" priority="417">
      <formula>LEN(TRIM(AK482))&gt;0</formula>
    </cfRule>
  </conditionalFormatting>
  <conditionalFormatting sqref="AK477">
    <cfRule type="notContainsBlanks" dxfId="384" priority="416">
      <formula>LEN(TRIM(AK477))&gt;0</formula>
    </cfRule>
  </conditionalFormatting>
  <conditionalFormatting sqref="AK472">
    <cfRule type="notContainsBlanks" dxfId="383" priority="415">
      <formula>LEN(TRIM(AK472))&gt;0</formula>
    </cfRule>
  </conditionalFormatting>
  <conditionalFormatting sqref="AK467">
    <cfRule type="notContainsBlanks" dxfId="382" priority="414">
      <formula>LEN(TRIM(AK467))&gt;0</formula>
    </cfRule>
  </conditionalFormatting>
  <conditionalFormatting sqref="AK462">
    <cfRule type="notContainsBlanks" dxfId="381" priority="413">
      <formula>LEN(TRIM(AK462))&gt;0</formula>
    </cfRule>
  </conditionalFormatting>
  <conditionalFormatting sqref="AK457">
    <cfRule type="notContainsBlanks" dxfId="380" priority="412">
      <formula>LEN(TRIM(AK457))&gt;0</formula>
    </cfRule>
  </conditionalFormatting>
  <conditionalFormatting sqref="AK452">
    <cfRule type="notContainsBlanks" dxfId="379" priority="411">
      <formula>LEN(TRIM(AK452))&gt;0</formula>
    </cfRule>
  </conditionalFormatting>
  <conditionalFormatting sqref="AK228">
    <cfRule type="notContainsBlanks" dxfId="378" priority="410">
      <formula>LEN(TRIM(AK228))&gt;0</formula>
    </cfRule>
  </conditionalFormatting>
  <conditionalFormatting sqref="AK236">
    <cfRule type="notContainsBlanks" dxfId="377" priority="409">
      <formula>LEN(TRIM(AK236))&gt;0</formula>
    </cfRule>
  </conditionalFormatting>
  <conditionalFormatting sqref="AA219:AA242">
    <cfRule type="cellIs" dxfId="376" priority="397" operator="equal">
      <formula>0</formula>
    </cfRule>
  </conditionalFormatting>
  <conditionalFormatting sqref="Z357:AA362">
    <cfRule type="cellIs" dxfId="375" priority="407" operator="equal">
      <formula>0</formula>
    </cfRule>
  </conditionalFormatting>
  <conditionalFormatting sqref="Z403:AA403">
    <cfRule type="cellIs" dxfId="374" priority="404" operator="equal">
      <formula>0</formula>
    </cfRule>
  </conditionalFormatting>
  <conditionalFormatting sqref="Z388:AA392 Z394:AA402">
    <cfRule type="cellIs" dxfId="373" priority="403" operator="equal">
      <formula>0</formula>
    </cfRule>
  </conditionalFormatting>
  <conditionalFormatting sqref="F27:Y27 AB27:AI27">
    <cfRule type="expression" dxfId="372" priority="390">
      <formula>(F34+F33+F32)&lt;&gt;F27</formula>
    </cfRule>
  </conditionalFormatting>
  <conditionalFormatting sqref="F53:Y53 AB53:AI53">
    <cfRule type="expression" dxfId="371" priority="388">
      <formula>F54&gt;F53</formula>
    </cfRule>
  </conditionalFormatting>
  <conditionalFormatting sqref="F53">
    <cfRule type="expression" dxfId="370" priority="387">
      <formula>F53&lt;F55</formula>
    </cfRule>
  </conditionalFormatting>
  <conditionalFormatting sqref="F54:Y54 AB54:AI54">
    <cfRule type="expression" dxfId="369" priority="386">
      <formula>F53&lt;F54</formula>
    </cfRule>
  </conditionalFormatting>
  <conditionalFormatting sqref="AM123:AM124">
    <cfRule type="notContainsBlanks" dxfId="368" priority="384">
      <formula>LEN(TRIM(AM123))&gt;0</formula>
    </cfRule>
  </conditionalFormatting>
  <conditionalFormatting sqref="J123:AA123">
    <cfRule type="expression" dxfId="367" priority="382">
      <formula>J124&gt;J123</formula>
    </cfRule>
  </conditionalFormatting>
  <conditionalFormatting sqref="AJ123:AJ124">
    <cfRule type="notContainsBlanks" dxfId="366" priority="378">
      <formula>LEN(TRIM(AJ123))&gt;0</formula>
    </cfRule>
  </conditionalFormatting>
  <conditionalFormatting sqref="AM60:AM61">
    <cfRule type="notContainsBlanks" dxfId="365" priority="377">
      <formula>LEN(TRIM(AM60))&gt;0</formula>
    </cfRule>
  </conditionalFormatting>
  <conditionalFormatting sqref="D60:AI61">
    <cfRule type="cellIs" dxfId="364" priority="376" operator="equal">
      <formula>0</formula>
    </cfRule>
  </conditionalFormatting>
  <conditionalFormatting sqref="AJ60">
    <cfRule type="cellIs" dxfId="363" priority="375" operator="equal">
      <formula>0</formula>
    </cfRule>
  </conditionalFormatting>
  <conditionalFormatting sqref="D60:AI61">
    <cfRule type="cellIs" dxfId="362" priority="374" operator="equal">
      <formula>0</formula>
    </cfRule>
  </conditionalFormatting>
  <conditionalFormatting sqref="AJ61">
    <cfRule type="cellIs" dxfId="361" priority="373" operator="equal">
      <formula>0</formula>
    </cfRule>
  </conditionalFormatting>
  <conditionalFormatting sqref="AJ61">
    <cfRule type="cellIs" dxfId="360" priority="372" operator="equal">
      <formula>0</formula>
    </cfRule>
  </conditionalFormatting>
  <conditionalFormatting sqref="D60:AI60">
    <cfRule type="expression" dxfId="359" priority="371">
      <formula>D60&gt;D16</formula>
    </cfRule>
  </conditionalFormatting>
  <conditionalFormatting sqref="AK323">
    <cfRule type="notContainsBlanks" dxfId="358" priority="366">
      <formula>LEN(TRIM(AK323))&gt;0</formula>
    </cfRule>
  </conditionalFormatting>
  <conditionalFormatting sqref="AM322:AM323">
    <cfRule type="notContainsBlanks" dxfId="357" priority="365">
      <formula>LEN(TRIM(AM322))&gt;0</formula>
    </cfRule>
  </conditionalFormatting>
  <conditionalFormatting sqref="AJ322:AJ323">
    <cfRule type="cellIs" dxfId="356" priority="364" operator="equal">
      <formula>0</formula>
    </cfRule>
  </conditionalFormatting>
  <conditionalFormatting sqref="K322">
    <cfRule type="expression" dxfId="355" priority="367">
      <formula>K351&gt;K322</formula>
    </cfRule>
  </conditionalFormatting>
  <conditionalFormatting sqref="K322">
    <cfRule type="expression" dxfId="354" priority="363">
      <formula>K323&gt;K322</formula>
    </cfRule>
  </conditionalFormatting>
  <conditionalFormatting sqref="M322">
    <cfRule type="expression" dxfId="353" priority="362">
      <formula>M323&gt;M322</formula>
    </cfRule>
  </conditionalFormatting>
  <conditionalFormatting sqref="O322">
    <cfRule type="expression" dxfId="352" priority="361">
      <formula>O323&gt;O322</formula>
    </cfRule>
  </conditionalFormatting>
  <conditionalFormatting sqref="Q322">
    <cfRule type="expression" dxfId="351" priority="360">
      <formula>Q323&gt;Q322</formula>
    </cfRule>
  </conditionalFormatting>
  <conditionalFormatting sqref="Q323">
    <cfRule type="expression" dxfId="350" priority="359">
      <formula>Q323&gt;Q322</formula>
    </cfRule>
  </conditionalFormatting>
  <conditionalFormatting sqref="AK322">
    <cfRule type="notContainsBlanks" dxfId="349" priority="358">
      <formula>LEN(TRIM(AK322))&gt;0</formula>
    </cfRule>
  </conditionalFormatting>
  <conditionalFormatting sqref="Q323">
    <cfRule type="expression" dxfId="348" priority="356">
      <formula>Q350&gt;Q323</formula>
    </cfRule>
  </conditionalFormatting>
  <conditionalFormatting sqref="Q323">
    <cfRule type="expression" dxfId="347" priority="357">
      <formula>Q323&gt;Q322</formula>
    </cfRule>
  </conditionalFormatting>
  <conditionalFormatting sqref="S322">
    <cfRule type="expression" dxfId="346" priority="355">
      <formula>S323&gt;S322</formula>
    </cfRule>
  </conditionalFormatting>
  <conditionalFormatting sqref="U322">
    <cfRule type="expression" dxfId="345" priority="354">
      <formula>U323&gt;U322</formula>
    </cfRule>
  </conditionalFormatting>
  <conditionalFormatting sqref="W322">
    <cfRule type="expression" dxfId="344" priority="353">
      <formula>W323&gt;W322</formula>
    </cfRule>
  </conditionalFormatting>
  <conditionalFormatting sqref="Y322">
    <cfRule type="expression" dxfId="343" priority="352">
      <formula>Y323&gt;Y322</formula>
    </cfRule>
  </conditionalFormatting>
  <conditionalFormatting sqref="O323">
    <cfRule type="expression" dxfId="342" priority="351">
      <formula>O323&gt;O322</formula>
    </cfRule>
  </conditionalFormatting>
  <conditionalFormatting sqref="O323">
    <cfRule type="expression" dxfId="341" priority="349">
      <formula>O350&gt;O323</formula>
    </cfRule>
  </conditionalFormatting>
  <conditionalFormatting sqref="O323">
    <cfRule type="expression" dxfId="340" priority="350">
      <formula>O323&gt;O322</formula>
    </cfRule>
  </conditionalFormatting>
  <conditionalFormatting sqref="M323">
    <cfRule type="expression" dxfId="339" priority="348">
      <formula>M323&gt;M322</formula>
    </cfRule>
  </conditionalFormatting>
  <conditionalFormatting sqref="M323">
    <cfRule type="expression" dxfId="338" priority="346">
      <formula>M350&gt;M323</formula>
    </cfRule>
  </conditionalFormatting>
  <conditionalFormatting sqref="M323">
    <cfRule type="expression" dxfId="337" priority="347">
      <formula>M323&gt;M322</formula>
    </cfRule>
  </conditionalFormatting>
  <conditionalFormatting sqref="K323">
    <cfRule type="expression" dxfId="336" priority="345">
      <formula>K323&gt;K322</formula>
    </cfRule>
  </conditionalFormatting>
  <conditionalFormatting sqref="K323">
    <cfRule type="expression" dxfId="335" priority="343">
      <formula>K350&gt;K323</formula>
    </cfRule>
  </conditionalFormatting>
  <conditionalFormatting sqref="K323">
    <cfRule type="expression" dxfId="334" priority="344">
      <formula>K323&gt;K322</formula>
    </cfRule>
  </conditionalFormatting>
  <conditionalFormatting sqref="S323">
    <cfRule type="expression" dxfId="333" priority="342">
      <formula>S323&gt;S322</formula>
    </cfRule>
  </conditionalFormatting>
  <conditionalFormatting sqref="S323">
    <cfRule type="expression" dxfId="332" priority="340">
      <formula>S350&gt;S323</formula>
    </cfRule>
  </conditionalFormatting>
  <conditionalFormatting sqref="S323">
    <cfRule type="expression" dxfId="331" priority="341">
      <formula>S323&gt;S322</formula>
    </cfRule>
  </conditionalFormatting>
  <conditionalFormatting sqref="U323">
    <cfRule type="expression" dxfId="330" priority="339">
      <formula>U323&gt;U322</formula>
    </cfRule>
  </conditionalFormatting>
  <conditionalFormatting sqref="U323">
    <cfRule type="expression" dxfId="329" priority="337">
      <formula>U350&gt;U323</formula>
    </cfRule>
  </conditionalFormatting>
  <conditionalFormatting sqref="U323">
    <cfRule type="expression" dxfId="328" priority="338">
      <formula>U323&gt;U322</formula>
    </cfRule>
  </conditionalFormatting>
  <conditionalFormatting sqref="W323">
    <cfRule type="expression" dxfId="327" priority="336">
      <formula>W323&gt;W322</formula>
    </cfRule>
  </conditionalFormatting>
  <conditionalFormatting sqref="W323">
    <cfRule type="expression" dxfId="326" priority="334">
      <formula>W350&gt;W323</formula>
    </cfRule>
  </conditionalFormatting>
  <conditionalFormatting sqref="W323">
    <cfRule type="expression" dxfId="325" priority="335">
      <formula>W323&gt;W322</formula>
    </cfRule>
  </conditionalFormatting>
  <conditionalFormatting sqref="Y323">
    <cfRule type="expression" dxfId="324" priority="333">
      <formula>Y323&gt;Y322</formula>
    </cfRule>
  </conditionalFormatting>
  <conditionalFormatting sqref="Y323">
    <cfRule type="expression" dxfId="323" priority="331">
      <formula>Y350&gt;Y323</formula>
    </cfRule>
  </conditionalFormatting>
  <conditionalFormatting sqref="Y323">
    <cfRule type="expression" dxfId="322" priority="332">
      <formula>Y323&gt;Y322</formula>
    </cfRule>
  </conditionalFormatting>
  <conditionalFormatting sqref="AK63:AK64">
    <cfRule type="notContainsBlanks" dxfId="321" priority="308">
      <formula>LEN(TRIM(AK63))&gt;0</formula>
    </cfRule>
  </conditionalFormatting>
  <conditionalFormatting sqref="AM63:AM64">
    <cfRule type="notContainsBlanks" dxfId="320" priority="307">
      <formula>LEN(TRIM(AM63))&gt;0</formula>
    </cfRule>
  </conditionalFormatting>
  <conditionalFormatting sqref="AM63">
    <cfRule type="notContainsBlanks" dxfId="319" priority="306">
      <formula>LEN(TRIM(AM63))&gt;0</formula>
    </cfRule>
  </conditionalFormatting>
  <conditionalFormatting sqref="AL63:AL64">
    <cfRule type="notContainsBlanks" dxfId="318" priority="309">
      <formula>LEN(TRIM(AL63))&gt;0</formula>
    </cfRule>
  </conditionalFormatting>
  <conditionalFormatting sqref="AJ63">
    <cfRule type="cellIs" dxfId="317" priority="305" operator="equal">
      <formula>0</formula>
    </cfRule>
  </conditionalFormatting>
  <conditionalFormatting sqref="AJ64">
    <cfRule type="cellIs" dxfId="316" priority="304" operator="equal">
      <formula>0</formula>
    </cfRule>
  </conditionalFormatting>
  <conditionalFormatting sqref="L63:AA63">
    <cfRule type="expression" dxfId="315" priority="303">
      <formula>L64&gt;L63</formula>
    </cfRule>
  </conditionalFormatting>
  <conditionalFormatting sqref="AK65:AK66">
    <cfRule type="notContainsBlanks" dxfId="314" priority="297">
      <formula>LEN(TRIM(AK65))&gt;0</formula>
    </cfRule>
  </conditionalFormatting>
  <conditionalFormatting sqref="AM65:AM66">
    <cfRule type="notContainsBlanks" dxfId="313" priority="296">
      <formula>LEN(TRIM(AM65))&gt;0</formula>
    </cfRule>
  </conditionalFormatting>
  <conditionalFormatting sqref="AM65">
    <cfRule type="notContainsBlanks" dxfId="312" priority="295">
      <formula>LEN(TRIM(AM65))&gt;0</formula>
    </cfRule>
  </conditionalFormatting>
  <conditionalFormatting sqref="AL65:AL66">
    <cfRule type="notContainsBlanks" dxfId="311" priority="298">
      <formula>LEN(TRIM(AL65))&gt;0</formula>
    </cfRule>
  </conditionalFormatting>
  <conditionalFormatting sqref="AJ65">
    <cfRule type="cellIs" dxfId="310" priority="294" operator="equal">
      <formula>0</formula>
    </cfRule>
  </conditionalFormatting>
  <conditionalFormatting sqref="AJ66">
    <cfRule type="cellIs" dxfId="309" priority="293" operator="equal">
      <formula>0</formula>
    </cfRule>
  </conditionalFormatting>
  <conditionalFormatting sqref="L65:AA65">
    <cfRule type="expression" dxfId="308" priority="292">
      <formula>L66&gt;L65</formula>
    </cfRule>
  </conditionalFormatting>
  <conditionalFormatting sqref="M173 O173 Q173 S173 U173 W173 Y173 AA173">
    <cfRule type="expression" dxfId="307" priority="278">
      <formula>(M170+M171+M173)&gt;M163</formula>
    </cfRule>
  </conditionalFormatting>
  <conditionalFormatting sqref="L174 N174 P174 R174 T174 V174 X174 Z174">
    <cfRule type="expression" dxfId="306" priority="277">
      <formula>(L171+L172+L174)&gt;L164</formula>
    </cfRule>
  </conditionalFormatting>
  <conditionalFormatting sqref="AK185:AK186">
    <cfRule type="notContainsBlanks" dxfId="305" priority="273">
      <formula>LEN(TRIM(AK185))&gt;0</formula>
    </cfRule>
  </conditionalFormatting>
  <conditionalFormatting sqref="AM185:AN186">
    <cfRule type="notContainsBlanks" dxfId="304" priority="271">
      <formula>LEN(TRIM(AM185))&gt;0</formula>
    </cfRule>
  </conditionalFormatting>
  <conditionalFormatting sqref="AJ185:AJ186">
    <cfRule type="cellIs" dxfId="303" priority="270" operator="equal">
      <formula>0</formula>
    </cfRule>
  </conditionalFormatting>
  <conditionalFormatting sqref="AK348">
    <cfRule type="notContainsBlanks" dxfId="302" priority="260">
      <formula>LEN(TRIM(AK348))&gt;0</formula>
    </cfRule>
  </conditionalFormatting>
  <conditionalFormatting sqref="AM348">
    <cfRule type="notContainsBlanks" dxfId="301" priority="259">
      <formula>LEN(TRIM(AM348))&gt;0</formula>
    </cfRule>
  </conditionalFormatting>
  <conditionalFormatting sqref="AL348">
    <cfRule type="notContainsBlanks" dxfId="300" priority="261">
      <formula>LEN(TRIM(AL348))&gt;0</formula>
    </cfRule>
  </conditionalFormatting>
  <conditionalFormatting sqref="AJ348">
    <cfRule type="cellIs" dxfId="299" priority="258" operator="equal">
      <formula>0</formula>
    </cfRule>
  </conditionalFormatting>
  <conditionalFormatting sqref="K348">
    <cfRule type="expression" dxfId="298" priority="257">
      <formula>K348&gt;K322</formula>
    </cfRule>
  </conditionalFormatting>
  <conditionalFormatting sqref="M348">
    <cfRule type="expression" dxfId="297" priority="256">
      <formula>M348&gt;M322</formula>
    </cfRule>
  </conditionalFormatting>
  <conditionalFormatting sqref="O348">
    <cfRule type="expression" dxfId="296" priority="255">
      <formula>O348&gt;O322</formula>
    </cfRule>
  </conditionalFormatting>
  <conditionalFormatting sqref="Q348">
    <cfRule type="expression" dxfId="295" priority="254">
      <formula>Q348&gt;Q322</formula>
    </cfRule>
  </conditionalFormatting>
  <conditionalFormatting sqref="S348">
    <cfRule type="expression" dxfId="294" priority="253">
      <formula>S348&gt;S322</formula>
    </cfRule>
  </conditionalFormatting>
  <conditionalFormatting sqref="U348">
    <cfRule type="expression" dxfId="293" priority="252">
      <formula>U348&gt;U322</formula>
    </cfRule>
  </conditionalFormatting>
  <conditionalFormatting sqref="W348">
    <cfRule type="expression" dxfId="292" priority="251">
      <formula>W348&gt;W322</formula>
    </cfRule>
  </conditionalFormatting>
  <conditionalFormatting sqref="Y348">
    <cfRule type="expression" dxfId="291" priority="250">
      <formula>Y348&gt;Y322</formula>
    </cfRule>
  </conditionalFormatting>
  <conditionalFormatting sqref="AA338:AA348">
    <cfRule type="cellIs" dxfId="290" priority="242" operator="equal">
      <formula>0</formula>
    </cfRule>
  </conditionalFormatting>
  <conditionalFormatting sqref="AB340">
    <cfRule type="cellIs" dxfId="289" priority="241" operator="equal">
      <formula>0</formula>
    </cfRule>
  </conditionalFormatting>
  <conditionalFormatting sqref="AD340">
    <cfRule type="cellIs" dxfId="288" priority="238" operator="equal">
      <formula>0</formula>
    </cfRule>
  </conditionalFormatting>
  <conditionalFormatting sqref="AF340">
    <cfRule type="cellIs" dxfId="287" priority="237" operator="equal">
      <formula>0</formula>
    </cfRule>
  </conditionalFormatting>
  <conditionalFormatting sqref="AH340">
    <cfRule type="cellIs" dxfId="286" priority="236" operator="equal">
      <formula>0</formula>
    </cfRule>
  </conditionalFormatting>
  <conditionalFormatting sqref="D190:AA191">
    <cfRule type="expression" dxfId="285" priority="3485">
      <formula>D192&gt;D190</formula>
    </cfRule>
  </conditionalFormatting>
  <conditionalFormatting sqref="AK204">
    <cfRule type="notContainsBlanks" dxfId="284" priority="217">
      <formula>LEN(TRIM(AK204))&gt;0</formula>
    </cfRule>
  </conditionalFormatting>
  <conditionalFormatting sqref="AK205">
    <cfRule type="notContainsBlanks" dxfId="283" priority="216">
      <formula>LEN(TRIM(AK205))&gt;0</formula>
    </cfRule>
  </conditionalFormatting>
  <conditionalFormatting sqref="AK206">
    <cfRule type="notContainsBlanks" dxfId="282" priority="215">
      <formula>LEN(TRIM(AK206))&gt;0</formula>
    </cfRule>
  </conditionalFormatting>
  <conditionalFormatting sqref="AK207">
    <cfRule type="notContainsBlanks" dxfId="281" priority="214">
      <formula>LEN(TRIM(AK207))&gt;0</formula>
    </cfRule>
  </conditionalFormatting>
  <conditionalFormatting sqref="AM204:AN204 AM205:AM207">
    <cfRule type="notContainsBlanks" dxfId="280" priority="213">
      <formula>LEN(TRIM(AM204))&gt;0</formula>
    </cfRule>
  </conditionalFormatting>
  <conditionalFormatting sqref="AJ204:AJ207">
    <cfRule type="cellIs" dxfId="279" priority="212" operator="equal">
      <formula>0</formula>
    </cfRule>
  </conditionalFormatting>
  <conditionalFormatting sqref="D204:AA204">
    <cfRule type="expression" dxfId="278" priority="211">
      <formula>D206&gt;D204</formula>
    </cfRule>
  </conditionalFormatting>
  <conditionalFormatting sqref="D205:AA205">
    <cfRule type="expression" dxfId="277" priority="210">
      <formula>D207&gt;D205</formula>
    </cfRule>
  </conditionalFormatting>
  <conditionalFormatting sqref="D206:AA206">
    <cfRule type="expression" dxfId="276" priority="209">
      <formula>D206&gt;D204</formula>
    </cfRule>
  </conditionalFormatting>
  <conditionalFormatting sqref="D207:AA207">
    <cfRule type="expression" dxfId="275" priority="208">
      <formula>D207&gt;D205</formula>
    </cfRule>
  </conditionalFormatting>
  <conditionalFormatting sqref="D206:AA207">
    <cfRule type="expression" dxfId="274" priority="220">
      <formula>D220&gt;D206</formula>
    </cfRule>
  </conditionalFormatting>
  <conditionalFormatting sqref="AM208:AM215">
    <cfRule type="notContainsBlanks" dxfId="273" priority="207">
      <formula>LEN(TRIM(AM208))&gt;0</formula>
    </cfRule>
  </conditionalFormatting>
  <conditionalFormatting sqref="AJ208:AJ215">
    <cfRule type="cellIs" dxfId="272" priority="206" operator="equal">
      <formula>0</formula>
    </cfRule>
  </conditionalFormatting>
  <conditionalFormatting sqref="AK201:AK202">
    <cfRule type="notContainsBlanks" dxfId="271" priority="205">
      <formula>LEN(TRIM(AK201))&gt;0</formula>
    </cfRule>
  </conditionalFormatting>
  <conditionalFormatting sqref="AM201:AM202">
    <cfRule type="notContainsBlanks" dxfId="270" priority="204">
      <formula>LEN(TRIM(AM201))&gt;0</formula>
    </cfRule>
  </conditionalFormatting>
  <conditionalFormatting sqref="AJ201:AJ202">
    <cfRule type="cellIs" dxfId="269" priority="203" operator="equal">
      <formula>0</formula>
    </cfRule>
  </conditionalFormatting>
  <conditionalFormatting sqref="AL201">
    <cfRule type="notContainsBlanks" dxfId="268" priority="202">
      <formula>LEN(TRIM(AL201))&gt;0</formula>
    </cfRule>
  </conditionalFormatting>
  <conditionalFormatting sqref="Z436:AA440 Z442:AA446">
    <cfRule type="cellIs" dxfId="267" priority="201" operator="equal">
      <formula>0</formula>
    </cfRule>
  </conditionalFormatting>
  <conditionalFormatting sqref="Z453:AA456">
    <cfRule type="cellIs" dxfId="266" priority="200" operator="equal">
      <formula>0</formula>
    </cfRule>
  </conditionalFormatting>
  <conditionalFormatting sqref="Z458:AA461">
    <cfRule type="cellIs" dxfId="265" priority="199" operator="equal">
      <formula>0</formula>
    </cfRule>
  </conditionalFormatting>
  <conditionalFormatting sqref="Z463:AA466">
    <cfRule type="cellIs" dxfId="264" priority="198" operator="equal">
      <formula>0</formula>
    </cfRule>
  </conditionalFormatting>
  <conditionalFormatting sqref="Z468:AA471">
    <cfRule type="cellIs" dxfId="263" priority="197" operator="equal">
      <formula>0</formula>
    </cfRule>
  </conditionalFormatting>
  <conditionalFormatting sqref="Z473:AA476">
    <cfRule type="cellIs" dxfId="262" priority="196" operator="equal">
      <formula>0</formula>
    </cfRule>
  </conditionalFormatting>
  <conditionalFormatting sqref="Z478:AA481">
    <cfRule type="cellIs" dxfId="261" priority="195" operator="equal">
      <formula>0</formula>
    </cfRule>
  </conditionalFormatting>
  <conditionalFormatting sqref="Z483:AA486">
    <cfRule type="cellIs" dxfId="260" priority="194" operator="equal">
      <formula>0</formula>
    </cfRule>
  </conditionalFormatting>
  <conditionalFormatting sqref="Z488:AA491">
    <cfRule type="cellIs" dxfId="259" priority="193" operator="equal">
      <formula>0</formula>
    </cfRule>
  </conditionalFormatting>
  <conditionalFormatting sqref="Z493:AA496">
    <cfRule type="cellIs" dxfId="258" priority="192" operator="equal">
      <formula>0</formula>
    </cfRule>
  </conditionalFormatting>
  <conditionalFormatting sqref="Z498:AA501">
    <cfRule type="cellIs" dxfId="257" priority="191" operator="equal">
      <formula>0</formula>
    </cfRule>
  </conditionalFormatting>
  <conditionalFormatting sqref="AA503:AA506">
    <cfRule type="cellIs" dxfId="256" priority="190" operator="equal">
      <formula>0</formula>
    </cfRule>
  </conditionalFormatting>
  <conditionalFormatting sqref="AA508:AA511">
    <cfRule type="cellIs" dxfId="255" priority="189" operator="equal">
      <formula>0</formula>
    </cfRule>
  </conditionalFormatting>
  <conditionalFormatting sqref="Z22:AA25">
    <cfRule type="cellIs" dxfId="254" priority="188" operator="equal">
      <formula>0</formula>
    </cfRule>
  </conditionalFormatting>
  <conditionalFormatting sqref="Z27:AA28">
    <cfRule type="cellIs" dxfId="253" priority="187" operator="equal">
      <formula>0</formula>
    </cfRule>
  </conditionalFormatting>
  <conditionalFormatting sqref="Z35:AA36">
    <cfRule type="cellIs" dxfId="252" priority="186" operator="equal">
      <formula>0</formula>
    </cfRule>
  </conditionalFormatting>
  <conditionalFormatting sqref="Z37:AA38">
    <cfRule type="cellIs" dxfId="251" priority="185" operator="equal">
      <formula>0</formula>
    </cfRule>
  </conditionalFormatting>
  <conditionalFormatting sqref="Z43:AA44">
    <cfRule type="cellIs" dxfId="250" priority="184" operator="equal">
      <formula>0</formula>
    </cfRule>
  </conditionalFormatting>
  <conditionalFormatting sqref="Z45:AA46">
    <cfRule type="cellIs" dxfId="249" priority="183" operator="equal">
      <formula>0</formula>
    </cfRule>
  </conditionalFormatting>
  <conditionalFormatting sqref="Z47:AA48">
    <cfRule type="cellIs" dxfId="248" priority="182" operator="equal">
      <formula>0</formula>
    </cfRule>
  </conditionalFormatting>
  <conditionalFormatting sqref="Z49:AA50">
    <cfRule type="cellIs" dxfId="247" priority="181" operator="equal">
      <formula>0</formula>
    </cfRule>
  </conditionalFormatting>
  <conditionalFormatting sqref="Z53:AA55">
    <cfRule type="cellIs" dxfId="246" priority="180" operator="equal">
      <formula>0</formula>
    </cfRule>
  </conditionalFormatting>
  <conditionalFormatting sqref="K141">
    <cfRule type="cellIs" dxfId="245" priority="179" operator="equal">
      <formula>0</formula>
    </cfRule>
  </conditionalFormatting>
  <conditionalFormatting sqref="M141">
    <cfRule type="cellIs" dxfId="244" priority="178" operator="equal">
      <formula>0</formula>
    </cfRule>
  </conditionalFormatting>
  <conditionalFormatting sqref="O141">
    <cfRule type="cellIs" dxfId="243" priority="177" operator="equal">
      <formula>0</formula>
    </cfRule>
  </conditionalFormatting>
  <conditionalFormatting sqref="Q141">
    <cfRule type="cellIs" dxfId="242" priority="176" operator="equal">
      <formula>0</formula>
    </cfRule>
  </conditionalFormatting>
  <conditionalFormatting sqref="S141">
    <cfRule type="cellIs" dxfId="241" priority="175" operator="equal">
      <formula>0</formula>
    </cfRule>
  </conditionalFormatting>
  <conditionalFormatting sqref="U141">
    <cfRule type="cellIs" dxfId="240" priority="174" operator="equal">
      <formula>0</formula>
    </cfRule>
  </conditionalFormatting>
  <conditionalFormatting sqref="W141">
    <cfRule type="cellIs" dxfId="239" priority="173" operator="equal">
      <formula>0</formula>
    </cfRule>
  </conditionalFormatting>
  <conditionalFormatting sqref="Y141">
    <cfRule type="cellIs" dxfId="238" priority="172" operator="equal">
      <formula>0</formula>
    </cfRule>
  </conditionalFormatting>
  <conditionalFormatting sqref="AA141">
    <cfRule type="cellIs" dxfId="237" priority="171" operator="equal">
      <formula>0</formula>
    </cfRule>
  </conditionalFormatting>
  <conditionalFormatting sqref="AM144:AM145">
    <cfRule type="notContainsBlanks" dxfId="236" priority="169">
      <formula>LEN(TRIM(AM144))&gt;0</formula>
    </cfRule>
  </conditionalFormatting>
  <conditionalFormatting sqref="AM146:AM148">
    <cfRule type="notContainsBlanks" dxfId="235" priority="166">
      <formula>LEN(TRIM(AM146))&gt;0</formula>
    </cfRule>
  </conditionalFormatting>
  <conditionalFormatting sqref="AM175:AM176">
    <cfRule type="notContainsBlanks" dxfId="234" priority="163">
      <formula>LEN(TRIM(AM175))&gt;0</formula>
    </cfRule>
  </conditionalFormatting>
  <conditionalFormatting sqref="AM177:AM179">
    <cfRule type="notContainsBlanks" dxfId="233" priority="160">
      <formula>LEN(TRIM(AM177))&gt;0</formula>
    </cfRule>
  </conditionalFormatting>
  <conditionalFormatting sqref="AM149">
    <cfRule type="notContainsBlanks" dxfId="232" priority="156">
      <formula>LEN(TRIM(AM149))&gt;0</formula>
    </cfRule>
  </conditionalFormatting>
  <conditionalFormatting sqref="AM180">
    <cfRule type="notContainsBlanks" dxfId="231" priority="152">
      <formula>LEN(TRIM(AM180))&gt;0</formula>
    </cfRule>
  </conditionalFormatting>
  <conditionalFormatting sqref="AB365:AI365">
    <cfRule type="expression" dxfId="230" priority="146">
      <formula>AB365&gt;AB380</formula>
    </cfRule>
  </conditionalFormatting>
  <conditionalFormatting sqref="Z364:AA365">
    <cfRule type="cellIs" dxfId="229" priority="144" operator="equal">
      <formula>0</formula>
    </cfRule>
  </conditionalFormatting>
  <conditionalFormatting sqref="AJ364:AJ366">
    <cfRule type="cellIs" dxfId="228" priority="140" operator="equal">
      <formula>0</formula>
    </cfRule>
  </conditionalFormatting>
  <conditionalFormatting sqref="AB366:AI366">
    <cfRule type="expression" dxfId="227" priority="139">
      <formula>AB366&gt;AB381</formula>
    </cfRule>
  </conditionalFormatting>
  <conditionalFormatting sqref="Z366:AA366">
    <cfRule type="cellIs" dxfId="226" priority="137" operator="equal">
      <formula>0</formula>
    </cfRule>
  </conditionalFormatting>
  <conditionalFormatting sqref="AJ367">
    <cfRule type="cellIs" dxfId="225" priority="133" operator="equal">
      <formula>0</formula>
    </cfRule>
  </conditionalFormatting>
  <conditionalFormatting sqref="Z367:AA367">
    <cfRule type="cellIs" dxfId="224" priority="130" operator="equal">
      <formula>0</formula>
    </cfRule>
  </conditionalFormatting>
  <conditionalFormatting sqref="D364:Y364 AB364:AI364">
    <cfRule type="cellIs" dxfId="223" priority="126" operator="equal">
      <formula>0</formula>
    </cfRule>
  </conditionalFormatting>
  <conditionalFormatting sqref="D364:Y364 AB364:AI364">
    <cfRule type="cellIs" dxfId="222" priority="125" operator="equal">
      <formula>0</formula>
    </cfRule>
  </conditionalFormatting>
  <conditionalFormatting sqref="I356">
    <cfRule type="expression" dxfId="221" priority="3530">
      <formula>#REF!&gt;I356</formula>
    </cfRule>
  </conditionalFormatting>
  <conditionalFormatting sqref="D393:AI393">
    <cfRule type="expression" dxfId="220" priority="3531">
      <formula>D404&gt;D393</formula>
    </cfRule>
  </conditionalFormatting>
  <conditionalFormatting sqref="D401:Y401">
    <cfRule type="expression" dxfId="219" priority="3533">
      <formula>D401&gt;SUM(D395:D397)</formula>
    </cfRule>
  </conditionalFormatting>
  <conditionalFormatting sqref="AB398:AI398 D398:Y400 D283:AA283">
    <cfRule type="expression" dxfId="218" priority="3534">
      <formula>D289&gt;D283</formula>
    </cfRule>
  </conditionalFormatting>
  <conditionalFormatting sqref="L144:AA144">
    <cfRule type="expression" dxfId="217" priority="119">
      <formula>(L145+L144)&lt;&gt;L132</formula>
    </cfRule>
  </conditionalFormatting>
  <conditionalFormatting sqref="L145:AA145">
    <cfRule type="expression" dxfId="216" priority="118">
      <formula>(L145+L144)&lt;&gt;L132</formula>
    </cfRule>
  </conditionalFormatting>
  <conditionalFormatting sqref="J132:AA132">
    <cfRule type="expression" dxfId="215" priority="117">
      <formula>(J145+J144)&lt;&gt;J132</formula>
    </cfRule>
  </conditionalFormatting>
  <conditionalFormatting sqref="L146:AA146">
    <cfRule type="expression" dxfId="214" priority="116">
      <formula>(L146+L147+L148)&lt;&gt;L132</formula>
    </cfRule>
  </conditionalFormatting>
  <conditionalFormatting sqref="J147:AA147">
    <cfRule type="expression" dxfId="213" priority="115">
      <formula>(J146+J147+J148)&lt;&gt;J132</formula>
    </cfRule>
  </conditionalFormatting>
  <conditionalFormatting sqref="J148:AA148">
    <cfRule type="expression" dxfId="212" priority="114">
      <formula>(J146+J147+J148)&lt;&gt;J132</formula>
    </cfRule>
  </conditionalFormatting>
  <conditionalFormatting sqref="J132:AA132">
    <cfRule type="expression" dxfId="211" priority="113">
      <formula>(J146+J147+J148)&lt;&gt;J132</formula>
    </cfRule>
  </conditionalFormatting>
  <conditionalFormatting sqref="L149:AA149">
    <cfRule type="expression" dxfId="210" priority="112">
      <formula>L149&gt;L132</formula>
    </cfRule>
  </conditionalFormatting>
  <conditionalFormatting sqref="J132:AA132">
    <cfRule type="expression" dxfId="209" priority="111">
      <formula>J149&gt;J132</formula>
    </cfRule>
  </conditionalFormatting>
  <conditionalFormatting sqref="L175:AA175">
    <cfRule type="expression" dxfId="208" priority="110">
      <formula>(L175+L176)&lt;&gt;L151</formula>
    </cfRule>
  </conditionalFormatting>
  <conditionalFormatting sqref="L176:AA176">
    <cfRule type="expression" dxfId="207" priority="109">
      <formula>(L175+L176)&lt;&gt;L151</formula>
    </cfRule>
  </conditionalFormatting>
  <conditionalFormatting sqref="L151:AA151">
    <cfRule type="expression" dxfId="206" priority="108">
      <formula>(L175+L176)&lt;&gt;L151</formula>
    </cfRule>
  </conditionalFormatting>
  <conditionalFormatting sqref="L177:AA177">
    <cfRule type="expression" dxfId="205" priority="107">
      <formula>(L177+L178+L179)&lt;&gt;L151</formula>
    </cfRule>
  </conditionalFormatting>
  <conditionalFormatting sqref="L178:AA178">
    <cfRule type="expression" dxfId="204" priority="106">
      <formula>(L177+L178+L179)&lt;&gt;L151</formula>
    </cfRule>
  </conditionalFormatting>
  <conditionalFormatting sqref="L179:AA179">
    <cfRule type="expression" dxfId="203" priority="105">
      <formula>(L177+L178+L179)&lt;&gt;L151</formula>
    </cfRule>
  </conditionalFormatting>
  <conditionalFormatting sqref="L151:AA151">
    <cfRule type="expression" dxfId="202" priority="104">
      <formula>(L177+L178+L179)&lt;&gt;L151</formula>
    </cfRule>
  </conditionalFormatting>
  <conditionalFormatting sqref="L180:AA180">
    <cfRule type="expression" dxfId="201" priority="103">
      <formula>L180&gt;L151</formula>
    </cfRule>
  </conditionalFormatting>
  <conditionalFormatting sqref="L151:AA151">
    <cfRule type="expression" dxfId="200" priority="102">
      <formula>L180&gt;L151</formula>
    </cfRule>
  </conditionalFormatting>
  <conditionalFormatting sqref="D364:Y364 AB364:AI364">
    <cfRule type="expression" dxfId="199" priority="101">
      <formula>D364&lt;&gt;D356</formula>
    </cfRule>
  </conditionalFormatting>
  <conditionalFormatting sqref="D399:Y399">
    <cfRule type="expression" dxfId="198" priority="100">
      <formula>(D399+D400+D401)&lt;&gt;D393</formula>
    </cfRule>
  </conditionalFormatting>
  <conditionalFormatting sqref="D400:Y400">
    <cfRule type="expression" dxfId="197" priority="99">
      <formula>(D399+D400+D401)&lt;&gt;D393</formula>
    </cfRule>
  </conditionalFormatting>
  <conditionalFormatting sqref="D401:Y401">
    <cfRule type="expression" dxfId="196" priority="98">
      <formula>(D399+D400+D401)&lt;&gt;D393</formula>
    </cfRule>
  </conditionalFormatting>
  <conditionalFormatting sqref="D393:AI393">
    <cfRule type="expression" dxfId="195" priority="97">
      <formula>(D399+D400+D401)&lt;&gt;D393</formula>
    </cfRule>
  </conditionalFormatting>
  <conditionalFormatting sqref="AB399:AI400">
    <cfRule type="expression" dxfId="194" priority="94">
      <formula>AB399&gt;SUM(AB395:AB397)</formula>
    </cfRule>
  </conditionalFormatting>
  <conditionalFormatting sqref="AB401:AI401">
    <cfRule type="expression" dxfId="193" priority="93">
      <formula>AB405&gt;AB401</formula>
    </cfRule>
  </conditionalFormatting>
  <conditionalFormatting sqref="AB401:AI401">
    <cfRule type="expression" dxfId="192" priority="95">
      <formula>AB401&gt;SUM(AB395:AB397)</formula>
    </cfRule>
  </conditionalFormatting>
  <conditionalFormatting sqref="AB399:AI400">
    <cfRule type="expression" dxfId="191" priority="96">
      <formula>AB405&gt;AB399</formula>
    </cfRule>
  </conditionalFormatting>
  <conditionalFormatting sqref="AB399:AI399">
    <cfRule type="expression" dxfId="190" priority="92">
      <formula>(AB399+AB400+AB401)&lt;&gt;AB393</formula>
    </cfRule>
  </conditionalFormatting>
  <conditionalFormatting sqref="AB400:AI400">
    <cfRule type="expression" dxfId="189" priority="91">
      <formula>(AB399+AB400+AB401)&lt;&gt;AB393</formula>
    </cfRule>
  </conditionalFormatting>
  <conditionalFormatting sqref="AB401:AI401">
    <cfRule type="expression" dxfId="188" priority="90">
      <formula>(AB399+AB400+AB401)&lt;&gt;AB393</formula>
    </cfRule>
  </conditionalFormatting>
  <conditionalFormatting sqref="AL405:AL412">
    <cfRule type="notContainsBlanks" dxfId="187" priority="89">
      <formula>LEN(TRIM(AL405))&gt;0</formula>
    </cfRule>
  </conditionalFormatting>
  <conditionalFormatting sqref="AK408">
    <cfRule type="notContainsBlanks" dxfId="186" priority="88">
      <formula>LEN(TRIM(AK408))&gt;0</formula>
    </cfRule>
  </conditionalFormatting>
  <conditionalFormatting sqref="AK407">
    <cfRule type="notContainsBlanks" dxfId="185" priority="86">
      <formula>LEN(TRIM(AK407))&gt;0</formula>
    </cfRule>
  </conditionalFormatting>
  <conditionalFormatting sqref="AK411">
    <cfRule type="notContainsBlanks" dxfId="184" priority="85">
      <formula>LEN(TRIM(AK411))&gt;0</formula>
    </cfRule>
  </conditionalFormatting>
  <conditionalFormatting sqref="AK410">
    <cfRule type="notContainsBlanks" dxfId="183" priority="84">
      <formula>LEN(TRIM(AK410))&gt;0</formula>
    </cfRule>
  </conditionalFormatting>
  <conditionalFormatting sqref="B2">
    <cfRule type="notContainsBlanks" dxfId="182" priority="83">
      <formula>LEN(TRIM(B2))&gt;0</formula>
    </cfRule>
  </conditionalFormatting>
  <conditionalFormatting sqref="D443:E443">
    <cfRule type="cellIs" dxfId="181" priority="82" operator="equal">
      <formula>0</formula>
    </cfRule>
  </conditionalFormatting>
  <conditionalFormatting sqref="D286:AA286">
    <cfRule type="expression" dxfId="180" priority="81">
      <formula>D286&gt;D284</formula>
    </cfRule>
  </conditionalFormatting>
  <conditionalFormatting sqref="AM288">
    <cfRule type="notContainsBlanks" dxfId="179" priority="78">
      <formula>LEN(TRIM(AM288))&gt;0</formula>
    </cfRule>
  </conditionalFormatting>
  <conditionalFormatting sqref="AJ288">
    <cfRule type="cellIs" dxfId="178" priority="77" operator="equal">
      <formula>0</formula>
    </cfRule>
  </conditionalFormatting>
  <conditionalFormatting sqref="E288 G288 I288 K288 M288 O288 Q288 S288 U288 W288 Y288 AA288">
    <cfRule type="cellIs" dxfId="177" priority="76" operator="equal">
      <formula>0</formula>
    </cfRule>
  </conditionalFormatting>
  <conditionalFormatting sqref="E288 G288 I288 K288 M288 O288 Q288 S288 U288 W288 Y288 AA288">
    <cfRule type="expression" dxfId="176" priority="75">
      <formula>E288&gt;E292</formula>
    </cfRule>
  </conditionalFormatting>
  <conditionalFormatting sqref="E288 G288 I288 K288 M288 O288 Q288 S288 U288 W288 Y288 AA288">
    <cfRule type="expression" dxfId="175" priority="74">
      <formula>E288&gt;E283</formula>
    </cfRule>
  </conditionalFormatting>
  <conditionalFormatting sqref="F29:AI29">
    <cfRule type="cellIs" dxfId="174" priority="72" operator="equal">
      <formula>0</formula>
    </cfRule>
  </conditionalFormatting>
  <conditionalFormatting sqref="L30:Y30">
    <cfRule type="expression" dxfId="173" priority="71">
      <formula>L30&gt;L29</formula>
    </cfRule>
  </conditionalFormatting>
  <conditionalFormatting sqref="AB30:AI30">
    <cfRule type="expression" dxfId="172" priority="67">
      <formula>AB30&gt;AB29</formula>
    </cfRule>
  </conditionalFormatting>
  <conditionalFormatting sqref="AK284:AK285">
    <cfRule type="notContainsBlanks" dxfId="171" priority="61">
      <formula>LEN(TRIM(AK284))&gt;0</formula>
    </cfRule>
  </conditionalFormatting>
  <conditionalFormatting sqref="AM284:AM285">
    <cfRule type="notContainsBlanks" dxfId="170" priority="60">
      <formula>LEN(TRIM(AM284))&gt;0</formula>
    </cfRule>
  </conditionalFormatting>
  <conditionalFormatting sqref="AJ284:AJ285">
    <cfRule type="cellIs" dxfId="169" priority="59" operator="equal">
      <formula>0</formula>
    </cfRule>
  </conditionalFormatting>
  <conditionalFormatting sqref="D284:AA284">
    <cfRule type="expression" dxfId="168" priority="58">
      <formula>D285&gt;D284</formula>
    </cfRule>
  </conditionalFormatting>
  <conditionalFormatting sqref="D285:AA285">
    <cfRule type="expression" dxfId="167" priority="57">
      <formula>D285&gt;D284</formula>
    </cfRule>
  </conditionalFormatting>
  <conditionalFormatting sqref="D291:AA291">
    <cfRule type="expression" dxfId="166" priority="3578">
      <formula>D291&gt;D283</formula>
    </cfRule>
  </conditionalFormatting>
  <conditionalFormatting sqref="D204:AA204">
    <cfRule type="expression" dxfId="165" priority="3590">
      <formula>SUM(D204:D205)&gt;D389</formula>
    </cfRule>
  </conditionalFormatting>
  <conditionalFormatting sqref="D205:E205">
    <cfRule type="expression" dxfId="164" priority="3591">
      <formula>SUM(D204:D205)&gt;D389</formula>
    </cfRule>
  </conditionalFormatting>
  <conditionalFormatting sqref="D188:AA188">
    <cfRule type="expression" dxfId="163" priority="3592">
      <formula>SUM(D188:D189)&gt;D371</formula>
    </cfRule>
  </conditionalFormatting>
  <conditionalFormatting sqref="D189:E189">
    <cfRule type="expression" dxfId="162" priority="3593">
      <formula>SUM(D188:D189)&gt;D371</formula>
    </cfRule>
  </conditionalFormatting>
  <conditionalFormatting sqref="D201:AA201">
    <cfRule type="expression" dxfId="161" priority="3594">
      <formula>(D201+D185)&gt;D356</formula>
    </cfRule>
  </conditionalFormatting>
  <conditionalFormatting sqref="AJ56:AJ57">
    <cfRule type="cellIs" dxfId="160" priority="56" operator="equal">
      <formula>0</formula>
    </cfRule>
  </conditionalFormatting>
  <conditionalFormatting sqref="F56:AI56">
    <cfRule type="cellIs" dxfId="159" priority="55" operator="equal">
      <formula>0</formula>
    </cfRule>
  </conditionalFormatting>
  <conditionalFormatting sqref="L56:Y56">
    <cfRule type="expression" dxfId="158" priority="54">
      <formula>L61&gt;L56</formula>
    </cfRule>
  </conditionalFormatting>
  <conditionalFormatting sqref="AB56:AI56">
    <cfRule type="expression" dxfId="157" priority="53">
      <formula>AB61&gt;AB56</formula>
    </cfRule>
  </conditionalFormatting>
  <conditionalFormatting sqref="F57:Y57">
    <cfRule type="expression" dxfId="156" priority="52">
      <formula>F57&gt;F56</formula>
    </cfRule>
  </conditionalFormatting>
  <conditionalFormatting sqref="AB57:AI57">
    <cfRule type="expression" dxfId="155" priority="51">
      <formula>AB57&gt;AB56</formula>
    </cfRule>
  </conditionalFormatting>
  <conditionalFormatting sqref="Z57:AA57">
    <cfRule type="cellIs" dxfId="154" priority="50" operator="equal">
      <formula>0</formula>
    </cfRule>
  </conditionalFormatting>
  <conditionalFormatting sqref="D284:AA284">
    <cfRule type="expression" dxfId="153" priority="49">
      <formula>XFC286&gt;XFC284</formula>
    </cfRule>
  </conditionalFormatting>
  <conditionalFormatting sqref="D284:AA284">
    <cfRule type="expression" dxfId="152" priority="48">
      <formula>D286&gt;D284</formula>
    </cfRule>
  </conditionalFormatting>
  <conditionalFormatting sqref="AJ368">
    <cfRule type="cellIs" dxfId="151" priority="46" operator="equal">
      <formula>0</formula>
    </cfRule>
  </conditionalFormatting>
  <conditionalFormatting sqref="AJ369">
    <cfRule type="cellIs" dxfId="150" priority="43" operator="equal">
      <formula>0</formula>
    </cfRule>
  </conditionalFormatting>
  <conditionalFormatting sqref="D369:Y369">
    <cfRule type="cellIs" dxfId="149" priority="39" operator="equal">
      <formula>0</formula>
    </cfRule>
  </conditionalFormatting>
  <conditionalFormatting sqref="D369:Y369">
    <cfRule type="cellIs" dxfId="148" priority="38" operator="equal">
      <formula>0</formula>
    </cfRule>
  </conditionalFormatting>
  <conditionalFormatting sqref="D369:Y369">
    <cfRule type="expression" dxfId="147" priority="37">
      <formula>D369&lt;&gt;D361</formula>
    </cfRule>
  </conditionalFormatting>
  <conditionalFormatting sqref="Z369:AA369">
    <cfRule type="cellIs" dxfId="146" priority="36" operator="equal">
      <formula>0</formula>
    </cfRule>
  </conditionalFormatting>
  <conditionalFormatting sqref="Z369:AA369">
    <cfRule type="cellIs" dxfId="145" priority="35" operator="equal">
      <formula>0</formula>
    </cfRule>
  </conditionalFormatting>
  <conditionalFormatting sqref="Z369:AA369">
    <cfRule type="expression" dxfId="144" priority="34">
      <formula>Z369&lt;&gt;Z361</formula>
    </cfRule>
  </conditionalFormatting>
  <conditionalFormatting sqref="D369">
    <cfRule type="expression" dxfId="143" priority="33">
      <formula>D369&gt;D368</formula>
    </cfRule>
  </conditionalFormatting>
  <conditionalFormatting sqref="D368:AA368">
    <cfRule type="expression" dxfId="142" priority="32">
      <formula>D369&gt;D368</formula>
    </cfRule>
  </conditionalFormatting>
  <conditionalFormatting sqref="D368:AA368">
    <cfRule type="expression" dxfId="141" priority="31">
      <formula>D368&gt;D356</formula>
    </cfRule>
  </conditionalFormatting>
  <conditionalFormatting sqref="AJ386">
    <cfRule type="cellIs" dxfId="140" priority="30" operator="equal">
      <formula>0</formula>
    </cfRule>
  </conditionalFormatting>
  <conditionalFormatting sqref="AJ387">
    <cfRule type="cellIs" dxfId="139" priority="28" operator="equal">
      <formula>0</formula>
    </cfRule>
  </conditionalFormatting>
  <conditionalFormatting sqref="D387:Y387">
    <cfRule type="expression" dxfId="138" priority="25">
      <formula>D387&gt;D386</formula>
    </cfRule>
  </conditionalFormatting>
  <conditionalFormatting sqref="D386:Y386">
    <cfRule type="expression" dxfId="137" priority="24">
      <formula>D387&gt;D386</formula>
    </cfRule>
  </conditionalFormatting>
  <conditionalFormatting sqref="AB387:AI387">
    <cfRule type="expression" dxfId="136" priority="23">
      <formula>AB387&gt;AB386</formula>
    </cfRule>
  </conditionalFormatting>
  <conditionalFormatting sqref="Z386:AA386 Z387">
    <cfRule type="cellIs" dxfId="135" priority="21" operator="equal">
      <formula>0</formula>
    </cfRule>
  </conditionalFormatting>
  <conditionalFormatting sqref="AA387">
    <cfRule type="cellIs" dxfId="134" priority="20" operator="equal">
      <formula>0</formula>
    </cfRule>
  </conditionalFormatting>
  <conditionalFormatting sqref="AK386">
    <cfRule type="notContainsBlanks" dxfId="133" priority="19">
      <formula>LEN(TRIM(AK386))&gt;0</formula>
    </cfRule>
  </conditionalFormatting>
  <conditionalFormatting sqref="D386:Y386">
    <cfRule type="expression" dxfId="132" priority="18">
      <formula>D386&gt;D371</formula>
    </cfRule>
  </conditionalFormatting>
  <conditionalFormatting sqref="D371:Y371">
    <cfRule type="expression" dxfId="131" priority="17">
      <formula>D386&gt;D371</formula>
    </cfRule>
  </conditionalFormatting>
  <conditionalFormatting sqref="AB386:AI386">
    <cfRule type="expression" dxfId="130" priority="16">
      <formula>AB387&gt;AB386</formula>
    </cfRule>
  </conditionalFormatting>
  <conditionalFormatting sqref="AB386:AI386">
    <cfRule type="expression" dxfId="129" priority="15">
      <formula>AB386&gt;AB371</formula>
    </cfRule>
  </conditionalFormatting>
  <conditionalFormatting sqref="AB371:AI371">
    <cfRule type="expression" dxfId="128" priority="14">
      <formula>AB386&gt;AB371</formula>
    </cfRule>
  </conditionalFormatting>
  <conditionalFormatting sqref="AK369">
    <cfRule type="notContainsBlanks" dxfId="127" priority="13">
      <formula>LEN(TRIM(AK369))&gt;0</formula>
    </cfRule>
  </conditionalFormatting>
  <conditionalFormatting sqref="AL282:AL292 AL294:AL298">
    <cfRule type="notContainsBlanks" dxfId="126" priority="12">
      <formula>LEN(TRIM(AL282))&gt;0</formula>
    </cfRule>
  </conditionalFormatting>
  <conditionalFormatting sqref="AL188:AL199">
    <cfRule type="notContainsBlanks" dxfId="125" priority="11">
      <formula>LEN(TRIM(AL188))&gt;0</formula>
    </cfRule>
  </conditionalFormatting>
  <conditionalFormatting sqref="AL204:AL215">
    <cfRule type="notContainsBlanks" dxfId="124" priority="3595">
      <formula>LEN(TRIM(AL204))&gt;0</formula>
    </cfRule>
  </conditionalFormatting>
  <conditionalFormatting sqref="AK293">
    <cfRule type="notContainsBlanks" dxfId="123" priority="9">
      <formula>LEN(TRIM(AK293))&gt;0</formula>
    </cfRule>
  </conditionalFormatting>
  <conditionalFormatting sqref="AM293">
    <cfRule type="notContainsBlanks" dxfId="122" priority="8">
      <formula>LEN(TRIM(AM293))&gt;0</formula>
    </cfRule>
  </conditionalFormatting>
  <conditionalFormatting sqref="AJ293">
    <cfRule type="cellIs" dxfId="121" priority="7" operator="equal">
      <formula>0</formula>
    </cfRule>
  </conditionalFormatting>
  <conditionalFormatting sqref="AL293">
    <cfRule type="notContainsBlanks" dxfId="120" priority="5">
      <formula>LEN(TRIM(AL293))&gt;0</formula>
    </cfRule>
  </conditionalFormatting>
  <conditionalFormatting sqref="D293:AA293">
    <cfRule type="expression" dxfId="119" priority="4">
      <formula>D295&gt;D293</formula>
    </cfRule>
    <cfRule type="expression" dxfId="118" priority="3">
      <formula>D293&gt;D292</formula>
    </cfRule>
  </conditionalFormatting>
  <conditionalFormatting sqref="D292:AA292">
    <cfRule type="expression" dxfId="117" priority="2">
      <formula>D293&gt;D292</formula>
    </cfRule>
  </conditionalFormatting>
  <conditionalFormatting sqref="AJ282">
    <cfRule type="cellIs" dxfId="116" priority="1" operator="equal">
      <formula>0</formula>
    </cfRule>
  </conditionalFormatting>
  <dataValidations count="3">
    <dataValidation type="whole" allowBlank="1" showInputMessage="1" showErrorMessage="1" errorTitle="Non-Numeric or abnormal value" error="Enter Numbers only between 0 and 99999" sqref="D8:AI18 AJ132 Z356:AA356 D302:AI334 D422:D434 E428:AI434 G442:Y446 E422:AI426 E246:AI254 AJ18 AJ246 E406:AI412 E356:Y364 Z393:AI393 AJ11 D444:E446 D115:AI124 G441:AI441 Z56:AA56 Z363:AA363 D338:AI352 D448:AI448 D70:AI111 E255:AJ255 E370:Y404 E427:AJ427 E405:AJ405 D63:AI66 AA512:AA516 Z404:AA404 D188:AI199 Z51:AA52 D452:Y516 AB452:AI516 Z452:AA452 Z457:AA457 Z462:AA462 Z467:AA467 Z472:AA472 Z477:AA477 Z482:AA482 Z487:AA487 Z492:AA492 Z497:AA497 Z502:Z516 AA502 AA507 Z26:AA26 Z39:AA42 G436:Y440 AB436:AI440 AB442:AI446 D128:AI180 AB371:AJ371 D219:AI242 AB394:AI404 F436:F446 D436:E442 E256:AI281 D246:D281 AB282:AJ282 M22:Y28 D204:AI215 AB22:AI28 AB283:AI283 D282:AA283 G22:L56 M29:AI29 D22:F57 G57:Y57 M30:Y56 AB30:AI57 D185:AI186 D201:AI202 J368:AA368 AB356:AI370 J365:Y367 I369:AA369 I366:I368 E365:H369 D356:D412 AB372:AI392 D284:AI298">
      <formula1>0</formula1>
      <formula2>99999</formula2>
    </dataValidation>
    <dataValidation type="whole" allowBlank="1" showInputMessage="1" showErrorMessage="1" errorTitle="Numeric Characters Error" error="Enter Numeric Characters only between range 0 and 2000" sqref="D416:AI421">
      <formula1>0</formula1>
      <formula2>2000</formula2>
    </dataValidation>
    <dataValidation allowBlank="1" showInputMessage="1" showErrorMessage="1" errorTitle="Non-Numeric or abnormal value" error="Enter Numbers only between 0 and 99999" sqref="Z357:AA362 Z442:AA446 Z453:AA456 Z458:AA461 Z463:AA466 Z468:AA471 Z473:AA476 Z478:AA481 Z483:AA486 Z488:AA491 Z493:AA496 Z498:AA501 AA503:AA506 AA508:AA511 Z22:AA25 D443:E443 Z43:AA50 Z436:AA440 Z57:AA57 Z394:AA403 Z27:AA28 Z53:AA55 Z30:AA38 Z364:AA367 Z370:AA392"/>
  </dataValidations>
  <pageMargins left="0.511811023622047" right="7.8740157480315001E-2" top="0.196850393700787" bottom="0.196850393700787" header="0.2" footer="0.118110236220472"/>
  <pageSetup scale="31" fitToHeight="0" orientation="portrait" r:id="rId1"/>
  <headerFooter>
    <oddFooter>&amp;R&amp;P</oddFooter>
  </headerFooter>
  <rowBreaks count="1" manualBreakCount="1">
    <brk id="215" max="16383" man="1"/>
  </rowBreaks>
  <ignoredErrors>
    <ignoredError sqref="J20 J113 J126 J182 J244 J354 J414 J336 J300" twoDigitTextYear="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9757ECA-E322-4B4F-A80B-F429838D8BF7}">
  <ds:schemaRefs>
    <ds:schemaRef ds:uri="http://schemas.microsoft.com/office/infopath/2007/PartnerControls"/>
    <ds:schemaRef ds:uri="http://purl.org/dc/terms/"/>
    <ds:schemaRef ds:uri="http://schemas.microsoft.com/office/2006/documentManagement/types"/>
    <ds:schemaRef ds:uri="http://schemas.openxmlformats.org/package/2006/metadata/core-properties"/>
    <ds:schemaRef ds:uri="http://schemas.microsoft.com/sharepoint/v3"/>
    <ds:schemaRef ds:uri="dac3fa0a-9923-49c3-b4ba-df6390fa58ea"/>
    <ds:schemaRef ds:uri="http://purl.org/dc/elements/1.1/"/>
    <ds:schemaRef ds:uri="http://schemas.microsoft.com/office/2006/metadata/properties"/>
    <ds:schemaRef ds:uri="1ed6e237-7a44-4d6d-bfbc-e270d277b5ad"/>
    <ds:schemaRef ds:uri="http://www.w3.org/XML/1998/namespace"/>
    <ds:schemaRef ds:uri="http://purl.org/dc/dcmitype/"/>
  </ds:schemaRefs>
</ds:datastoreItem>
</file>

<file path=customXml/itemProps3.xml><?xml version="1.0" encoding="utf-8"?>
<ds:datastoreItem xmlns:ds="http://schemas.openxmlformats.org/officeDocument/2006/customXml" ds:itemID="{8F27D016-ED29-4335-8911-6427F4BFA8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InstructionsForm1A</vt:lpstr>
      <vt:lpstr>Jul</vt:lpstr>
      <vt:lpstr>ART</vt:lpstr>
      <vt:lpstr>CXCA</vt:lpstr>
      <vt:lpstr>GEND_GBV</vt:lpstr>
      <vt:lpstr>HAART</vt:lpstr>
      <vt:lpstr>HIV_TEST</vt:lpstr>
      <vt:lpstr>HTS_SELF</vt:lpstr>
      <vt:lpstr>IPT</vt:lpstr>
      <vt:lpstr>PMTCT_TST</vt:lpstr>
      <vt:lpstr>PREP</vt:lpstr>
      <vt:lpstr>InstructionsForm1A!Print_Area</vt:lpstr>
      <vt:lpstr>Jul!Print_Area</vt:lpstr>
      <vt:lpstr>Jul!Print_Titles</vt:lpstr>
      <vt:lpstr>TB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Emmanuel Kaunda</cp:lastModifiedBy>
  <cp:lastPrinted>2020-06-04T19:13:43Z</cp:lastPrinted>
  <dcterms:created xsi:type="dcterms:W3CDTF">2018-10-31T09:45:26Z</dcterms:created>
  <dcterms:modified xsi:type="dcterms:W3CDTF">2025-03-05T15:36:47Z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y fmtid="{D5CDD505-2E9C-101B-9397-08002B2CF9AE}" pid="5" name="MSIP_Label_ea60d57e-af5b-4752-ac57-3e4f28ca11dc_Enabled">
    <vt:lpwstr>true</vt:lpwstr>
  </property>
  <property fmtid="{D5CDD505-2E9C-101B-9397-08002B2CF9AE}" pid="6" name="MSIP_Label_ea60d57e-af5b-4752-ac57-3e4f28ca11dc_SetDate">
    <vt:lpwstr>2021-08-26T06:21:48Z</vt:lpwstr>
  </property>
  <property fmtid="{D5CDD505-2E9C-101B-9397-08002B2CF9AE}" pid="7" name="MSIP_Label_ea60d57e-af5b-4752-ac57-3e4f28ca11dc_Method">
    <vt:lpwstr>Standard</vt:lpwstr>
  </property>
  <property fmtid="{D5CDD505-2E9C-101B-9397-08002B2CF9AE}" pid="8" name="MSIP_Label_ea60d57e-af5b-4752-ac57-3e4f28ca11dc_Name">
    <vt:lpwstr>ea60d57e-af5b-4752-ac57-3e4f28ca11dc</vt:lpwstr>
  </property>
  <property fmtid="{D5CDD505-2E9C-101B-9397-08002B2CF9AE}" pid="9" name="MSIP_Label_ea60d57e-af5b-4752-ac57-3e4f28ca11dc_SiteId">
    <vt:lpwstr>36da45f1-dd2c-4d1f-af13-5abe46b99921</vt:lpwstr>
  </property>
  <property fmtid="{D5CDD505-2E9C-101B-9397-08002B2CF9AE}" pid="10" name="MSIP_Label_ea60d57e-af5b-4752-ac57-3e4f28ca11dc_ActionId">
    <vt:lpwstr>53bd1c79-e735-4871-8540-e453fe37e373</vt:lpwstr>
  </property>
  <property fmtid="{D5CDD505-2E9C-101B-9397-08002B2CF9AE}" pid="11" name="MSIP_Label_ea60d57e-af5b-4752-ac57-3e4f28ca11dc_ContentBits">
    <vt:lpwstr>0</vt:lpwstr>
  </property>
</Properties>
</file>