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4505" yWindow="-15" windowWidth="14340" windowHeight="11760" activeTab="2"/>
  </bookViews>
  <sheets>
    <sheet name="BS" sheetId="12" r:id="rId1"/>
    <sheet name="Cash Flow" sheetId="14" r:id="rId2"/>
    <sheet name="P&amp;L" sheetId="10" r:id="rId3"/>
    <sheet name="P&amp;L Plots" sheetId="3" r:id="rId4"/>
    <sheet name="All Spend" sheetId="1" r:id="rId5"/>
    <sheet name="G&amp;A" sheetId="7" r:id="rId6"/>
    <sheet name="S&amp;M" sheetId="4" r:id="rId7"/>
    <sheet name="Develop" sheetId="5" r:id="rId8"/>
    <sheet name="Factory" sheetId="6" r:id="rId9"/>
    <sheet name="Rev &amp; COGS" sheetId="11" r:id="rId10"/>
    <sheet name="Production" sheetId="9" r:id="rId11"/>
    <sheet name="CAPEX" sheetId="8" r:id="rId12"/>
    <sheet name="BS Support" sheetId="13" r:id="rId13"/>
    <sheet name="Raw Material Pricing" sheetId="15" r:id="rId14"/>
    <sheet name="Changes" sheetId="18" r:id="rId15"/>
    <sheet name="Sales Projections" sheetId="19" r:id="rId16"/>
    <sheet name="Strip Pricing" sheetId="23" r:id="rId17"/>
    <sheet name="Meter Pricing" sheetId="24" r:id="rId18"/>
    <sheet name="Meter GMP BOM" sheetId="25" r:id="rId19"/>
    <sheet name="Clinic CashFlow Analysis" sheetId="28" r:id="rId20"/>
    <sheet name="Sales &amp; Marketing" sheetId="21" r:id="rId21"/>
  </sheets>
  <externalReferences>
    <externalReference r:id="rId22"/>
    <externalReference r:id="rId23"/>
    <externalReference r:id="rId24"/>
  </externalReferences>
  <definedNames>
    <definedName name="af">'[1]Raw Material Pricing'!$L$5:$M$12</definedName>
    <definedName name="CMO">'Raw Material Pricing'!$R$5:$AA$12</definedName>
    <definedName name="d">'[1]Raw Material Pricing'!$E$5:$G$12</definedName>
    <definedName name="Desscant">'[1]Raw Material Pricing'!$O$5:$P$12</definedName>
    <definedName name="Dessicant" localSheetId="14">'[2]Raw Material Pricing'!$O$5:$P$12</definedName>
    <definedName name="Dessicant" localSheetId="20">'[3]Raw Material Pricing'!$O$5:$P$12</definedName>
    <definedName name="Dessicant" localSheetId="15">'[3]Raw Material Pricing'!$O$5:$P$12</definedName>
    <definedName name="Dessicant">'Raw Material Pricing'!$O$5:$P$12</definedName>
    <definedName name="f">'[1]Raw Material Pricing'!$I$5:$J$12</definedName>
    <definedName name="g">'[1]Raw Material Pricing'!$B$5:$C$12</definedName>
    <definedName name="GVP" localSheetId="14">'[2]Raw Material Pricing'!$E$5:$G$12</definedName>
    <definedName name="GVP" localSheetId="20">'[3]Raw Material Pricing'!$E$5:$G$12</definedName>
    <definedName name="GVP" localSheetId="15">'[3]Raw Material Pricing'!$E$5:$G$12</definedName>
    <definedName name="GVP">'Raw Material Pricing'!$E$5:$G$12</definedName>
    <definedName name="PET" localSheetId="14">'[2]Raw Material Pricing'!$I$5:$J$12</definedName>
    <definedName name="PET" localSheetId="20">'[3]Raw Material Pricing'!$I$5:$J$12</definedName>
    <definedName name="PET" localSheetId="15">'[3]Raw Material Pricing'!$I$5:$J$12</definedName>
    <definedName name="PET">'Raw Material Pricing'!$I$5:$J$12</definedName>
    <definedName name="Pouches" localSheetId="14">'[2]Raw Material Pricing'!$B$5:$C$12</definedName>
    <definedName name="Pouches" localSheetId="20">'[3]Raw Material Pricing'!$B$5:$C$12</definedName>
    <definedName name="Pouches" localSheetId="15">'[3]Raw Material Pricing'!$B$5:$C$12</definedName>
    <definedName name="Pouches">'Raw Material Pricing'!$B$5:$C$12</definedName>
    <definedName name="_xlnm.Print_Area" localSheetId="19">'Clinic CashFlow Analysis'!$A$1:$P$39</definedName>
    <definedName name="_xlnm.Print_Area" localSheetId="7">Develop!$E$5:$F$75</definedName>
    <definedName name="_xlnm.Print_Titles" localSheetId="7">Develop!$A:$D,Develop!$1:$4</definedName>
    <definedName name="rTF" localSheetId="14">'[2]Raw Material Pricing'!$L$5:$M$12</definedName>
    <definedName name="rTF" localSheetId="20">'[3]Raw Material Pricing'!$L$5:$M$12</definedName>
    <definedName name="rTF" localSheetId="15">'[3]Raw Material Pricing'!$L$5:$M$12</definedName>
    <definedName name="rTF">'Raw Material Pricing'!$L$5:$M$12</definedName>
  </definedNames>
  <calcPr calcId="145621"/>
</workbook>
</file>

<file path=xl/calcChain.xml><?xml version="1.0" encoding="utf-8"?>
<calcChain xmlns="http://schemas.openxmlformats.org/spreadsheetml/2006/main">
  <c r="E29" i="8" l="1"/>
  <c r="E27" i="8"/>
  <c r="E26" i="8"/>
  <c r="AH97" i="5"/>
  <c r="AI97" i="5" s="1"/>
  <c r="AJ97" i="5" s="1"/>
  <c r="AK97" i="5" s="1"/>
  <c r="AL97" i="5" s="1"/>
  <c r="AM97" i="5" s="1"/>
  <c r="AN97" i="5" s="1"/>
  <c r="AO97" i="5" s="1"/>
  <c r="AP97" i="5" s="1"/>
  <c r="AH94" i="5"/>
  <c r="AI94" i="5"/>
  <c r="AJ94" i="5" s="1"/>
  <c r="AK94" i="5" s="1"/>
  <c r="AL94" i="5" s="1"/>
  <c r="AM94" i="5" s="1"/>
  <c r="AN94" i="5" s="1"/>
  <c r="AO94" i="5" s="1"/>
  <c r="AP94" i="5" s="1"/>
  <c r="AH70" i="1"/>
  <c r="AI70" i="1"/>
  <c r="AJ70" i="1"/>
  <c r="AK70" i="1"/>
  <c r="AL70" i="1"/>
  <c r="AM70" i="1"/>
  <c r="AN70" i="1"/>
  <c r="AO70" i="1"/>
  <c r="AP70" i="1"/>
  <c r="E129" i="5"/>
  <c r="E17" i="8" l="1"/>
  <c r="E16" i="8"/>
  <c r="E15" i="8"/>
  <c r="E13" i="8"/>
  <c r="E12" i="8"/>
  <c r="E9" i="8"/>
  <c r="E8" i="8"/>
  <c r="R6" i="8"/>
  <c r="H6" i="8"/>
  <c r="E6" i="8"/>
  <c r="R5" i="8"/>
  <c r="H5" i="8"/>
  <c r="E5" i="8"/>
  <c r="AX22" i="7"/>
  <c r="BK88" i="7" l="1"/>
  <c r="BL88" i="7"/>
  <c r="BM88" i="7"/>
  <c r="AF7" i="7" l="1"/>
  <c r="AG7" i="7"/>
  <c r="AH7" i="7"/>
  <c r="AI7" i="7"/>
  <c r="AJ7" i="7"/>
  <c r="AK7" i="7"/>
  <c r="AL7" i="7"/>
  <c r="AM7" i="7"/>
  <c r="AN7" i="7"/>
  <c r="AO7" i="7"/>
  <c r="AP7" i="7"/>
  <c r="AE7" i="7"/>
  <c r="S7" i="7"/>
  <c r="T7" i="7"/>
  <c r="U7" i="7"/>
  <c r="V7" i="7"/>
  <c r="W7" i="7"/>
  <c r="X7" i="7"/>
  <c r="Y7" i="7"/>
  <c r="Z7" i="7"/>
  <c r="AA7" i="7"/>
  <c r="AB7" i="7"/>
  <c r="AC7" i="7"/>
  <c r="R7" i="7"/>
  <c r="F7" i="7"/>
  <c r="G7" i="7"/>
  <c r="H7" i="7"/>
  <c r="I7" i="7"/>
  <c r="J7" i="7"/>
  <c r="K7" i="7"/>
  <c r="L7" i="7"/>
  <c r="M7" i="7"/>
  <c r="N7" i="7"/>
  <c r="O7" i="7"/>
  <c r="P7" i="7"/>
  <c r="E7" i="7"/>
  <c r="AF88" i="7" l="1"/>
  <c r="AG88" i="7"/>
  <c r="AH88" i="7"/>
  <c r="AI88" i="7"/>
  <c r="AJ88" i="7"/>
  <c r="AK88" i="7"/>
  <c r="AL88" i="7"/>
  <c r="AM88" i="7"/>
  <c r="AN88" i="7"/>
  <c r="AO88" i="7"/>
  <c r="AP88" i="7"/>
  <c r="AE88" i="7"/>
  <c r="S88" i="7"/>
  <c r="T88" i="7"/>
  <c r="U88" i="7"/>
  <c r="V88" i="7"/>
  <c r="W88" i="7"/>
  <c r="X88" i="7"/>
  <c r="Y88" i="7"/>
  <c r="Z88" i="7"/>
  <c r="AA88" i="7"/>
  <c r="AB88" i="7"/>
  <c r="AC88" i="7"/>
  <c r="R88" i="7"/>
  <c r="F88" i="7"/>
  <c r="G88" i="7"/>
  <c r="H88" i="7"/>
  <c r="I88" i="7"/>
  <c r="J88" i="7"/>
  <c r="K88" i="7"/>
  <c r="L88" i="7"/>
  <c r="M88" i="7"/>
  <c r="N88" i="7"/>
  <c r="O88" i="7"/>
  <c r="P88" i="7"/>
  <c r="E88" i="7"/>
  <c r="BN88" i="7"/>
  <c r="BJ88" i="7" s="1"/>
  <c r="BQ88" i="7"/>
  <c r="BR88" i="7"/>
  <c r="BS88" i="7"/>
  <c r="BT88" i="7"/>
  <c r="BW88" i="7"/>
  <c r="BX88" i="7"/>
  <c r="BY88" i="7"/>
  <c r="BZ88" i="7"/>
  <c r="AZ88" i="7" l="1"/>
  <c r="AU88" i="7"/>
  <c r="AT88" i="7"/>
  <c r="BF88" i="7"/>
  <c r="AX88" i="7"/>
  <c r="AY88" i="7"/>
  <c r="BD88" i="7"/>
  <c r="BE88" i="7"/>
  <c r="AS88" i="7"/>
  <c r="AV88" i="7"/>
  <c r="BB88" i="7"/>
  <c r="BH88" i="7"/>
  <c r="BA88" i="7"/>
  <c r="BG88" i="7"/>
  <c r="BV88" i="7"/>
  <c r="BP88" i="7"/>
  <c r="AR88" i="7" l="1"/>
  <c r="AH73" i="9" l="1"/>
  <c r="AI73" i="9"/>
  <c r="AJ73" i="9"/>
  <c r="AY106" i="6"/>
  <c r="AY107" i="6"/>
  <c r="AY108" i="6"/>
  <c r="AY109" i="6"/>
  <c r="AY110" i="6"/>
  <c r="AY111" i="6"/>
  <c r="AY112" i="6"/>
  <c r="AY113" i="6"/>
  <c r="AY114" i="6"/>
  <c r="AY115" i="6"/>
  <c r="AY116" i="6"/>
  <c r="AY117" i="6"/>
  <c r="AY118" i="6"/>
  <c r="AY119" i="6"/>
  <c r="AY120" i="6"/>
  <c r="AY121" i="6"/>
  <c r="AY122" i="6"/>
  <c r="AY123" i="6"/>
  <c r="AY124" i="6"/>
  <c r="AY125" i="6"/>
  <c r="AY126" i="6"/>
  <c r="AY127" i="6"/>
  <c r="AY128" i="6"/>
  <c r="AY129" i="6"/>
  <c r="AR106" i="6"/>
  <c r="AR107" i="6"/>
  <c r="AR108" i="6"/>
  <c r="AR109" i="6"/>
  <c r="AR110" i="6"/>
  <c r="AR111" i="6"/>
  <c r="AR112" i="6"/>
  <c r="AR113" i="6"/>
  <c r="AR114" i="6"/>
  <c r="AR115" i="6"/>
  <c r="AR116" i="6"/>
  <c r="AR117" i="6"/>
  <c r="AR118" i="6"/>
  <c r="AR119" i="6"/>
  <c r="AR120" i="6"/>
  <c r="AR121" i="6"/>
  <c r="AR122" i="6"/>
  <c r="AR123" i="6"/>
  <c r="AR124" i="6"/>
  <c r="AR125" i="6"/>
  <c r="AR126" i="6"/>
  <c r="AR127" i="6"/>
  <c r="AR128" i="6"/>
  <c r="AR129" i="6"/>
  <c r="AS106" i="6"/>
  <c r="AT106" i="6"/>
  <c r="AU106" i="6"/>
  <c r="AV106" i="6"/>
  <c r="AS107" i="6"/>
  <c r="AT107" i="6"/>
  <c r="AU107" i="6"/>
  <c r="AV107" i="6"/>
  <c r="AS108" i="6"/>
  <c r="AT108" i="6"/>
  <c r="AU108" i="6"/>
  <c r="AV108" i="6"/>
  <c r="AS109" i="6"/>
  <c r="AT109" i="6"/>
  <c r="AU109" i="6"/>
  <c r="AV109" i="6"/>
  <c r="AS110" i="6"/>
  <c r="AT110" i="6"/>
  <c r="AU110" i="6"/>
  <c r="AV110" i="6"/>
  <c r="AS111" i="6"/>
  <c r="AT111" i="6"/>
  <c r="AU111" i="6"/>
  <c r="AV111" i="6"/>
  <c r="AS112" i="6"/>
  <c r="AT112" i="6"/>
  <c r="AU112" i="6"/>
  <c r="AV112" i="6"/>
  <c r="AS113" i="6"/>
  <c r="AT113" i="6"/>
  <c r="AU113" i="6"/>
  <c r="AV113" i="6"/>
  <c r="AS114" i="6"/>
  <c r="AT114" i="6"/>
  <c r="AU114" i="6"/>
  <c r="AV114" i="6"/>
  <c r="AS115" i="6"/>
  <c r="AT115" i="6"/>
  <c r="AU115" i="6"/>
  <c r="AV115" i="6"/>
  <c r="AS116" i="6"/>
  <c r="AT116" i="6"/>
  <c r="AU116" i="6"/>
  <c r="AV116" i="6"/>
  <c r="AS117" i="6"/>
  <c r="AT117" i="6"/>
  <c r="AU117" i="6"/>
  <c r="AV117" i="6"/>
  <c r="AS118" i="6"/>
  <c r="AT118" i="6"/>
  <c r="AU118" i="6"/>
  <c r="AV118" i="6"/>
  <c r="AS119" i="6"/>
  <c r="AT119" i="6"/>
  <c r="AU119" i="6"/>
  <c r="AV119" i="6"/>
  <c r="AS120" i="6"/>
  <c r="AT120" i="6"/>
  <c r="AU120" i="6"/>
  <c r="AV120" i="6"/>
  <c r="AS121" i="6"/>
  <c r="AT121" i="6"/>
  <c r="AU121" i="6"/>
  <c r="AV121" i="6"/>
  <c r="AS122" i="6"/>
  <c r="AT122" i="6"/>
  <c r="AU122" i="6"/>
  <c r="AV122" i="6"/>
  <c r="AS123" i="6"/>
  <c r="AT123" i="6"/>
  <c r="AU123" i="6"/>
  <c r="AV123" i="6"/>
  <c r="AS124" i="6"/>
  <c r="AT124" i="6"/>
  <c r="AU124" i="6"/>
  <c r="AV124" i="6"/>
  <c r="AS125" i="6"/>
  <c r="AT125" i="6"/>
  <c r="AU125" i="6"/>
  <c r="AV125" i="6"/>
  <c r="AS126" i="6"/>
  <c r="AT126" i="6"/>
  <c r="AU126" i="6"/>
  <c r="AV126" i="6"/>
  <c r="AS127" i="6"/>
  <c r="AT127" i="6"/>
  <c r="AU127" i="6"/>
  <c r="AV127" i="6"/>
  <c r="AS128" i="6"/>
  <c r="AT128" i="6"/>
  <c r="AU128" i="6"/>
  <c r="AV128" i="6"/>
  <c r="AS129" i="6"/>
  <c r="AT129" i="6"/>
  <c r="AU129" i="6"/>
  <c r="AV129" i="6"/>
  <c r="Y106" i="6"/>
  <c r="Y107" i="6"/>
  <c r="Y108" i="6"/>
  <c r="Y109" i="6"/>
  <c r="Y110" i="6"/>
  <c r="Y111" i="6"/>
  <c r="Y112" i="6"/>
  <c r="Y113" i="6"/>
  <c r="Y114" i="6"/>
  <c r="Y115" i="6"/>
  <c r="Y116" i="6"/>
  <c r="Y117" i="6"/>
  <c r="Y118" i="6"/>
  <c r="Y119" i="6"/>
  <c r="Y120" i="6"/>
  <c r="Y121" i="6"/>
  <c r="Y122" i="6"/>
  <c r="Y123" i="6"/>
  <c r="Y124" i="6"/>
  <c r="Y125" i="6"/>
  <c r="Y126" i="6"/>
  <c r="Y127" i="6"/>
  <c r="Y128" i="6"/>
  <c r="Y129" i="6"/>
  <c r="AH45" i="9"/>
  <c r="AI45" i="9"/>
  <c r="AJ45" i="9"/>
  <c r="AK45" i="9"/>
  <c r="Z30" i="9"/>
  <c r="Z111" i="6" s="1"/>
  <c r="AE49" i="9"/>
  <c r="AF49" i="9"/>
  <c r="AG49" i="9"/>
  <c r="AE47" i="9"/>
  <c r="AF47" i="9"/>
  <c r="AG47" i="9"/>
  <c r="AH42" i="9"/>
  <c r="AI42" i="9"/>
  <c r="AJ42" i="9"/>
  <c r="AH43" i="9"/>
  <c r="AI43" i="9"/>
  <c r="AJ43" i="9"/>
  <c r="AH44" i="9"/>
  <c r="AI44" i="9"/>
  <c r="AJ44" i="9"/>
  <c r="AH46" i="9"/>
  <c r="AI46" i="9"/>
  <c r="AJ46" i="9"/>
  <c r="AE28" i="9"/>
  <c r="AF28" i="9"/>
  <c r="AG28" i="9"/>
  <c r="L24" i="19"/>
  <c r="M24" i="19" s="1"/>
  <c r="N24" i="19" s="1"/>
  <c r="O24" i="19" s="1"/>
  <c r="P24" i="19" s="1"/>
  <c r="F21" i="19"/>
  <c r="AE6" i="19" s="1"/>
  <c r="AD6" i="19" s="1"/>
  <c r="E21" i="19"/>
  <c r="AE5" i="19" s="1"/>
  <c r="AD5" i="19" s="1"/>
  <c r="D21" i="19"/>
  <c r="AE4" i="19" s="1"/>
  <c r="AD4" i="19" s="1"/>
  <c r="C21" i="19"/>
  <c r="AE3" i="19" s="1"/>
  <c r="AD3" i="19" s="1"/>
  <c r="B21" i="19"/>
  <c r="AE2" i="19" s="1"/>
  <c r="AD2" i="19" s="1"/>
  <c r="D14" i="19"/>
  <c r="V13" i="19"/>
  <c r="U13" i="19"/>
  <c r="T13" i="19"/>
  <c r="S13" i="19"/>
  <c r="R13" i="19"/>
  <c r="D12" i="19"/>
  <c r="I10" i="19"/>
  <c r="I7" i="19"/>
  <c r="I6" i="19"/>
  <c r="I5" i="19"/>
  <c r="V4" i="19"/>
  <c r="U4" i="19"/>
  <c r="T4" i="19"/>
  <c r="S4" i="19"/>
  <c r="R4" i="19"/>
  <c r="I4" i="19"/>
  <c r="E4" i="19" s="1"/>
  <c r="C4" i="19"/>
  <c r="B4" i="19"/>
  <c r="C3" i="19" l="1"/>
  <c r="D3" i="19" s="1"/>
  <c r="B9" i="19"/>
  <c r="Z113" i="6"/>
  <c r="Z124" i="6"/>
  <c r="Z120" i="6"/>
  <c r="Z108" i="6"/>
  <c r="Z125" i="6"/>
  <c r="Z119" i="6"/>
  <c r="Z107" i="6"/>
  <c r="C17" i="19"/>
  <c r="Z128" i="6"/>
  <c r="Z123" i="6"/>
  <c r="Z116" i="6"/>
  <c r="Z129" i="6"/>
  <c r="Z117" i="6"/>
  <c r="Z114" i="6"/>
  <c r="Z115" i="6"/>
  <c r="Z106" i="6"/>
  <c r="Z110" i="6"/>
  <c r="Z118" i="6"/>
  <c r="Z126" i="6"/>
  <c r="Z121" i="6"/>
  <c r="Z109" i="6"/>
  <c r="AA30" i="9"/>
  <c r="Z127" i="6"/>
  <c r="Z122" i="6"/>
  <c r="Z112" i="6"/>
  <c r="C6" i="19"/>
  <c r="C7" i="19" s="1"/>
  <c r="C9" i="19"/>
  <c r="D4" i="19"/>
  <c r="E8" i="19" s="1"/>
  <c r="B6" i="19"/>
  <c r="B7" i="19" s="1"/>
  <c r="B10" i="19"/>
  <c r="E17" i="19"/>
  <c r="E5" i="19"/>
  <c r="E3" i="19"/>
  <c r="D5" i="19"/>
  <c r="D17" i="19"/>
  <c r="F4" i="19"/>
  <c r="C5" i="19"/>
  <c r="B5" i="19"/>
  <c r="B8" i="19"/>
  <c r="F8" i="19"/>
  <c r="C10" i="19"/>
  <c r="C11" i="19" s="1"/>
  <c r="C8" i="19"/>
  <c r="B11" i="19" l="1"/>
  <c r="E10" i="19"/>
  <c r="D9" i="19"/>
  <c r="AB30" i="9"/>
  <c r="AA106" i="6"/>
  <c r="AA109" i="6"/>
  <c r="AA116" i="6"/>
  <c r="AA111" i="6"/>
  <c r="AA119" i="6"/>
  <c r="AA127" i="6"/>
  <c r="AA107" i="6"/>
  <c r="AA114" i="6"/>
  <c r="AA112" i="6"/>
  <c r="AA115" i="6"/>
  <c r="AA122" i="6"/>
  <c r="AA118" i="6"/>
  <c r="AA126" i="6"/>
  <c r="AA125" i="6"/>
  <c r="AA110" i="6"/>
  <c r="AA113" i="6"/>
  <c r="AA123" i="6"/>
  <c r="AA128" i="6"/>
  <c r="AA121" i="6"/>
  <c r="AA108" i="6"/>
  <c r="AA124" i="6"/>
  <c r="AA129" i="6"/>
  <c r="AA120" i="6"/>
  <c r="AA117" i="6"/>
  <c r="E9" i="19"/>
  <c r="E11" i="19" s="1"/>
  <c r="E16" i="19" s="1"/>
  <c r="D8" i="19"/>
  <c r="F10" i="19"/>
  <c r="D10" i="19"/>
  <c r="D6" i="19"/>
  <c r="D7" i="19" s="1"/>
  <c r="F17" i="19"/>
  <c r="F5" i="19"/>
  <c r="E6" i="19"/>
  <c r="E7" i="19" s="1"/>
  <c r="F3" i="19"/>
  <c r="F6" i="19" s="1"/>
  <c r="F7" i="19" s="1"/>
  <c r="C16" i="19"/>
  <c r="AF3" i="19" s="1"/>
  <c r="B16" i="19"/>
  <c r="AF2" i="19" s="1"/>
  <c r="F9" i="19"/>
  <c r="F11" i="19" s="1"/>
  <c r="F16" i="19" s="1"/>
  <c r="AF6" i="19" s="1"/>
  <c r="E22" i="19" l="1"/>
  <c r="AF5" i="19"/>
  <c r="D11" i="19"/>
  <c r="D16" i="19" s="1"/>
  <c r="AF4" i="19" s="1"/>
  <c r="E13" i="19"/>
  <c r="E18" i="19"/>
  <c r="AC30" i="9"/>
  <c r="AB107" i="6"/>
  <c r="AB117" i="6"/>
  <c r="AB112" i="6"/>
  <c r="AB120" i="6"/>
  <c r="AB128" i="6"/>
  <c r="AB119" i="6"/>
  <c r="AB123" i="6"/>
  <c r="AB121" i="6"/>
  <c r="AB127" i="6"/>
  <c r="AB109" i="6"/>
  <c r="AB115" i="6"/>
  <c r="AB122" i="6"/>
  <c r="AB106" i="6"/>
  <c r="AB118" i="6"/>
  <c r="AB108" i="6"/>
  <c r="AB124" i="6"/>
  <c r="AB129" i="6"/>
  <c r="AB110" i="6"/>
  <c r="AB113" i="6"/>
  <c r="AB116" i="6"/>
  <c r="AB126" i="6"/>
  <c r="AB111" i="6"/>
  <c r="AB114" i="6"/>
  <c r="AB125" i="6"/>
  <c r="F18" i="19"/>
  <c r="F22" i="19"/>
  <c r="C22" i="19"/>
  <c r="C13" i="19"/>
  <c r="C18" i="19"/>
  <c r="B17" i="19"/>
  <c r="B18" i="19" s="1"/>
  <c r="B22" i="19"/>
  <c r="B13" i="19"/>
  <c r="D22" i="19"/>
  <c r="D13" i="19"/>
  <c r="D18" i="19"/>
  <c r="F13" i="19"/>
  <c r="AC108" i="6" l="1"/>
  <c r="BB108" i="6" s="1"/>
  <c r="AC110" i="6"/>
  <c r="BB110" i="6" s="1"/>
  <c r="AC118" i="6"/>
  <c r="BB118" i="6" s="1"/>
  <c r="AC107" i="6"/>
  <c r="BB107" i="6" s="1"/>
  <c r="AC113" i="6"/>
  <c r="BB113" i="6" s="1"/>
  <c r="AC121" i="6"/>
  <c r="BB121" i="6" s="1"/>
  <c r="AC129" i="6"/>
  <c r="BB129" i="6" s="1"/>
  <c r="AC116" i="6"/>
  <c r="BB116" i="6" s="1"/>
  <c r="AC128" i="6"/>
  <c r="BB128" i="6" s="1"/>
  <c r="AC119" i="6"/>
  <c r="BB119" i="6" s="1"/>
  <c r="AC123" i="6"/>
  <c r="BB123" i="6" s="1"/>
  <c r="AC112" i="6"/>
  <c r="BB112" i="6" s="1"/>
  <c r="AC127" i="6"/>
  <c r="BB127" i="6" s="1"/>
  <c r="AC109" i="6"/>
  <c r="BB109" i="6" s="1"/>
  <c r="AC115" i="6"/>
  <c r="BB115" i="6" s="1"/>
  <c r="AC106" i="6"/>
  <c r="BB106" i="6" s="1"/>
  <c r="AC122" i="6"/>
  <c r="BB122" i="6" s="1"/>
  <c r="AC114" i="6"/>
  <c r="BB114" i="6" s="1"/>
  <c r="AC117" i="6"/>
  <c r="BB117" i="6" s="1"/>
  <c r="AC120" i="6"/>
  <c r="BB120" i="6" s="1"/>
  <c r="AC125" i="6"/>
  <c r="BB125" i="6" s="1"/>
  <c r="AC124" i="6"/>
  <c r="BB124" i="6" s="1"/>
  <c r="AC126" i="6"/>
  <c r="BB126" i="6" s="1"/>
  <c r="AC111" i="6"/>
  <c r="BB111" i="6" s="1"/>
  <c r="AH28" i="9"/>
  <c r="AI28" i="9"/>
  <c r="AJ28" i="9"/>
  <c r="AJ74" i="9"/>
  <c r="AV32" i="10"/>
  <c r="AU32" i="10"/>
  <c r="AT32" i="10"/>
  <c r="AS32" i="10"/>
  <c r="AR32" i="10"/>
  <c r="AZ32" i="10"/>
  <c r="AY32" i="10"/>
  <c r="AF67" i="7"/>
  <c r="AG67" i="7"/>
  <c r="AH67" i="7"/>
  <c r="AI67" i="7"/>
  <c r="AJ67" i="7"/>
  <c r="AK67" i="7"/>
  <c r="AL67" i="7"/>
  <c r="AM67" i="7"/>
  <c r="AN67" i="7"/>
  <c r="AO67" i="7"/>
  <c r="AP67" i="7"/>
  <c r="AE67" i="7"/>
  <c r="AF68" i="7" l="1"/>
  <c r="AG68" i="7"/>
  <c r="AH68" i="7"/>
  <c r="AI68" i="7"/>
  <c r="AJ68" i="7"/>
  <c r="AK68" i="7"/>
  <c r="AL68" i="7"/>
  <c r="AM68" i="7"/>
  <c r="AN68" i="7"/>
  <c r="AO68" i="7"/>
  <c r="AP68" i="7"/>
  <c r="AE68" i="7"/>
  <c r="S68" i="7" l="1"/>
  <c r="T68" i="7"/>
  <c r="U68" i="7"/>
  <c r="V68" i="7"/>
  <c r="W68" i="7"/>
  <c r="X68" i="7"/>
  <c r="Y68" i="7"/>
  <c r="Z68" i="7"/>
  <c r="AA68" i="7"/>
  <c r="AB68" i="7"/>
  <c r="AC68" i="7"/>
  <c r="R68" i="7"/>
  <c r="R67" i="7"/>
  <c r="S67" i="7"/>
  <c r="T67" i="7"/>
  <c r="U67" i="7"/>
  <c r="V67" i="7"/>
  <c r="W67" i="7"/>
  <c r="X67" i="7"/>
  <c r="Y67" i="7"/>
  <c r="Z67" i="7"/>
  <c r="AA67" i="7"/>
  <c r="AB67" i="7"/>
  <c r="AC67" i="7"/>
  <c r="N29" i="28" l="1"/>
  <c r="N28" i="28"/>
  <c r="N27" i="28"/>
  <c r="N26" i="28"/>
  <c r="N25" i="28"/>
  <c r="N24" i="28"/>
  <c r="P23" i="28"/>
  <c r="O23" i="28"/>
  <c r="N23" i="28"/>
  <c r="N22" i="28"/>
  <c r="P21" i="28"/>
  <c r="O21" i="28"/>
  <c r="N21" i="28"/>
  <c r="O20" i="28"/>
  <c r="P20" i="28" s="1"/>
  <c r="B20" i="28"/>
  <c r="M20" i="28" s="1"/>
  <c r="N14" i="28"/>
  <c r="N13" i="28"/>
  <c r="B12" i="28"/>
  <c r="B36" i="28" s="1"/>
  <c r="N6" i="28"/>
  <c r="L2" i="28"/>
  <c r="K2" i="28"/>
  <c r="C2" i="28"/>
  <c r="B18" i="28" s="1"/>
  <c r="N18" i="28" s="1"/>
  <c r="K1" i="28"/>
  <c r="O17" i="28" l="1"/>
  <c r="D10" i="28"/>
  <c r="C11" i="28"/>
  <c r="B19" i="28"/>
  <c r="C19" i="28" s="1"/>
  <c r="O19" i="28"/>
  <c r="P19" i="28" s="1"/>
  <c r="G20" i="28"/>
  <c r="C9" i="28"/>
  <c r="O11" i="28"/>
  <c r="P11" i="28" s="1"/>
  <c r="O12" i="28"/>
  <c r="P12" i="28" s="1"/>
  <c r="L20" i="28"/>
  <c r="C20" i="28"/>
  <c r="D9" i="28"/>
  <c r="C12" i="28"/>
  <c r="K12" i="28" s="1"/>
  <c r="B15" i="28"/>
  <c r="D20" i="28"/>
  <c r="B17" i="28"/>
  <c r="B30" i="28" s="1"/>
  <c r="B37" i="28" s="1"/>
  <c r="B38" i="28" s="1"/>
  <c r="E10" i="28"/>
  <c r="H20" i="28"/>
  <c r="I10" i="28"/>
  <c r="G19" i="28"/>
  <c r="K20" i="28"/>
  <c r="P17" i="28"/>
  <c r="H10" i="28"/>
  <c r="E17" i="28"/>
  <c r="F19" i="28"/>
  <c r="J19" i="28"/>
  <c r="C10" i="28"/>
  <c r="G10" i="28"/>
  <c r="K10" i="28"/>
  <c r="O10" i="28"/>
  <c r="E19" i="28"/>
  <c r="I19" i="28"/>
  <c r="M19" i="28"/>
  <c r="M30" i="28" s="1"/>
  <c r="M37" i="28" s="1"/>
  <c r="F20" i="28"/>
  <c r="J20" i="28"/>
  <c r="L10" i="28"/>
  <c r="F10" i="28"/>
  <c r="D11" i="28"/>
  <c r="I12" i="28"/>
  <c r="D19" i="28"/>
  <c r="D30" i="28" s="1"/>
  <c r="D37" i="28" s="1"/>
  <c r="E20" i="28"/>
  <c r="I20" i="28"/>
  <c r="P30" i="28" l="1"/>
  <c r="P37" i="28" s="1"/>
  <c r="N9" i="28"/>
  <c r="C30" i="28"/>
  <c r="C37" i="28" s="1"/>
  <c r="H19" i="28"/>
  <c r="O30" i="28"/>
  <c r="O37" i="28" s="1"/>
  <c r="G12" i="28"/>
  <c r="G30" i="28"/>
  <c r="G37" i="28" s="1"/>
  <c r="E12" i="28"/>
  <c r="B33" i="28"/>
  <c r="C6" i="28" s="1"/>
  <c r="L19" i="28"/>
  <c r="L30" i="28" s="1"/>
  <c r="L37" i="28" s="1"/>
  <c r="K19" i="28"/>
  <c r="N19" i="28" s="1"/>
  <c r="J10" i="28"/>
  <c r="M10" i="28"/>
  <c r="J30" i="28"/>
  <c r="J37" i="28" s="1"/>
  <c r="B32" i="28"/>
  <c r="J12" i="28"/>
  <c r="F12" i="28"/>
  <c r="N20" i="28"/>
  <c r="M12" i="28"/>
  <c r="L12" i="28"/>
  <c r="H12" i="28"/>
  <c r="D12" i="28"/>
  <c r="D36" i="28" s="1"/>
  <c r="D38" i="28" s="1"/>
  <c r="D15" i="28"/>
  <c r="D32" i="28" s="1"/>
  <c r="C36" i="28"/>
  <c r="O15" i="28"/>
  <c r="O36" i="28"/>
  <c r="O38" i="28" s="1"/>
  <c r="P10" i="28"/>
  <c r="H17" i="28"/>
  <c r="E30" i="28"/>
  <c r="E37" i="28" s="1"/>
  <c r="K17" i="28"/>
  <c r="I30" i="28"/>
  <c r="I37" i="28" s="1"/>
  <c r="L11" i="28"/>
  <c r="H11" i="28"/>
  <c r="F11" i="28"/>
  <c r="M11" i="28"/>
  <c r="I11" i="28"/>
  <c r="E11" i="28"/>
  <c r="J11" i="28"/>
  <c r="K11" i="28"/>
  <c r="K15" i="28" s="1"/>
  <c r="G11" i="28"/>
  <c r="G15" i="28" s="1"/>
  <c r="N10" i="28"/>
  <c r="C15" i="28"/>
  <c r="C32" i="28" s="1"/>
  <c r="F30" i="28"/>
  <c r="F37" i="28" s="1"/>
  <c r="H36" i="28" l="1"/>
  <c r="C38" i="28"/>
  <c r="G32" i="28"/>
  <c r="C33" i="28"/>
  <c r="D6" i="28" s="1"/>
  <c r="D33" i="28" s="1"/>
  <c r="E6" i="28" s="1"/>
  <c r="K30" i="28"/>
  <c r="K37" i="28" s="1"/>
  <c r="H15" i="28"/>
  <c r="F15" i="28"/>
  <c r="F32" i="28" s="1"/>
  <c r="L15" i="28"/>
  <c r="L32" i="28" s="1"/>
  <c r="N12" i="28"/>
  <c r="G36" i="28"/>
  <c r="G38" i="28" s="1"/>
  <c r="O34" i="28"/>
  <c r="O32" i="28"/>
  <c r="E36" i="28"/>
  <c r="E38" i="28" s="1"/>
  <c r="E15" i="28"/>
  <c r="E32" i="28" s="1"/>
  <c r="P36" i="28"/>
  <c r="P38" i="28" s="1"/>
  <c r="P15" i="28"/>
  <c r="L36" i="28"/>
  <c r="L38" i="28" s="1"/>
  <c r="N11" i="28"/>
  <c r="K36" i="28"/>
  <c r="F36" i="28"/>
  <c r="F38" i="28" s="1"/>
  <c r="M36" i="28"/>
  <c r="M38" i="28" s="1"/>
  <c r="M15" i="28"/>
  <c r="M32" i="28" s="1"/>
  <c r="I36" i="28"/>
  <c r="I38" i="28" s="1"/>
  <c r="I15" i="28"/>
  <c r="I32" i="28" s="1"/>
  <c r="J15" i="28"/>
  <c r="J32" i="28" s="1"/>
  <c r="J36" i="28"/>
  <c r="J38" i="28" s="1"/>
  <c r="H30" i="28"/>
  <c r="H37" i="28" s="1"/>
  <c r="H38" i="28" s="1"/>
  <c r="N17" i="28"/>
  <c r="N30" i="28" s="1"/>
  <c r="N37" i="28" s="1"/>
  <c r="K32" i="28" l="1"/>
  <c r="H32" i="28"/>
  <c r="K38" i="28"/>
  <c r="N15" i="28"/>
  <c r="N32" i="28"/>
  <c r="N34" i="28"/>
  <c r="N33" i="28"/>
  <c r="O6" i="28" s="1"/>
  <c r="O33" i="28" s="1"/>
  <c r="P6" i="28" s="1"/>
  <c r="P33" i="28" s="1"/>
  <c r="E33" i="28"/>
  <c r="F6" i="28" s="1"/>
  <c r="F33" i="28" s="1"/>
  <c r="G6" i="28" s="1"/>
  <c r="G33" i="28" s="1"/>
  <c r="H6" i="28" s="1"/>
  <c r="H33" i="28" s="1"/>
  <c r="I6" i="28" s="1"/>
  <c r="I33" i="28" s="1"/>
  <c r="J6" i="28" s="1"/>
  <c r="J33" i="28" s="1"/>
  <c r="K6" i="28" s="1"/>
  <c r="K33" i="28" s="1"/>
  <c r="L6" i="28" s="1"/>
  <c r="L33" i="28" s="1"/>
  <c r="M6" i="28" s="1"/>
  <c r="M33" i="28" s="1"/>
  <c r="N36" i="28"/>
  <c r="N38" i="28" s="1"/>
  <c r="P32" i="28"/>
  <c r="P34" i="28"/>
  <c r="L38" i="25" l="1"/>
  <c r="J38" i="25"/>
  <c r="H38" i="25"/>
  <c r="L32" i="25"/>
  <c r="J32" i="25"/>
  <c r="H32" i="25"/>
  <c r="L31" i="25"/>
  <c r="J31" i="25"/>
  <c r="H31" i="25"/>
  <c r="L30" i="25"/>
  <c r="J30" i="25"/>
  <c r="H30" i="25"/>
  <c r="L29" i="25"/>
  <c r="J29" i="25"/>
  <c r="H29" i="25"/>
  <c r="L28" i="25"/>
  <c r="J28" i="25"/>
  <c r="H28" i="25"/>
  <c r="L27" i="25"/>
  <c r="J27" i="25"/>
  <c r="H27" i="25"/>
  <c r="L26" i="25"/>
  <c r="J26" i="25"/>
  <c r="H26" i="25"/>
  <c r="L25" i="25"/>
  <c r="J25" i="25"/>
  <c r="H25" i="25"/>
  <c r="L24" i="25"/>
  <c r="J24" i="25"/>
  <c r="H24" i="25"/>
  <c r="L23" i="25"/>
  <c r="J23" i="25"/>
  <c r="H23" i="25"/>
  <c r="L22" i="25"/>
  <c r="J22" i="25"/>
  <c r="H22" i="25"/>
  <c r="L21" i="25"/>
  <c r="J21" i="25"/>
  <c r="H21" i="25"/>
  <c r="L20" i="25"/>
  <c r="J20" i="25"/>
  <c r="H20" i="25"/>
  <c r="L19" i="25"/>
  <c r="J19" i="25"/>
  <c r="H19" i="25"/>
  <c r="L18" i="25"/>
  <c r="J18" i="25"/>
  <c r="H18" i="25"/>
  <c r="L17" i="25"/>
  <c r="J17" i="25"/>
  <c r="H17" i="25"/>
  <c r="L16" i="25"/>
  <c r="J16" i="25"/>
  <c r="H16" i="25"/>
  <c r="L15" i="25"/>
  <c r="J15" i="25"/>
  <c r="H15" i="25"/>
  <c r="L14" i="25"/>
  <c r="J14" i="25"/>
  <c r="H14" i="25"/>
  <c r="L13" i="25"/>
  <c r="J13" i="25"/>
  <c r="H13" i="25"/>
  <c r="L12" i="25"/>
  <c r="J12" i="25"/>
  <c r="H12" i="25"/>
  <c r="L11" i="25"/>
  <c r="J11" i="25"/>
  <c r="H11" i="25"/>
  <c r="L10" i="25"/>
  <c r="J10" i="25"/>
  <c r="H10" i="25"/>
  <c r="L9" i="25"/>
  <c r="J9" i="25"/>
  <c r="H9" i="25"/>
  <c r="L8" i="25"/>
  <c r="J8" i="25"/>
  <c r="H8" i="25"/>
  <c r="L7" i="25"/>
  <c r="J7" i="25"/>
  <c r="H7" i="25"/>
  <c r="L6" i="25"/>
  <c r="J6" i="25"/>
  <c r="H6" i="25"/>
  <c r="L33" i="25" l="1"/>
  <c r="H33" i="25"/>
  <c r="J33" i="25"/>
  <c r="C5" i="24" l="1"/>
  <c r="C6" i="24" s="1"/>
  <c r="C16" i="23"/>
  <c r="B17" i="23" s="1"/>
  <c r="C5" i="23"/>
  <c r="B6" i="23" s="1"/>
  <c r="E17" i="23" l="1"/>
  <c r="C18" i="23"/>
  <c r="E5" i="23"/>
  <c r="C17" i="23"/>
  <c r="E16" i="23"/>
  <c r="E6" i="24"/>
  <c r="B6" i="24"/>
  <c r="F6" i="24" s="1"/>
  <c r="E5" i="24"/>
  <c r="C7" i="24"/>
  <c r="C8" i="24" s="1"/>
  <c r="C7" i="23"/>
  <c r="E6" i="23"/>
  <c r="C6" i="23"/>
  <c r="F6" i="23" s="1"/>
  <c r="B7" i="24"/>
  <c r="BQ55" i="11"/>
  <c r="BQ56" i="11"/>
  <c r="BQ57" i="11"/>
  <c r="BQ58" i="11"/>
  <c r="AA38" i="11"/>
  <c r="AA39" i="11"/>
  <c r="AA40" i="11"/>
  <c r="AA41" i="11"/>
  <c r="AA42" i="11"/>
  <c r="AA43" i="11"/>
  <c r="X38" i="11"/>
  <c r="X39" i="11"/>
  <c r="X40" i="11"/>
  <c r="X41" i="11"/>
  <c r="X42" i="11"/>
  <c r="X43" i="11"/>
  <c r="W36" i="11"/>
  <c r="W38" i="11"/>
  <c r="W39" i="11"/>
  <c r="W40" i="11"/>
  <c r="W41" i="11"/>
  <c r="W42" i="11"/>
  <c r="W43" i="11"/>
  <c r="W44" i="11"/>
  <c r="V38" i="11"/>
  <c r="V39" i="11"/>
  <c r="V40" i="11"/>
  <c r="V41" i="11"/>
  <c r="V42" i="11"/>
  <c r="C19" i="23" l="1"/>
  <c r="C8" i="23"/>
  <c r="F18" i="23"/>
  <c r="F17" i="23"/>
  <c r="B18" i="23"/>
  <c r="G18" i="23" s="1"/>
  <c r="F7" i="23"/>
  <c r="B7" i="23"/>
  <c r="G8" i="23" s="1"/>
  <c r="F7" i="24"/>
  <c r="G7" i="24"/>
  <c r="G8" i="24"/>
  <c r="BZ23" i="11"/>
  <c r="BY23" i="11"/>
  <c r="BX23" i="11"/>
  <c r="BW23" i="11"/>
  <c r="BT23" i="11"/>
  <c r="BS23" i="11"/>
  <c r="BR23" i="11"/>
  <c r="BQ23" i="11"/>
  <c r="BL23" i="11"/>
  <c r="BM23" i="11"/>
  <c r="BN23" i="11"/>
  <c r="BK23" i="11"/>
  <c r="Y23" i="11"/>
  <c r="Z23" i="11"/>
  <c r="AA23" i="11"/>
  <c r="AB23" i="11"/>
  <c r="AC23" i="11"/>
  <c r="X23" i="11"/>
  <c r="AF23" i="11"/>
  <c r="AG23" i="11"/>
  <c r="AH23" i="11"/>
  <c r="AI23" i="11"/>
  <c r="AJ23" i="11"/>
  <c r="AK23" i="11"/>
  <c r="AL23" i="11"/>
  <c r="AM23" i="11"/>
  <c r="AN23" i="11"/>
  <c r="AO23" i="11"/>
  <c r="AP23" i="11"/>
  <c r="AE23" i="11"/>
  <c r="G7" i="23" l="1"/>
  <c r="G19" i="23"/>
  <c r="BP24" i="11"/>
  <c r="BQ87" i="7" l="1"/>
  <c r="BK87" i="7"/>
  <c r="BL87" i="7"/>
  <c r="BM87" i="7"/>
  <c r="BN87" i="7"/>
  <c r="BE83" i="7"/>
  <c r="BF83" i="7"/>
  <c r="AP87" i="7"/>
  <c r="AF87" i="7"/>
  <c r="AG87" i="7"/>
  <c r="AH87" i="7"/>
  <c r="AI87" i="7"/>
  <c r="AJ87" i="7"/>
  <c r="AK87" i="7"/>
  <c r="AL87" i="7"/>
  <c r="AM87" i="7"/>
  <c r="AN87" i="7"/>
  <c r="AO87" i="7"/>
  <c r="AE87" i="7"/>
  <c r="Y87" i="7"/>
  <c r="Z87" i="7"/>
  <c r="AA87" i="7"/>
  <c r="AB87" i="7"/>
  <c r="AC87" i="7"/>
  <c r="X87" i="7"/>
  <c r="BR87" i="7"/>
  <c r="BS87" i="7"/>
  <c r="BT87" i="7"/>
  <c r="BW87" i="7"/>
  <c r="BX87" i="7"/>
  <c r="BY87" i="7"/>
  <c r="BZ87" i="7"/>
  <c r="BN85" i="7"/>
  <c r="BJ85" i="7" s="1"/>
  <c r="BL84" i="7"/>
  <c r="BM84" i="7"/>
  <c r="BN84" i="7"/>
  <c r="BK84" i="7"/>
  <c r="BR86" i="7"/>
  <c r="BS86" i="7"/>
  <c r="BT86" i="7"/>
  <c r="BW86" i="7"/>
  <c r="BX86" i="7"/>
  <c r="BY86" i="7"/>
  <c r="BZ86" i="7"/>
  <c r="BQ85" i="7"/>
  <c r="BR85" i="7"/>
  <c r="BS85" i="7"/>
  <c r="BT85" i="7"/>
  <c r="BW85" i="7"/>
  <c r="BX85" i="7"/>
  <c r="BY85" i="7"/>
  <c r="BZ85" i="7"/>
  <c r="BQ84" i="7"/>
  <c r="BR84" i="7"/>
  <c r="BS84" i="7"/>
  <c r="BT84" i="7"/>
  <c r="BW84" i="7"/>
  <c r="BX84" i="7"/>
  <c r="BY84" i="7"/>
  <c r="BZ84" i="7"/>
  <c r="BZ83" i="7"/>
  <c r="BY83" i="7"/>
  <c r="BX83" i="7"/>
  <c r="BW83" i="7"/>
  <c r="BT83" i="7"/>
  <c r="BS83" i="7"/>
  <c r="BR83" i="7"/>
  <c r="BQ83" i="7"/>
  <c r="BL83" i="7"/>
  <c r="BM83" i="7"/>
  <c r="BN83" i="7"/>
  <c r="BK83" i="7"/>
  <c r="AL83" i="7"/>
  <c r="AM83" i="7"/>
  <c r="AN83" i="7"/>
  <c r="AO83" i="7"/>
  <c r="AP83" i="7"/>
  <c r="AK83" i="7"/>
  <c r="BZ82" i="7"/>
  <c r="BY82" i="7"/>
  <c r="BX82" i="7"/>
  <c r="BW82" i="7"/>
  <c r="BR82" i="7"/>
  <c r="BS82" i="7"/>
  <c r="BT82" i="7"/>
  <c r="BQ82" i="7"/>
  <c r="BN82" i="7"/>
  <c r="BJ82" i="7" s="1"/>
  <c r="AE65" i="7"/>
  <c r="R65" i="7"/>
  <c r="F65" i="7"/>
  <c r="G65" i="7"/>
  <c r="H65" i="7"/>
  <c r="I65" i="7"/>
  <c r="J65" i="7"/>
  <c r="K65" i="7"/>
  <c r="L65" i="7"/>
  <c r="M65" i="7"/>
  <c r="N65" i="7"/>
  <c r="O65" i="7"/>
  <c r="P65" i="7"/>
  <c r="E65" i="7"/>
  <c r="BH47" i="7"/>
  <c r="BK47" i="7" s="1"/>
  <c r="BL47" i="7" s="1"/>
  <c r="BM47" i="7" s="1"/>
  <c r="BW81" i="7"/>
  <c r="BX81" i="7"/>
  <c r="BY81" i="7"/>
  <c r="BZ81" i="7"/>
  <c r="BW80" i="7"/>
  <c r="BX80" i="7"/>
  <c r="BY80" i="7"/>
  <c r="BZ80" i="7"/>
  <c r="BQ81" i="7"/>
  <c r="BR81" i="7"/>
  <c r="BS81" i="7"/>
  <c r="BT81" i="7"/>
  <c r="BQ80" i="7"/>
  <c r="BR80" i="7"/>
  <c r="BS80" i="7"/>
  <c r="BT80" i="7"/>
  <c r="BL80" i="7"/>
  <c r="BM80" i="7"/>
  <c r="BN80" i="7"/>
  <c r="BL81" i="7"/>
  <c r="BL91" i="7" s="1"/>
  <c r="BL6" i="7" s="1"/>
  <c r="BM81" i="7"/>
  <c r="BN81" i="7"/>
  <c r="BK81" i="7"/>
  <c r="BK80" i="7"/>
  <c r="AT85" i="5"/>
  <c r="AS85" i="5"/>
  <c r="AS83" i="5"/>
  <c r="AP81" i="7"/>
  <c r="AO81" i="7"/>
  <c r="AN81" i="7"/>
  <c r="AM81" i="7"/>
  <c r="AL81" i="7"/>
  <c r="AK81" i="7"/>
  <c r="AJ81" i="7"/>
  <c r="AI81" i="7"/>
  <c r="AH81" i="7"/>
  <c r="AG81" i="7"/>
  <c r="AF81" i="7"/>
  <c r="AE81" i="7"/>
  <c r="AC81" i="7"/>
  <c r="AB81" i="7"/>
  <c r="AA81" i="7"/>
  <c r="Z81" i="7"/>
  <c r="Y81" i="7"/>
  <c r="X81" i="7"/>
  <c r="BA81" i="7" s="1"/>
  <c r="W81" i="7"/>
  <c r="V81" i="7"/>
  <c r="U81" i="7"/>
  <c r="T81" i="7"/>
  <c r="S81" i="7"/>
  <c r="R81" i="7"/>
  <c r="P81" i="7"/>
  <c r="O81" i="7"/>
  <c r="N81" i="7"/>
  <c r="M81" i="7"/>
  <c r="L81" i="7"/>
  <c r="K81" i="7"/>
  <c r="J81" i="7"/>
  <c r="I81" i="7"/>
  <c r="H81" i="7"/>
  <c r="G81" i="7"/>
  <c r="F81" i="7"/>
  <c r="E81" i="7"/>
  <c r="AP80" i="7"/>
  <c r="AP36" i="7" s="1"/>
  <c r="AO80" i="7"/>
  <c r="AO36" i="7" s="1"/>
  <c r="AN80" i="7"/>
  <c r="AN36" i="7" s="1"/>
  <c r="AM80" i="7"/>
  <c r="AM36" i="7" s="1"/>
  <c r="AL80" i="7"/>
  <c r="AL36" i="7" s="1"/>
  <c r="AK80" i="7"/>
  <c r="AJ80" i="7"/>
  <c r="AJ36" i="7" s="1"/>
  <c r="AI80" i="7"/>
  <c r="AI36" i="7" s="1"/>
  <c r="AH80" i="7"/>
  <c r="AH36" i="7" s="1"/>
  <c r="AG80" i="7"/>
  <c r="AG36" i="7" s="1"/>
  <c r="AF80" i="7"/>
  <c r="AF36" i="7" s="1"/>
  <c r="AE80" i="7"/>
  <c r="AE36" i="7" s="1"/>
  <c r="AC80" i="7"/>
  <c r="AC36" i="7" s="1"/>
  <c r="AB80" i="7"/>
  <c r="AB36" i="7" s="1"/>
  <c r="AA80" i="7"/>
  <c r="AA36" i="7" s="1"/>
  <c r="Z80" i="7"/>
  <c r="Z36" i="7" s="1"/>
  <c r="Y80" i="7"/>
  <c r="Y36" i="7" s="1"/>
  <c r="X80" i="7"/>
  <c r="X36" i="7" s="1"/>
  <c r="W80" i="7"/>
  <c r="W36" i="7" s="1"/>
  <c r="V80" i="7"/>
  <c r="V36" i="7" s="1"/>
  <c r="U80" i="7"/>
  <c r="U36" i="7" s="1"/>
  <c r="T80" i="7"/>
  <c r="T36" i="7" s="1"/>
  <c r="S80" i="7"/>
  <c r="S36" i="7" s="1"/>
  <c r="R80" i="7"/>
  <c r="R36" i="7" s="1"/>
  <c r="P80" i="7"/>
  <c r="O80" i="7"/>
  <c r="N80" i="7"/>
  <c r="M80" i="7"/>
  <c r="L80" i="7"/>
  <c r="K80" i="7"/>
  <c r="AU80" i="7" s="1"/>
  <c r="J80" i="7"/>
  <c r="I80" i="7"/>
  <c r="H80" i="7"/>
  <c r="G80" i="7"/>
  <c r="F80" i="7"/>
  <c r="E80" i="7"/>
  <c r="BW88" i="4"/>
  <c r="BX88" i="4"/>
  <c r="BY88" i="4"/>
  <c r="BZ88" i="4"/>
  <c r="BW89" i="4"/>
  <c r="BX89" i="4"/>
  <c r="BY89" i="4"/>
  <c r="BZ89" i="4"/>
  <c r="BW90" i="4"/>
  <c r="BX90" i="4"/>
  <c r="BY90" i="4"/>
  <c r="BZ90" i="4"/>
  <c r="BW91" i="4"/>
  <c r="BX91" i="4"/>
  <c r="BY91" i="4"/>
  <c r="BZ91" i="4"/>
  <c r="BW92" i="4"/>
  <c r="BX92" i="4"/>
  <c r="BY92" i="4"/>
  <c r="BZ92" i="4"/>
  <c r="BW93" i="4"/>
  <c r="BX93" i="4"/>
  <c r="BY93" i="4"/>
  <c r="BZ93" i="4"/>
  <c r="BW94" i="4"/>
  <c r="BX94" i="4"/>
  <c r="BY94" i="4"/>
  <c r="BZ94" i="4"/>
  <c r="BW95" i="4"/>
  <c r="BX95" i="4"/>
  <c r="BY95" i="4"/>
  <c r="BZ95" i="4"/>
  <c r="BW96" i="4"/>
  <c r="BX96" i="4"/>
  <c r="BY96" i="4"/>
  <c r="BZ96" i="4"/>
  <c r="BW97" i="4"/>
  <c r="BX97" i="4"/>
  <c r="BY97" i="4"/>
  <c r="BZ97" i="4"/>
  <c r="BW98" i="4"/>
  <c r="BX98" i="4"/>
  <c r="BY98" i="4"/>
  <c r="BZ98" i="4"/>
  <c r="BW99" i="4"/>
  <c r="BX99" i="4"/>
  <c r="BY99" i="4"/>
  <c r="BZ99" i="4"/>
  <c r="BW100" i="4"/>
  <c r="BX100" i="4"/>
  <c r="BY100" i="4"/>
  <c r="BZ100" i="4"/>
  <c r="BW101" i="4"/>
  <c r="BX101" i="4"/>
  <c r="BY101" i="4"/>
  <c r="BZ101" i="4"/>
  <c r="BX87" i="4"/>
  <c r="BY87" i="4"/>
  <c r="BZ87" i="4"/>
  <c r="BW87" i="4"/>
  <c r="BG80" i="7" l="1"/>
  <c r="AK36" i="7"/>
  <c r="BP86" i="7"/>
  <c r="BT91" i="7"/>
  <c r="BT6" i="7" s="1"/>
  <c r="BW91" i="7"/>
  <c r="BW6" i="7" s="1"/>
  <c r="BF87" i="7"/>
  <c r="BS91" i="7"/>
  <c r="BS6" i="7" s="1"/>
  <c r="AT81" i="7"/>
  <c r="BF81" i="7"/>
  <c r="BZ91" i="7"/>
  <c r="BZ6" i="7" s="1"/>
  <c r="BY91" i="7"/>
  <c r="BY6" i="7" s="1"/>
  <c r="BH87" i="7"/>
  <c r="AV80" i="7"/>
  <c r="BA80" i="7"/>
  <c r="AU81" i="7"/>
  <c r="BB81" i="7"/>
  <c r="BG81" i="7"/>
  <c r="BR91" i="7"/>
  <c r="BR6" i="7" s="1"/>
  <c r="BV82" i="7"/>
  <c r="BX91" i="7"/>
  <c r="BX6" i="7" s="1"/>
  <c r="BP84" i="7"/>
  <c r="BP87" i="7"/>
  <c r="BP82" i="7"/>
  <c r="BJ84" i="7"/>
  <c r="BD87" i="7"/>
  <c r="BJ81" i="7"/>
  <c r="BD83" i="7"/>
  <c r="AX87" i="7"/>
  <c r="AT80" i="7"/>
  <c r="AX80" i="7"/>
  <c r="AS81" i="7"/>
  <c r="AZ81" i="7"/>
  <c r="BE81" i="7"/>
  <c r="BP85" i="7"/>
  <c r="BH83" i="7"/>
  <c r="BB87" i="7"/>
  <c r="BN91" i="7"/>
  <c r="BN6" i="7" s="1"/>
  <c r="BH81" i="7"/>
  <c r="BP83" i="7"/>
  <c r="AS80" i="7"/>
  <c r="BD80" i="7"/>
  <c r="AY81" i="7"/>
  <c r="BG83" i="7"/>
  <c r="BA87" i="7"/>
  <c r="AU91" i="7"/>
  <c r="AV81" i="7"/>
  <c r="BG87" i="7"/>
  <c r="BJ83" i="7"/>
  <c r="BV83" i="7"/>
  <c r="BE87" i="7"/>
  <c r="BJ87" i="7"/>
  <c r="BY7" i="11"/>
  <c r="BZ7" i="11" s="1"/>
  <c r="BV85" i="7"/>
  <c r="BV87" i="7"/>
  <c r="BA91" i="7"/>
  <c r="BV84" i="7"/>
  <c r="BV86" i="7"/>
  <c r="BV90" i="4"/>
  <c r="BV100" i="4"/>
  <c r="BV99" i="4"/>
  <c r="BV98" i="4"/>
  <c r="BV97" i="4"/>
  <c r="BV96" i="4"/>
  <c r="BV95" i="4"/>
  <c r="BV94" i="4"/>
  <c r="BV93" i="4"/>
  <c r="BV92" i="4"/>
  <c r="BV91" i="4"/>
  <c r="BM91" i="7"/>
  <c r="BM6" i="7" s="1"/>
  <c r="BP81" i="7"/>
  <c r="BV81" i="7"/>
  <c r="AZ80" i="7"/>
  <c r="BB80" i="7"/>
  <c r="BF80" i="7"/>
  <c r="BF91" i="7" s="1"/>
  <c r="BH80" i="7"/>
  <c r="BH91" i="7" s="1"/>
  <c r="AY80" i="7"/>
  <c r="AX81" i="7"/>
  <c r="BJ80" i="7"/>
  <c r="BP80" i="7"/>
  <c r="BQ91" i="7"/>
  <c r="BQ6" i="7" s="1"/>
  <c r="BE80" i="7"/>
  <c r="BD81" i="7"/>
  <c r="BV80" i="7"/>
  <c r="BN47" i="7"/>
  <c r="BK91" i="7"/>
  <c r="BK6" i="7" s="1"/>
  <c r="BQ90" i="4"/>
  <c r="BR90" i="4"/>
  <c r="BS90" i="4"/>
  <c r="BT90" i="4"/>
  <c r="BQ91" i="4"/>
  <c r="BR91" i="4"/>
  <c r="BS91" i="4"/>
  <c r="BT91" i="4"/>
  <c r="BQ92" i="4"/>
  <c r="BR92" i="4"/>
  <c r="BS92" i="4"/>
  <c r="BT92" i="4"/>
  <c r="BQ93" i="4"/>
  <c r="BR93" i="4"/>
  <c r="BS93" i="4"/>
  <c r="BT93" i="4"/>
  <c r="BQ94" i="4"/>
  <c r="BR94" i="4"/>
  <c r="BS94" i="4"/>
  <c r="BT94" i="4"/>
  <c r="BQ95" i="4"/>
  <c r="BR95" i="4"/>
  <c r="BS95" i="4"/>
  <c r="BT95" i="4"/>
  <c r="BQ96" i="4"/>
  <c r="BR96" i="4"/>
  <c r="BS96" i="4"/>
  <c r="BT96" i="4"/>
  <c r="BQ97" i="4"/>
  <c r="BR97" i="4"/>
  <c r="BS97" i="4"/>
  <c r="BT97" i="4"/>
  <c r="BQ98" i="4"/>
  <c r="BR98" i="4"/>
  <c r="BS98" i="4"/>
  <c r="BT98" i="4"/>
  <c r="BQ99" i="4"/>
  <c r="BR99" i="4"/>
  <c r="BS99" i="4"/>
  <c r="BT99" i="4"/>
  <c r="BQ100" i="4"/>
  <c r="BR100" i="4"/>
  <c r="BS100" i="4"/>
  <c r="BT100" i="4"/>
  <c r="BQ88" i="4"/>
  <c r="BR88" i="4"/>
  <c r="BS88" i="4"/>
  <c r="BT88" i="4"/>
  <c r="BQ89" i="4"/>
  <c r="BR89" i="4"/>
  <c r="BS89" i="4"/>
  <c r="BT89" i="4"/>
  <c r="BQ101" i="4"/>
  <c r="BR101" i="4"/>
  <c r="BS101" i="4"/>
  <c r="BT101" i="4"/>
  <c r="BR87" i="4"/>
  <c r="BS87" i="4"/>
  <c r="BT87" i="4"/>
  <c r="BQ87" i="4"/>
  <c r="BX81" i="4"/>
  <c r="BY81" i="4"/>
  <c r="BZ81" i="4"/>
  <c r="BW81" i="4"/>
  <c r="BR81" i="4"/>
  <c r="BS81" i="4"/>
  <c r="BT81" i="4"/>
  <c r="BQ81" i="4"/>
  <c r="BL101" i="4"/>
  <c r="BM101" i="4"/>
  <c r="BN101" i="4"/>
  <c r="AV91" i="7" l="1"/>
  <c r="BG91" i="7"/>
  <c r="BD91" i="7"/>
  <c r="BE91" i="7"/>
  <c r="AT91" i="7"/>
  <c r="AY91" i="7"/>
  <c r="AX91" i="7"/>
  <c r="AR81" i="7"/>
  <c r="BB91" i="7"/>
  <c r="BJ91" i="7"/>
  <c r="BJ6" i="7" s="1"/>
  <c r="AR80" i="7"/>
  <c r="AZ91" i="7"/>
  <c r="BV91" i="7"/>
  <c r="BV6" i="7" s="1"/>
  <c r="AS91" i="7"/>
  <c r="BP100" i="4"/>
  <c r="BP99" i="4"/>
  <c r="BP98" i="4"/>
  <c r="BP97" i="4"/>
  <c r="BP96" i="4"/>
  <c r="BP95" i="4"/>
  <c r="BP94" i="4"/>
  <c r="BP93" i="4"/>
  <c r="BP92" i="4"/>
  <c r="BP91" i="4"/>
  <c r="BP90" i="4"/>
  <c r="BP91" i="7"/>
  <c r="BP6" i="7" s="1"/>
  <c r="BJ47" i="7"/>
  <c r="BQ47" i="7"/>
  <c r="AR91" i="7" l="1"/>
  <c r="X7" i="11"/>
  <c r="X35" i="11" s="1"/>
  <c r="AK7" i="11"/>
  <c r="AN7" i="11" s="1"/>
  <c r="BR47" i="7"/>
  <c r="BS47" i="7" s="1"/>
  <c r="BT47" i="7" s="1"/>
  <c r="BW47" i="7" s="1"/>
  <c r="AK28" i="9"/>
  <c r="AA7" i="11" l="1"/>
  <c r="BM7" i="11"/>
  <c r="BN7" i="11" s="1"/>
  <c r="BS7" i="11"/>
  <c r="BT7" i="11" s="1"/>
  <c r="BP47" i="7"/>
  <c r="BX47" i="7"/>
  <c r="BY47" i="7" s="1"/>
  <c r="BZ47" i="7" s="1"/>
  <c r="BV47" i="7" l="1"/>
  <c r="BZ57" i="8"/>
  <c r="BY57" i="8"/>
  <c r="BX57" i="8"/>
  <c r="BW57" i="8"/>
  <c r="BZ55" i="8"/>
  <c r="BY55" i="8"/>
  <c r="BX55" i="8"/>
  <c r="BW55" i="8"/>
  <c r="BZ54" i="8"/>
  <c r="BY54" i="8"/>
  <c r="BX54" i="8"/>
  <c r="BW54" i="8"/>
  <c r="BZ53" i="8"/>
  <c r="BY53" i="8"/>
  <c r="BX53" i="8"/>
  <c r="BW53" i="8"/>
  <c r="BZ52" i="8"/>
  <c r="BY52" i="8"/>
  <c r="BX52" i="8"/>
  <c r="BW52" i="8"/>
  <c r="BZ50" i="8"/>
  <c r="BY50" i="8"/>
  <c r="BX50" i="8"/>
  <c r="BX59" i="8" s="1"/>
  <c r="BW50" i="8"/>
  <c r="BZ48" i="8"/>
  <c r="BY48" i="8"/>
  <c r="BX48" i="8"/>
  <c r="BW48" i="8"/>
  <c r="BT57" i="8"/>
  <c r="BS57" i="8"/>
  <c r="BR57" i="8"/>
  <c r="BQ57" i="8"/>
  <c r="BT55" i="8"/>
  <c r="BS55" i="8"/>
  <c r="BR55" i="8"/>
  <c r="BQ55" i="8"/>
  <c r="BT54" i="8"/>
  <c r="BS54" i="8"/>
  <c r="BR54" i="8"/>
  <c r="BQ54" i="8"/>
  <c r="BT53" i="8"/>
  <c r="BS53" i="8"/>
  <c r="BR53" i="8"/>
  <c r="BQ53" i="8"/>
  <c r="BT52" i="8"/>
  <c r="BS52" i="8"/>
  <c r="BR52" i="8"/>
  <c r="BQ52" i="8"/>
  <c r="BT50" i="8"/>
  <c r="BS50" i="8"/>
  <c r="BR50" i="8"/>
  <c r="BQ50" i="8"/>
  <c r="BT48" i="8"/>
  <c r="BS48" i="8"/>
  <c r="BR48" i="8"/>
  <c r="BQ48" i="8"/>
  <c r="BN57" i="8"/>
  <c r="BM57" i="8"/>
  <c r="BL57" i="8"/>
  <c r="BK57" i="8"/>
  <c r="BN55" i="8"/>
  <c r="BM55" i="8"/>
  <c r="BL55" i="8"/>
  <c r="BK55" i="8"/>
  <c r="BN54" i="8"/>
  <c r="BM54" i="8"/>
  <c r="BL54" i="8"/>
  <c r="BK54" i="8"/>
  <c r="BN53" i="8"/>
  <c r="BM53" i="8"/>
  <c r="BL53" i="8"/>
  <c r="BK53" i="8"/>
  <c r="BN52" i="8"/>
  <c r="BM52" i="8"/>
  <c r="BL52" i="8"/>
  <c r="BK52" i="8"/>
  <c r="BN50" i="8"/>
  <c r="BM50" i="8"/>
  <c r="BL50" i="8"/>
  <c r="BL59" i="8" s="1"/>
  <c r="BK50" i="8"/>
  <c r="BN48" i="8"/>
  <c r="BM48" i="8"/>
  <c r="BL48" i="8"/>
  <c r="BK48" i="8"/>
  <c r="AP57" i="8"/>
  <c r="AO57" i="8"/>
  <c r="AN57" i="8"/>
  <c r="AM57" i="8"/>
  <c r="AL57" i="8"/>
  <c r="AK57" i="8"/>
  <c r="AJ57" i="8"/>
  <c r="AI57" i="8"/>
  <c r="AH57" i="8"/>
  <c r="AG57" i="8"/>
  <c r="AF57" i="8"/>
  <c r="AE57" i="8"/>
  <c r="AC57" i="8"/>
  <c r="AB57" i="8"/>
  <c r="AA57" i="8"/>
  <c r="Z57" i="8"/>
  <c r="Y57" i="8"/>
  <c r="X57" i="8"/>
  <c r="W57" i="8"/>
  <c r="V57" i="8"/>
  <c r="U57" i="8"/>
  <c r="T57" i="8"/>
  <c r="S57" i="8"/>
  <c r="R57" i="8"/>
  <c r="P57" i="8"/>
  <c r="O57" i="8"/>
  <c r="N57" i="8"/>
  <c r="M57" i="8"/>
  <c r="L57" i="8"/>
  <c r="K57" i="8"/>
  <c r="J57" i="8"/>
  <c r="I57" i="8"/>
  <c r="H57" i="8"/>
  <c r="G57" i="8"/>
  <c r="F57" i="8"/>
  <c r="E57" i="8"/>
  <c r="E70" i="8" s="1"/>
  <c r="AP55" i="8"/>
  <c r="AO55" i="8"/>
  <c r="AN55" i="8"/>
  <c r="AM55" i="8"/>
  <c r="AL55" i="8"/>
  <c r="AK55" i="8"/>
  <c r="AJ55" i="8"/>
  <c r="AI55" i="8"/>
  <c r="AH55" i="8"/>
  <c r="AG55" i="8"/>
  <c r="AF55" i="8"/>
  <c r="AE55" i="8"/>
  <c r="AC55" i="8"/>
  <c r="AB55" i="8"/>
  <c r="AA55" i="8"/>
  <c r="Z55" i="8"/>
  <c r="Y55" i="8"/>
  <c r="X55" i="8"/>
  <c r="W55" i="8"/>
  <c r="V55" i="8"/>
  <c r="U55" i="8"/>
  <c r="T55" i="8"/>
  <c r="S55" i="8"/>
  <c r="R55" i="8"/>
  <c r="P55" i="8"/>
  <c r="O55" i="8"/>
  <c r="N55" i="8"/>
  <c r="M55" i="8"/>
  <c r="L55" i="8"/>
  <c r="K55" i="8"/>
  <c r="J55" i="8"/>
  <c r="I55" i="8"/>
  <c r="H55" i="8"/>
  <c r="G55" i="8"/>
  <c r="F55" i="8"/>
  <c r="E55" i="8"/>
  <c r="AP54" i="8"/>
  <c r="AO54" i="8"/>
  <c r="AN54" i="8"/>
  <c r="AM54" i="8"/>
  <c r="AL54" i="8"/>
  <c r="AK54" i="8"/>
  <c r="AJ54" i="8"/>
  <c r="AI54" i="8"/>
  <c r="AH54" i="8"/>
  <c r="AG54" i="8"/>
  <c r="AF54" i="8"/>
  <c r="AE54" i="8"/>
  <c r="AC54" i="8"/>
  <c r="AB54" i="8"/>
  <c r="AA54" i="8"/>
  <c r="Z54" i="8"/>
  <c r="Y54" i="8"/>
  <c r="X54" i="8"/>
  <c r="W54" i="8"/>
  <c r="V54" i="8"/>
  <c r="U54" i="8"/>
  <c r="T54" i="8"/>
  <c r="S54" i="8"/>
  <c r="R54" i="8"/>
  <c r="P54" i="8"/>
  <c r="O54" i="8"/>
  <c r="N54" i="8"/>
  <c r="M54" i="8"/>
  <c r="L54" i="8"/>
  <c r="K54" i="8"/>
  <c r="J54" i="8"/>
  <c r="I54" i="8"/>
  <c r="H54" i="8"/>
  <c r="G54" i="8"/>
  <c r="F54" i="8"/>
  <c r="E54" i="8"/>
  <c r="AP53" i="8"/>
  <c r="AO53" i="8"/>
  <c r="AN53" i="8"/>
  <c r="AM53" i="8"/>
  <c r="AL53" i="8"/>
  <c r="AK53" i="8"/>
  <c r="AJ53" i="8"/>
  <c r="AI53" i="8"/>
  <c r="AH53" i="8"/>
  <c r="AG53" i="8"/>
  <c r="AF53" i="8"/>
  <c r="AE53" i="8"/>
  <c r="AC53" i="8"/>
  <c r="AB53" i="8"/>
  <c r="AA53" i="8"/>
  <c r="Z53" i="8"/>
  <c r="Y53" i="8"/>
  <c r="X53" i="8"/>
  <c r="W53" i="8"/>
  <c r="V53" i="8"/>
  <c r="U53" i="8"/>
  <c r="T53" i="8"/>
  <c r="S53" i="8"/>
  <c r="R53" i="8"/>
  <c r="P53" i="8"/>
  <c r="O53" i="8"/>
  <c r="N53" i="8"/>
  <c r="M53" i="8"/>
  <c r="L53" i="8"/>
  <c r="K53" i="8"/>
  <c r="J53" i="8"/>
  <c r="I53" i="8"/>
  <c r="H53" i="8"/>
  <c r="G53" i="8"/>
  <c r="F53" i="8"/>
  <c r="E53" i="8"/>
  <c r="AP52" i="8"/>
  <c r="AO52" i="8"/>
  <c r="AN52" i="8"/>
  <c r="AM52" i="8"/>
  <c r="AL52" i="8"/>
  <c r="AK52" i="8"/>
  <c r="AJ52" i="8"/>
  <c r="AI52" i="8"/>
  <c r="AH52" i="8"/>
  <c r="AG52" i="8"/>
  <c r="AF52" i="8"/>
  <c r="AE52" i="8"/>
  <c r="AC52" i="8"/>
  <c r="AB52" i="8"/>
  <c r="AA52" i="8"/>
  <c r="Z52" i="8"/>
  <c r="Y52" i="8"/>
  <c r="X52" i="8"/>
  <c r="W52" i="8"/>
  <c r="V52" i="8"/>
  <c r="U52" i="8"/>
  <c r="T52" i="8"/>
  <c r="S52" i="8"/>
  <c r="R52" i="8"/>
  <c r="P52" i="8"/>
  <c r="O52" i="8"/>
  <c r="N52" i="8"/>
  <c r="M52" i="8"/>
  <c r="L52" i="8"/>
  <c r="K52" i="8"/>
  <c r="J52" i="8"/>
  <c r="I52" i="8"/>
  <c r="H52" i="8"/>
  <c r="G52" i="8"/>
  <c r="F52" i="8"/>
  <c r="E52" i="8"/>
  <c r="AP50" i="8"/>
  <c r="AO50" i="8"/>
  <c r="AN50" i="8"/>
  <c r="AM50" i="8"/>
  <c r="AL50" i="8"/>
  <c r="AK50" i="8"/>
  <c r="AJ50" i="8"/>
  <c r="AI50" i="8"/>
  <c r="AH50" i="8"/>
  <c r="AG50" i="8"/>
  <c r="AF50" i="8"/>
  <c r="AE50" i="8"/>
  <c r="AC50" i="8"/>
  <c r="AB50" i="8"/>
  <c r="AA50" i="8"/>
  <c r="Z50" i="8"/>
  <c r="Y50" i="8"/>
  <c r="X50" i="8"/>
  <c r="W50" i="8"/>
  <c r="V50" i="8"/>
  <c r="U50" i="8"/>
  <c r="T50" i="8"/>
  <c r="S50" i="8"/>
  <c r="R50" i="8"/>
  <c r="P50" i="8"/>
  <c r="O50" i="8"/>
  <c r="N50" i="8"/>
  <c r="M50" i="8"/>
  <c r="L50" i="8"/>
  <c r="K50" i="8"/>
  <c r="J50" i="8"/>
  <c r="I50" i="8"/>
  <c r="H50" i="8"/>
  <c r="G50" i="8"/>
  <c r="F50" i="8"/>
  <c r="E50" i="8"/>
  <c r="AK46" i="9"/>
  <c r="AK44" i="9"/>
  <c r="AK43" i="9"/>
  <c r="AK42" i="9"/>
  <c r="BV48" i="9"/>
  <c r="AD48" i="9"/>
  <c r="AY105" i="6"/>
  <c r="AV105" i="6"/>
  <c r="AU105" i="6"/>
  <c r="AT105" i="6"/>
  <c r="AS105" i="6"/>
  <c r="AR105" i="6"/>
  <c r="AY104" i="6"/>
  <c r="AV104" i="6"/>
  <c r="AU104" i="6"/>
  <c r="AT104" i="6"/>
  <c r="AS104" i="6"/>
  <c r="AR104" i="6"/>
  <c r="AY103" i="6"/>
  <c r="AV103" i="6"/>
  <c r="AU103" i="6"/>
  <c r="AT103" i="6"/>
  <c r="AS103" i="6"/>
  <c r="AR103" i="6"/>
  <c r="AY102" i="6"/>
  <c r="AV102" i="6"/>
  <c r="AU102" i="6"/>
  <c r="AT102" i="6"/>
  <c r="AS102" i="6"/>
  <c r="AR102" i="6"/>
  <c r="AY101" i="6"/>
  <c r="AV101" i="6"/>
  <c r="AU101" i="6"/>
  <c r="AT101" i="6"/>
  <c r="AS101" i="6"/>
  <c r="AR101" i="6"/>
  <c r="AY100" i="6"/>
  <c r="AV100" i="6"/>
  <c r="AU100" i="6"/>
  <c r="AT100" i="6"/>
  <c r="AS100" i="6"/>
  <c r="AR100" i="6"/>
  <c r="AY99" i="6"/>
  <c r="AV99" i="6"/>
  <c r="AU99" i="6"/>
  <c r="AT99" i="6"/>
  <c r="AS99" i="6"/>
  <c r="AR99" i="6"/>
  <c r="AY98" i="6"/>
  <c r="AV98" i="6"/>
  <c r="AU98" i="6"/>
  <c r="AT98" i="6"/>
  <c r="AS98" i="6"/>
  <c r="AR98" i="6"/>
  <c r="AY97" i="6"/>
  <c r="AV97" i="6"/>
  <c r="AU97" i="6"/>
  <c r="AT97" i="6"/>
  <c r="AS97" i="6"/>
  <c r="AR97" i="6"/>
  <c r="AY96" i="6"/>
  <c r="AV96" i="6"/>
  <c r="AU96" i="6"/>
  <c r="AT96" i="6"/>
  <c r="AS96" i="6"/>
  <c r="AR96" i="6"/>
  <c r="AY95" i="6"/>
  <c r="AV95" i="6"/>
  <c r="AU95" i="6"/>
  <c r="AT95" i="6"/>
  <c r="AS95" i="6"/>
  <c r="AR95" i="6"/>
  <c r="AY94" i="6"/>
  <c r="AV94" i="6"/>
  <c r="AU94" i="6"/>
  <c r="AT94" i="6"/>
  <c r="AS94" i="6"/>
  <c r="AR94" i="6"/>
  <c r="AY93" i="6"/>
  <c r="AV93" i="6"/>
  <c r="AU93" i="6"/>
  <c r="AT93" i="6"/>
  <c r="AS93" i="6"/>
  <c r="AR93" i="6"/>
  <c r="AY92" i="6"/>
  <c r="AV92" i="6"/>
  <c r="AU92" i="6"/>
  <c r="AT92" i="6"/>
  <c r="AS92" i="6"/>
  <c r="AR92" i="6"/>
  <c r="AY91" i="6"/>
  <c r="AV91" i="6"/>
  <c r="AU91" i="6"/>
  <c r="AT91" i="6"/>
  <c r="AS91" i="6"/>
  <c r="AR91" i="6"/>
  <c r="AY90" i="6"/>
  <c r="AV90" i="6"/>
  <c r="AU90" i="6"/>
  <c r="AT90" i="6"/>
  <c r="AS90" i="6"/>
  <c r="AR90" i="6"/>
  <c r="AY89" i="6"/>
  <c r="AV89" i="6"/>
  <c r="AU89" i="6"/>
  <c r="AT89" i="6"/>
  <c r="AS89" i="6"/>
  <c r="AR89" i="6"/>
  <c r="AY88" i="6"/>
  <c r="AV88" i="6"/>
  <c r="AU88" i="6"/>
  <c r="AT88" i="6"/>
  <c r="AS88" i="6"/>
  <c r="AR88" i="6"/>
  <c r="T6" i="15"/>
  <c r="U6" i="15"/>
  <c r="W6" i="15"/>
  <c r="T7" i="15"/>
  <c r="U7" i="15"/>
  <c r="W7" i="15"/>
  <c r="T8" i="15"/>
  <c r="U8" i="15"/>
  <c r="W8" i="15"/>
  <c r="T9" i="15"/>
  <c r="U9" i="15"/>
  <c r="W9" i="15"/>
  <c r="T10" i="15"/>
  <c r="U10" i="15"/>
  <c r="W10" i="15"/>
  <c r="AL25" i="9"/>
  <c r="AA12" i="15"/>
  <c r="AA11" i="15"/>
  <c r="W5" i="15"/>
  <c r="U5" i="15"/>
  <c r="T5" i="15"/>
  <c r="AK74" i="9" l="1"/>
  <c r="AL45" i="9"/>
  <c r="BM59" i="8"/>
  <c r="BY59" i="8"/>
  <c r="BQ59" i="8"/>
  <c r="BT59" i="8"/>
  <c r="BN59" i="8"/>
  <c r="BK59" i="8"/>
  <c r="F70" i="8"/>
  <c r="G70" i="8" s="1"/>
  <c r="H70" i="8" s="1"/>
  <c r="I70" i="8" s="1"/>
  <c r="J70" i="8" s="1"/>
  <c r="K70" i="8" s="1"/>
  <c r="L70" i="8" s="1"/>
  <c r="M70" i="8" s="1"/>
  <c r="N70" i="8" s="1"/>
  <c r="O70" i="8" s="1"/>
  <c r="P70" i="8" s="1"/>
  <c r="R70" i="8" s="1"/>
  <c r="S70" i="8" s="1"/>
  <c r="T70" i="8" s="1"/>
  <c r="U70" i="8" s="1"/>
  <c r="V70" i="8" s="1"/>
  <c r="W70" i="8" s="1"/>
  <c r="X70" i="8" s="1"/>
  <c r="Y70" i="8" s="1"/>
  <c r="Z70" i="8" s="1"/>
  <c r="AA70" i="8" s="1"/>
  <c r="AB70" i="8" s="1"/>
  <c r="AC70" i="8" s="1"/>
  <c r="AE70" i="8" s="1"/>
  <c r="AF70" i="8" s="1"/>
  <c r="AG70" i="8" s="1"/>
  <c r="AH70" i="8" s="1"/>
  <c r="AI70" i="8" s="1"/>
  <c r="AJ70" i="8" s="1"/>
  <c r="AK70" i="8" s="1"/>
  <c r="AL70" i="8" s="1"/>
  <c r="AM70" i="8" s="1"/>
  <c r="AN70" i="8" s="1"/>
  <c r="AO70" i="8" s="1"/>
  <c r="AP70" i="8" s="1"/>
  <c r="BK70" i="8" s="1"/>
  <c r="BL70" i="8" s="1"/>
  <c r="BM70" i="8" s="1"/>
  <c r="BN70" i="8" s="1"/>
  <c r="BQ70" i="8" s="1"/>
  <c r="BR70" i="8" s="1"/>
  <c r="BS70" i="8" s="1"/>
  <c r="BT70" i="8" s="1"/>
  <c r="BW70" i="8" s="1"/>
  <c r="BX70" i="8" s="1"/>
  <c r="BY70" i="8" s="1"/>
  <c r="BZ70" i="8" s="1"/>
  <c r="BZ59" i="8"/>
  <c r="BR59" i="8"/>
  <c r="BS59" i="8"/>
  <c r="BW59" i="8"/>
  <c r="AL28" i="9"/>
  <c r="AL43" i="9"/>
  <c r="AL42" i="9"/>
  <c r="AL46" i="9"/>
  <c r="AL44" i="9"/>
  <c r="AM25" i="9"/>
  <c r="V10" i="15"/>
  <c r="V9" i="15"/>
  <c r="V8" i="15"/>
  <c r="V7" i="15"/>
  <c r="AL74" i="9" l="1"/>
  <c r="AM45" i="9"/>
  <c r="AM28" i="9"/>
  <c r="V6" i="15"/>
  <c r="V5" i="15"/>
  <c r="AM43" i="9"/>
  <c r="AM44" i="9"/>
  <c r="AM46" i="9"/>
  <c r="AM42" i="9"/>
  <c r="AN25" i="9"/>
  <c r="AI36" i="11"/>
  <c r="AJ36" i="11"/>
  <c r="AL36" i="11"/>
  <c r="AM36" i="11"/>
  <c r="AO36" i="11"/>
  <c r="AP36" i="11"/>
  <c r="BV73" i="4"/>
  <c r="BV63" i="4"/>
  <c r="BV62" i="4"/>
  <c r="BV61" i="4"/>
  <c r="BV60" i="4"/>
  <c r="BV59" i="4"/>
  <c r="BV58" i="4"/>
  <c r="BV57" i="4"/>
  <c r="BV56" i="4"/>
  <c r="BV52" i="4"/>
  <c r="BV51" i="4"/>
  <c r="BV50" i="4"/>
  <c r="BV49" i="4"/>
  <c r="BV48" i="4"/>
  <c r="BV47" i="4"/>
  <c r="BV46" i="4"/>
  <c r="BV45" i="4"/>
  <c r="BV44" i="4"/>
  <c r="BV43" i="4"/>
  <c r="BV32" i="4"/>
  <c r="BV34" i="4" s="1"/>
  <c r="BV8" i="4"/>
  <c r="BV7" i="4"/>
  <c r="BP73" i="4"/>
  <c r="BP63" i="4"/>
  <c r="BP62" i="4"/>
  <c r="BP61" i="4"/>
  <c r="BP60" i="4"/>
  <c r="BP59" i="4"/>
  <c r="BP58" i="4"/>
  <c r="BP57" i="4"/>
  <c r="BP56" i="4"/>
  <c r="BP52" i="4"/>
  <c r="BP51" i="4"/>
  <c r="BP50" i="4"/>
  <c r="BP49" i="4"/>
  <c r="BP48" i="4"/>
  <c r="BP47" i="4"/>
  <c r="BP46" i="4"/>
  <c r="BP45" i="4"/>
  <c r="BP44" i="4"/>
  <c r="BP43" i="4"/>
  <c r="BP32" i="4"/>
  <c r="BP34" i="4" s="1"/>
  <c r="BP8" i="4"/>
  <c r="BP7" i="4"/>
  <c r="BJ63" i="4"/>
  <c r="BJ62" i="4"/>
  <c r="BJ61" i="4"/>
  <c r="BJ60" i="4"/>
  <c r="BJ59" i="4"/>
  <c r="BJ58" i="4"/>
  <c r="BJ57" i="4"/>
  <c r="BJ56" i="4"/>
  <c r="BJ52" i="4"/>
  <c r="BJ51" i="4"/>
  <c r="BJ50" i="4"/>
  <c r="BJ49" i="4"/>
  <c r="BJ48" i="4"/>
  <c r="BJ47" i="4"/>
  <c r="BJ46" i="4"/>
  <c r="BJ45" i="4"/>
  <c r="BJ44" i="4"/>
  <c r="BJ43" i="4"/>
  <c r="BJ32" i="4"/>
  <c r="BJ34" i="4" s="1"/>
  <c r="BJ8" i="4"/>
  <c r="BJ7" i="4"/>
  <c r="BJ73" i="4"/>
  <c r="BZ73" i="4"/>
  <c r="BY73" i="4"/>
  <c r="BX73" i="4"/>
  <c r="BW73" i="4"/>
  <c r="BZ65" i="4"/>
  <c r="BY65" i="4"/>
  <c r="BX65" i="4"/>
  <c r="BW65" i="4"/>
  <c r="BZ54" i="4"/>
  <c r="BY54" i="4"/>
  <c r="BX54" i="4"/>
  <c r="BW54" i="4"/>
  <c r="BZ34" i="4"/>
  <c r="BY34" i="4"/>
  <c r="BX34" i="4"/>
  <c r="BW34" i="4"/>
  <c r="BZ24" i="4"/>
  <c r="BZ26" i="4" s="1"/>
  <c r="BY24" i="4"/>
  <c r="BY26" i="4" s="1"/>
  <c r="BX24" i="4"/>
  <c r="BX26" i="4" s="1"/>
  <c r="BW24" i="4"/>
  <c r="BT73" i="4"/>
  <c r="BS73" i="4"/>
  <c r="BR73" i="4"/>
  <c r="BQ73" i="4"/>
  <c r="BT65" i="4"/>
  <c r="BS65" i="4"/>
  <c r="BR65" i="4"/>
  <c r="BQ65" i="4"/>
  <c r="BT54" i="4"/>
  <c r="BS54" i="4"/>
  <c r="BR54" i="4"/>
  <c r="BQ54" i="4"/>
  <c r="BT34" i="4"/>
  <c r="BS34" i="4"/>
  <c r="BR34" i="4"/>
  <c r="BQ34" i="4"/>
  <c r="BT24" i="4"/>
  <c r="BT26" i="4" s="1"/>
  <c r="BS24" i="4"/>
  <c r="BS26" i="4" s="1"/>
  <c r="BR24" i="4"/>
  <c r="BR26" i="4" s="1"/>
  <c r="BQ24" i="4"/>
  <c r="BQ26" i="4" s="1"/>
  <c r="BN73" i="4"/>
  <c r="BM73" i="4"/>
  <c r="BL73" i="4"/>
  <c r="BK73" i="4"/>
  <c r="BN65" i="4"/>
  <c r="BM65" i="4"/>
  <c r="BL65" i="4"/>
  <c r="BK65" i="4"/>
  <c r="BN54" i="4"/>
  <c r="BM54" i="4"/>
  <c r="BL54" i="4"/>
  <c r="BK54" i="4"/>
  <c r="BN34" i="4"/>
  <c r="BM34" i="4"/>
  <c r="BL34" i="4"/>
  <c r="BK34" i="4"/>
  <c r="BN24" i="4"/>
  <c r="BN26" i="4" s="1"/>
  <c r="BM24" i="4"/>
  <c r="BM26" i="4" s="1"/>
  <c r="BL24" i="4"/>
  <c r="BL26" i="4" s="1"/>
  <c r="BK24" i="4"/>
  <c r="BK26" i="4" s="1"/>
  <c r="BZ86" i="4"/>
  <c r="BY86" i="4"/>
  <c r="BX86" i="4"/>
  <c r="BW86" i="4"/>
  <c r="BZ80" i="4"/>
  <c r="BY80" i="4"/>
  <c r="BX80" i="4"/>
  <c r="BW80" i="4"/>
  <c r="BT86" i="4"/>
  <c r="BS86" i="4"/>
  <c r="BR86" i="4"/>
  <c r="BQ86" i="4"/>
  <c r="BT80" i="4"/>
  <c r="BS80" i="4"/>
  <c r="BR80" i="4"/>
  <c r="BQ80" i="4"/>
  <c r="BK101" i="4"/>
  <c r="BN86" i="4"/>
  <c r="BM86" i="4"/>
  <c r="BL86" i="4"/>
  <c r="BK86" i="4"/>
  <c r="BN80" i="4"/>
  <c r="BM80" i="4"/>
  <c r="BL80" i="4"/>
  <c r="BK80" i="4"/>
  <c r="BB101" i="4"/>
  <c r="BA101" i="4"/>
  <c r="AZ101" i="4"/>
  <c r="AY101" i="4"/>
  <c r="AX101" i="4"/>
  <c r="AV101" i="4"/>
  <c r="AU101" i="4"/>
  <c r="AT101" i="4"/>
  <c r="AS101" i="4"/>
  <c r="AR101" i="4"/>
  <c r="AP101" i="4"/>
  <c r="AO101" i="4"/>
  <c r="AN101" i="4"/>
  <c r="AM101" i="4"/>
  <c r="AL101" i="4"/>
  <c r="AK101" i="4"/>
  <c r="AJ101" i="4"/>
  <c r="AI101" i="4"/>
  <c r="AH101" i="4"/>
  <c r="AG101" i="4"/>
  <c r="AF101" i="4"/>
  <c r="AE101" i="4"/>
  <c r="BB81" i="4"/>
  <c r="BA81" i="4"/>
  <c r="AZ81" i="4"/>
  <c r="AY81" i="4"/>
  <c r="AX81" i="4"/>
  <c r="AV81" i="4"/>
  <c r="AU81" i="4"/>
  <c r="AT81" i="4"/>
  <c r="AS81" i="4"/>
  <c r="AR81" i="4"/>
  <c r="BG81" i="4"/>
  <c r="BB87" i="4"/>
  <c r="BA87" i="4"/>
  <c r="AZ87" i="4"/>
  <c r="AY87" i="4"/>
  <c r="AX87" i="4"/>
  <c r="AV87" i="4"/>
  <c r="AU87" i="4"/>
  <c r="AT87" i="4"/>
  <c r="AS87" i="4"/>
  <c r="AR87" i="4"/>
  <c r="BH87" i="4"/>
  <c r="BE87" i="4"/>
  <c r="AV86" i="4"/>
  <c r="AU86" i="4"/>
  <c r="AT86" i="4"/>
  <c r="AS86" i="4"/>
  <c r="AR86" i="4"/>
  <c r="AP86" i="4"/>
  <c r="AP39" i="4" s="1"/>
  <c r="AO86" i="4"/>
  <c r="AO39" i="4" s="1"/>
  <c r="AN86" i="4"/>
  <c r="AN39" i="4" s="1"/>
  <c r="AM86" i="4"/>
  <c r="AM39" i="4" s="1"/>
  <c r="AL86" i="4"/>
  <c r="AL39" i="4" s="1"/>
  <c r="AK86" i="4"/>
  <c r="AK39" i="4" s="1"/>
  <c r="AJ86" i="4"/>
  <c r="AJ39" i="4" s="1"/>
  <c r="AI86" i="4"/>
  <c r="AI39" i="4" s="1"/>
  <c r="AH86" i="4"/>
  <c r="AH39" i="4" s="1"/>
  <c r="AG86" i="4"/>
  <c r="AG39" i="4" s="1"/>
  <c r="AF86" i="4"/>
  <c r="AF39" i="4" s="1"/>
  <c r="AE86" i="4"/>
  <c r="AE39" i="4" s="1"/>
  <c r="AC86" i="4"/>
  <c r="AC39" i="4" s="1"/>
  <c r="AB86" i="4"/>
  <c r="AB39" i="4" s="1"/>
  <c r="AA86" i="4"/>
  <c r="AA39" i="4" s="1"/>
  <c r="Z86" i="4"/>
  <c r="Z39" i="4" s="1"/>
  <c r="Y86" i="4"/>
  <c r="Y39" i="4" s="1"/>
  <c r="X86" i="4"/>
  <c r="X39" i="4" s="1"/>
  <c r="W86" i="4"/>
  <c r="W39" i="4" s="1"/>
  <c r="V86" i="4"/>
  <c r="V39" i="4" s="1"/>
  <c r="U86" i="4"/>
  <c r="U39" i="4" s="1"/>
  <c r="T86" i="4"/>
  <c r="T39" i="4" s="1"/>
  <c r="BB133" i="6"/>
  <c r="BA133" i="6"/>
  <c r="AZ133" i="6"/>
  <c r="AY133" i="6"/>
  <c r="BZ83" i="6"/>
  <c r="BY83" i="6"/>
  <c r="BX83" i="6"/>
  <c r="BW83" i="6"/>
  <c r="BZ82" i="6"/>
  <c r="BY82" i="6"/>
  <c r="BX82" i="6"/>
  <c r="BW82" i="6"/>
  <c r="BZ81" i="6"/>
  <c r="BY81" i="6"/>
  <c r="BX81" i="6"/>
  <c r="BW81" i="6"/>
  <c r="BV150" i="6"/>
  <c r="BV149" i="6"/>
  <c r="BV148" i="6"/>
  <c r="BV147" i="6"/>
  <c r="BV146" i="6"/>
  <c r="BV145" i="6"/>
  <c r="BV144" i="6"/>
  <c r="BV143" i="6"/>
  <c r="BV142" i="6"/>
  <c r="BV141" i="6"/>
  <c r="BV140" i="6"/>
  <c r="BV139" i="6"/>
  <c r="BV138" i="6"/>
  <c r="BV137" i="6"/>
  <c r="BV136" i="6"/>
  <c r="BV70" i="6"/>
  <c r="BV69" i="6"/>
  <c r="BV68" i="6"/>
  <c r="BV67" i="6"/>
  <c r="BV63" i="6"/>
  <c r="BV62" i="6"/>
  <c r="BV61" i="6"/>
  <c r="BV60" i="6"/>
  <c r="BV59" i="6"/>
  <c r="BV58" i="6"/>
  <c r="BV57" i="6"/>
  <c r="BV56" i="6"/>
  <c r="BV52" i="6"/>
  <c r="BV50" i="6"/>
  <c r="BV49" i="6"/>
  <c r="BV48" i="6"/>
  <c r="BV47" i="6"/>
  <c r="BV46" i="6"/>
  <c r="BV45" i="6"/>
  <c r="BV44" i="6"/>
  <c r="BV43" i="6"/>
  <c r="BV39" i="6"/>
  <c r="BV38" i="6"/>
  <c r="BV37" i="6"/>
  <c r="BV36" i="6"/>
  <c r="BV32" i="6"/>
  <c r="BV31" i="6"/>
  <c r="BV30" i="6"/>
  <c r="BV29" i="6"/>
  <c r="BV28" i="6"/>
  <c r="BV22" i="6"/>
  <c r="BV21" i="6"/>
  <c r="BV20" i="6"/>
  <c r="BV7" i="6"/>
  <c r="BV5" i="6"/>
  <c r="BP150" i="6"/>
  <c r="BP149" i="6"/>
  <c r="BP148" i="6"/>
  <c r="BP147" i="6"/>
  <c r="BP146" i="6"/>
  <c r="BP145" i="6"/>
  <c r="BP144" i="6"/>
  <c r="BP143" i="6"/>
  <c r="BP142" i="6"/>
  <c r="BP141" i="6"/>
  <c r="BP140" i="6"/>
  <c r="BP139" i="6"/>
  <c r="BP138" i="6"/>
  <c r="BP137" i="6"/>
  <c r="BP136" i="6"/>
  <c r="BP70" i="6"/>
  <c r="BP69" i="6"/>
  <c r="BP68" i="6"/>
  <c r="BP67" i="6"/>
  <c r="BP63" i="6"/>
  <c r="BP62" i="6"/>
  <c r="BP61" i="6"/>
  <c r="BP60" i="6"/>
  <c r="BP59" i="6"/>
  <c r="BP58" i="6"/>
  <c r="BP57" i="6"/>
  <c r="BP56" i="6"/>
  <c r="BP52" i="6"/>
  <c r="BP50" i="6"/>
  <c r="BP49" i="6"/>
  <c r="BP48" i="6"/>
  <c r="BP47" i="6"/>
  <c r="BP46" i="6"/>
  <c r="BP45" i="6"/>
  <c r="BP44" i="6"/>
  <c r="BP43" i="6"/>
  <c r="BP39" i="6"/>
  <c r="BP38" i="6"/>
  <c r="BP37" i="6"/>
  <c r="BP36" i="6"/>
  <c r="BP32" i="6"/>
  <c r="BP31" i="6"/>
  <c r="BP30" i="6"/>
  <c r="BP29" i="6"/>
  <c r="BP28" i="6"/>
  <c r="BP22" i="6"/>
  <c r="BP21" i="6"/>
  <c r="BP20" i="6"/>
  <c r="BP7" i="6"/>
  <c r="BP5" i="6"/>
  <c r="BZ152" i="6"/>
  <c r="BZ24" i="6" s="1"/>
  <c r="BY152" i="6"/>
  <c r="BY24" i="6" s="1"/>
  <c r="BX152" i="6"/>
  <c r="BX24" i="6" s="1"/>
  <c r="BW152" i="6"/>
  <c r="BW24" i="6" s="1"/>
  <c r="BT152" i="6"/>
  <c r="BT24" i="6" s="1"/>
  <c r="BS152" i="6"/>
  <c r="BS24" i="6" s="1"/>
  <c r="BR152" i="6"/>
  <c r="BR24" i="6" s="1"/>
  <c r="BQ152" i="6"/>
  <c r="BQ24" i="6" s="1"/>
  <c r="BN152" i="6"/>
  <c r="BN24" i="6" s="1"/>
  <c r="BM152" i="6"/>
  <c r="BL152" i="6"/>
  <c r="BL24" i="6" s="1"/>
  <c r="BK152" i="6"/>
  <c r="BK24" i="6" s="1"/>
  <c r="BJ150" i="6"/>
  <c r="BJ149" i="6"/>
  <c r="BJ148" i="6"/>
  <c r="BJ147" i="6"/>
  <c r="BJ146" i="6"/>
  <c r="BJ145" i="6"/>
  <c r="BJ144" i="6"/>
  <c r="BJ143" i="6"/>
  <c r="BJ142" i="6"/>
  <c r="BJ141" i="6"/>
  <c r="BJ140" i="6"/>
  <c r="BJ139" i="6"/>
  <c r="BJ138" i="6"/>
  <c r="BJ137" i="6"/>
  <c r="BJ136" i="6"/>
  <c r="BJ70" i="6"/>
  <c r="BJ69" i="6"/>
  <c r="BJ68" i="6"/>
  <c r="BJ67" i="6"/>
  <c r="BJ63" i="6"/>
  <c r="BJ62" i="6"/>
  <c r="BJ61" i="6"/>
  <c r="BJ60" i="6"/>
  <c r="BJ59" i="6"/>
  <c r="BJ58" i="6"/>
  <c r="BJ57" i="6"/>
  <c r="BJ56" i="6"/>
  <c r="BJ52" i="6"/>
  <c r="BJ50" i="6"/>
  <c r="BJ49" i="6"/>
  <c r="BJ48" i="6"/>
  <c r="BJ47" i="6"/>
  <c r="BJ46" i="6"/>
  <c r="BJ45" i="6"/>
  <c r="BJ44" i="6"/>
  <c r="BJ43" i="6"/>
  <c r="BJ39" i="6"/>
  <c r="BJ38" i="6"/>
  <c r="BJ37" i="6"/>
  <c r="BJ36" i="6"/>
  <c r="BJ41" i="6" s="1"/>
  <c r="BJ32" i="6"/>
  <c r="BJ31" i="6"/>
  <c r="BJ30" i="6"/>
  <c r="BJ29" i="6"/>
  <c r="BJ28" i="6"/>
  <c r="BJ22" i="6"/>
  <c r="BJ21" i="6"/>
  <c r="BJ20" i="6"/>
  <c r="BJ7" i="6"/>
  <c r="BJ5" i="6"/>
  <c r="BZ72" i="8"/>
  <c r="BY72" i="8"/>
  <c r="BX72" i="8"/>
  <c r="BW72" i="8"/>
  <c r="BW8" i="14" s="1"/>
  <c r="BV72" i="8"/>
  <c r="BP72" i="8"/>
  <c r="BN71" i="6"/>
  <c r="BN73" i="6" s="1"/>
  <c r="BM71" i="6"/>
  <c r="BM73" i="6" s="1"/>
  <c r="BL71" i="6"/>
  <c r="BL73" i="6" s="1"/>
  <c r="BK71" i="6"/>
  <c r="BK73" i="6" s="1"/>
  <c r="BZ80" i="6"/>
  <c r="BY80" i="6"/>
  <c r="BX80" i="6"/>
  <c r="BW80" i="6"/>
  <c r="BV80" i="6" s="1"/>
  <c r="BT83" i="6"/>
  <c r="BS83" i="6"/>
  <c r="BR83" i="6"/>
  <c r="BQ83" i="6"/>
  <c r="BT82" i="6"/>
  <c r="BS82" i="6"/>
  <c r="BR82" i="6"/>
  <c r="BQ82" i="6"/>
  <c r="BP82" i="6" s="1"/>
  <c r="BT81" i="6"/>
  <c r="BS81" i="6"/>
  <c r="BR81" i="6"/>
  <c r="BQ81" i="6"/>
  <c r="BT80" i="6"/>
  <c r="BS80" i="6"/>
  <c r="BR80" i="6"/>
  <c r="BQ80" i="6"/>
  <c r="BP80" i="6" s="1"/>
  <c r="BN83" i="6"/>
  <c r="BM83" i="6"/>
  <c r="BL83" i="6"/>
  <c r="BK83" i="6"/>
  <c r="BN82" i="6"/>
  <c r="BM82" i="6"/>
  <c r="BL82" i="6"/>
  <c r="BK82" i="6"/>
  <c r="BJ82" i="6" s="1"/>
  <c r="BN81" i="6"/>
  <c r="BM81" i="6"/>
  <c r="BL81" i="6"/>
  <c r="BK81" i="6"/>
  <c r="BN80" i="6"/>
  <c r="BM80" i="6"/>
  <c r="BL80" i="6"/>
  <c r="BK80" i="6"/>
  <c r="BZ71" i="6"/>
  <c r="BZ73" i="6" s="1"/>
  <c r="BY71" i="6"/>
  <c r="BY73" i="6" s="1"/>
  <c r="BX71" i="6"/>
  <c r="BX73" i="6" s="1"/>
  <c r="BW71" i="6"/>
  <c r="BW73" i="6" s="1"/>
  <c r="BZ65" i="6"/>
  <c r="BY65" i="6"/>
  <c r="BX65" i="6"/>
  <c r="BW65" i="6"/>
  <c r="BZ51" i="6"/>
  <c r="BY51" i="6"/>
  <c r="BY54" i="6" s="1"/>
  <c r="BX51" i="6"/>
  <c r="BX54" i="6" s="1"/>
  <c r="BW51" i="6"/>
  <c r="BW54" i="6" s="1"/>
  <c r="BZ41" i="6"/>
  <c r="BY41" i="6"/>
  <c r="BX41" i="6"/>
  <c r="BW41" i="6"/>
  <c r="BZ34" i="6"/>
  <c r="BY34" i="6"/>
  <c r="BX34" i="6"/>
  <c r="BW34" i="6"/>
  <c r="BZ23" i="6"/>
  <c r="BY23" i="6"/>
  <c r="BX23" i="6"/>
  <c r="BW23" i="6"/>
  <c r="BT65" i="6"/>
  <c r="BS65" i="6"/>
  <c r="BR65" i="6"/>
  <c r="BQ65" i="6"/>
  <c r="BT51" i="6"/>
  <c r="BT54" i="6" s="1"/>
  <c r="BS51" i="6"/>
  <c r="BS54" i="6" s="1"/>
  <c r="BR51" i="6"/>
  <c r="BR54" i="6" s="1"/>
  <c r="BQ51" i="6"/>
  <c r="BQ54" i="6" s="1"/>
  <c r="BT41" i="6"/>
  <c r="BS41" i="6"/>
  <c r="BR41" i="6"/>
  <c r="BQ41" i="6"/>
  <c r="BT34" i="6"/>
  <c r="BS34" i="6"/>
  <c r="BR34" i="6"/>
  <c r="BQ34" i="6"/>
  <c r="BT23" i="6"/>
  <c r="BS23" i="6"/>
  <c r="BR23" i="6"/>
  <c r="BQ23" i="6"/>
  <c r="BN65" i="6"/>
  <c r="BM65" i="6"/>
  <c r="BL65" i="6"/>
  <c r="BK65" i="6"/>
  <c r="BN51" i="6"/>
  <c r="BN54" i="6" s="1"/>
  <c r="BM51" i="6"/>
  <c r="BM54" i="6" s="1"/>
  <c r="BL51" i="6"/>
  <c r="BL54" i="6" s="1"/>
  <c r="BK51" i="6"/>
  <c r="BN41" i="6"/>
  <c r="BM41" i="6"/>
  <c r="BL41" i="6"/>
  <c r="BK41" i="6"/>
  <c r="BN34" i="6"/>
  <c r="BM34" i="6"/>
  <c r="BL34" i="6"/>
  <c r="BK34" i="6"/>
  <c r="BM24" i="6"/>
  <c r="BN23" i="6"/>
  <c r="BM23" i="6"/>
  <c r="BL23" i="6"/>
  <c r="BK23" i="6"/>
  <c r="AM74" i="9" l="1"/>
  <c r="AN45" i="9"/>
  <c r="BP23" i="6"/>
  <c r="BV101" i="4"/>
  <c r="AN28" i="9"/>
  <c r="BE101" i="4"/>
  <c r="AN46" i="9"/>
  <c r="AN42" i="9"/>
  <c r="AN43" i="9"/>
  <c r="AN44" i="9"/>
  <c r="AO25" i="9"/>
  <c r="BV152" i="6"/>
  <c r="BV83" i="6"/>
  <c r="BP86" i="4"/>
  <c r="BV34" i="6"/>
  <c r="BP65" i="6"/>
  <c r="BJ54" i="4"/>
  <c r="BP101" i="4"/>
  <c r="BJ65" i="6"/>
  <c r="BH86" i="4"/>
  <c r="BH101" i="4"/>
  <c r="BJ65" i="4"/>
  <c r="BJ83" i="6"/>
  <c r="BP83" i="6"/>
  <c r="BV82" i="6"/>
  <c r="BJ86" i="4"/>
  <c r="BJ101" i="4"/>
  <c r="BV88" i="4"/>
  <c r="BV87" i="4"/>
  <c r="BP88" i="4"/>
  <c r="BP87" i="4"/>
  <c r="BP89" i="4"/>
  <c r="BV89" i="4"/>
  <c r="BZ54" i="6"/>
  <c r="BV51" i="6"/>
  <c r="BV54" i="6" s="1"/>
  <c r="BY26" i="6"/>
  <c r="BV23" i="6"/>
  <c r="BR26" i="6"/>
  <c r="BG101" i="4"/>
  <c r="BP54" i="4"/>
  <c r="BJ34" i="6"/>
  <c r="BJ152" i="6"/>
  <c r="BV86" i="4"/>
  <c r="BW26" i="4"/>
  <c r="BV24" i="4"/>
  <c r="BV26" i="4" s="1"/>
  <c r="BJ80" i="6"/>
  <c r="BP34" i="6"/>
  <c r="BK54" i="6"/>
  <c r="BJ51" i="6"/>
  <c r="BJ54" i="6" s="1"/>
  <c r="BV81" i="6"/>
  <c r="BD86" i="4"/>
  <c r="BV54" i="4"/>
  <c r="BJ80" i="4"/>
  <c r="BJ81" i="6"/>
  <c r="BP81" i="6"/>
  <c r="BP51" i="6"/>
  <c r="BP54" i="6" s="1"/>
  <c r="BK26" i="6"/>
  <c r="BJ23" i="6"/>
  <c r="BJ24" i="4"/>
  <c r="BJ26" i="4" s="1"/>
  <c r="BP24" i="4"/>
  <c r="BP26" i="4" s="1"/>
  <c r="BL26" i="6"/>
  <c r="BP41" i="6"/>
  <c r="BP152" i="6"/>
  <c r="BM26" i="6"/>
  <c r="BV65" i="6"/>
  <c r="BF101" i="4"/>
  <c r="BP80" i="4"/>
  <c r="BN26" i="6"/>
  <c r="BW26" i="6"/>
  <c r="BV41" i="6"/>
  <c r="BP65" i="4"/>
  <c r="BV65" i="4"/>
  <c r="BQ26" i="6"/>
  <c r="BX26" i="6"/>
  <c r="BB86" i="4"/>
  <c r="BV80" i="4"/>
  <c r="BD101" i="4"/>
  <c r="AZ86" i="4"/>
  <c r="BF86" i="4"/>
  <c r="BF87" i="4"/>
  <c r="BH81" i="4"/>
  <c r="AX86" i="4"/>
  <c r="BA86" i="4"/>
  <c r="BG86" i="4"/>
  <c r="BG87" i="4"/>
  <c r="BE81" i="4"/>
  <c r="BF81" i="4"/>
  <c r="BE86" i="4"/>
  <c r="BD81" i="4"/>
  <c r="BD87" i="4"/>
  <c r="AY86" i="4"/>
  <c r="BZ26" i="6"/>
  <c r="BP24" i="6"/>
  <c r="BP26" i="6" s="1"/>
  <c r="BJ24" i="6"/>
  <c r="BT26" i="6"/>
  <c r="BV24" i="6"/>
  <c r="BJ71" i="6"/>
  <c r="BJ73" i="6" s="1"/>
  <c r="BV71" i="6"/>
  <c r="BV73" i="6" s="1"/>
  <c r="BS26" i="6"/>
  <c r="BQ71" i="6"/>
  <c r="BX78" i="9"/>
  <c r="BR78" i="9"/>
  <c r="AY81" i="9"/>
  <c r="AY102" i="9"/>
  <c r="AY101" i="9"/>
  <c r="AY97" i="9"/>
  <c r="AY73" i="9"/>
  <c r="AR21" i="9"/>
  <c r="AS21" i="9" s="1"/>
  <c r="BZ58" i="11"/>
  <c r="BY58" i="11"/>
  <c r="BX58" i="11"/>
  <c r="BW58" i="11"/>
  <c r="BZ57" i="11"/>
  <c r="BY57" i="11"/>
  <c r="BX57" i="11"/>
  <c r="BW57" i="11"/>
  <c r="BZ56" i="11"/>
  <c r="BY56" i="11"/>
  <c r="BX56" i="11"/>
  <c r="BW56" i="11"/>
  <c r="BZ55" i="11"/>
  <c r="BY55" i="11"/>
  <c r="BX55" i="11"/>
  <c r="BW55" i="11"/>
  <c r="BZ54" i="11"/>
  <c r="BY54" i="11"/>
  <c r="BX54" i="11"/>
  <c r="BW54" i="11"/>
  <c r="BZ53" i="11"/>
  <c r="BY53" i="11"/>
  <c r="BX53" i="11"/>
  <c r="BW53" i="11"/>
  <c r="BT58" i="11"/>
  <c r="BS58" i="11"/>
  <c r="BR58" i="11"/>
  <c r="BT57" i="11"/>
  <c r="BS57" i="11"/>
  <c r="BR57" i="11"/>
  <c r="BT56" i="11"/>
  <c r="BS56" i="11"/>
  <c r="BR56" i="11"/>
  <c r="BT55" i="11"/>
  <c r="BS55" i="11"/>
  <c r="BR55" i="11"/>
  <c r="BT54" i="11"/>
  <c r="BS54" i="11"/>
  <c r="BR54" i="11"/>
  <c r="BQ54" i="11"/>
  <c r="BT53" i="11"/>
  <c r="BS53" i="11"/>
  <c r="BR53" i="11"/>
  <c r="BQ53" i="11"/>
  <c r="BN58" i="11"/>
  <c r="BM58" i="11"/>
  <c r="BL58" i="11"/>
  <c r="BK58" i="11"/>
  <c r="BN57" i="11"/>
  <c r="BM57" i="11"/>
  <c r="BL57" i="11"/>
  <c r="BK57" i="11"/>
  <c r="BN56" i="11"/>
  <c r="BM56" i="11"/>
  <c r="BL56" i="11"/>
  <c r="BK56" i="11"/>
  <c r="BN55" i="11"/>
  <c r="BM55" i="11"/>
  <c r="BL55" i="11"/>
  <c r="BK55" i="11"/>
  <c r="BN54" i="11"/>
  <c r="BM54" i="11"/>
  <c r="BL54" i="11"/>
  <c r="BK54" i="11"/>
  <c r="BN53" i="11"/>
  <c r="BM53" i="11"/>
  <c r="BL53" i="11"/>
  <c r="BK53" i="11"/>
  <c r="BZ44" i="11"/>
  <c r="BY44" i="11"/>
  <c r="BX44" i="11"/>
  <c r="BW44" i="11"/>
  <c r="BZ43" i="11"/>
  <c r="BY43" i="11"/>
  <c r="BX43" i="11"/>
  <c r="BW43" i="11"/>
  <c r="BZ42" i="11"/>
  <c r="BY42" i="11"/>
  <c r="BX42" i="11"/>
  <c r="BW42" i="11"/>
  <c r="BZ41" i="11"/>
  <c r="BY41" i="11"/>
  <c r="BX41" i="11"/>
  <c r="BW41" i="11"/>
  <c r="BZ40" i="11"/>
  <c r="BY40" i="11"/>
  <c r="BX40" i="11"/>
  <c r="BW40" i="11"/>
  <c r="BZ39" i="11"/>
  <c r="BY39" i="11"/>
  <c r="BX39" i="11"/>
  <c r="BW39" i="11"/>
  <c r="BZ38" i="11"/>
  <c r="BY38" i="11"/>
  <c r="BX38" i="11"/>
  <c r="BW38" i="11"/>
  <c r="BZ35" i="11"/>
  <c r="BY35" i="11"/>
  <c r="BX35" i="11"/>
  <c r="BW35" i="11"/>
  <c r="BT44" i="11"/>
  <c r="BS44" i="11"/>
  <c r="BR44" i="11"/>
  <c r="BQ44" i="11"/>
  <c r="BT43" i="11"/>
  <c r="BS43" i="11"/>
  <c r="BR43" i="11"/>
  <c r="BQ43" i="11"/>
  <c r="BT42" i="11"/>
  <c r="BS42" i="11"/>
  <c r="BR42" i="11"/>
  <c r="BQ42" i="11"/>
  <c r="BT41" i="11"/>
  <c r="BS41" i="11"/>
  <c r="BR41" i="11"/>
  <c r="BQ41" i="11"/>
  <c r="BT40" i="11"/>
  <c r="BS40" i="11"/>
  <c r="BR40" i="11"/>
  <c r="BQ40" i="11"/>
  <c r="BT39" i="11"/>
  <c r="BS39" i="11"/>
  <c r="BR39" i="11"/>
  <c r="BQ39" i="11"/>
  <c r="BT38" i="11"/>
  <c r="BS38" i="11"/>
  <c r="BR38" i="11"/>
  <c r="BQ38" i="11"/>
  <c r="BT35" i="11"/>
  <c r="BS35" i="11"/>
  <c r="BR35" i="11"/>
  <c r="BQ35" i="11"/>
  <c r="BN44" i="11"/>
  <c r="BM44" i="11"/>
  <c r="BL44" i="11"/>
  <c r="BK44" i="11"/>
  <c r="BN43" i="11"/>
  <c r="BM43" i="11"/>
  <c r="BL43" i="11"/>
  <c r="BK43" i="11"/>
  <c r="BN42" i="11"/>
  <c r="BM42" i="11"/>
  <c r="BL42" i="11"/>
  <c r="BK42" i="11"/>
  <c r="BN41" i="11"/>
  <c r="BM41" i="11"/>
  <c r="BL41" i="11"/>
  <c r="BK41" i="11"/>
  <c r="BN40" i="11"/>
  <c r="BM40" i="11"/>
  <c r="BL40" i="11"/>
  <c r="BK40" i="11"/>
  <c r="BN39" i="11"/>
  <c r="BM39" i="11"/>
  <c r="BL39" i="11"/>
  <c r="BK39" i="11"/>
  <c r="BN38" i="11"/>
  <c r="BM38" i="11"/>
  <c r="BL38" i="11"/>
  <c r="BK38" i="11"/>
  <c r="BN35" i="11"/>
  <c r="BM35" i="11"/>
  <c r="BL35" i="11"/>
  <c r="BK35" i="11"/>
  <c r="BV30" i="11"/>
  <c r="BV29" i="11"/>
  <c r="BV28" i="11"/>
  <c r="BV27" i="11"/>
  <c r="BV26" i="11"/>
  <c r="BV25" i="11"/>
  <c r="BV24" i="11"/>
  <c r="BV16" i="11"/>
  <c r="BV15" i="11"/>
  <c r="BV14" i="11"/>
  <c r="BV13" i="11"/>
  <c r="BV12" i="11"/>
  <c r="BV11" i="11"/>
  <c r="BV10" i="11"/>
  <c r="BV7" i="11"/>
  <c r="BP30" i="11"/>
  <c r="BP29" i="11"/>
  <c r="BP28" i="11"/>
  <c r="BP27" i="11"/>
  <c r="BP26" i="11"/>
  <c r="BP25" i="11"/>
  <c r="BP16" i="11"/>
  <c r="BP15" i="11"/>
  <c r="BP14" i="11"/>
  <c r="BP13" i="11"/>
  <c r="BP12" i="11"/>
  <c r="BP11" i="11"/>
  <c r="BP10" i="11"/>
  <c r="BP7" i="11"/>
  <c r="BJ30" i="11"/>
  <c r="BJ29" i="11"/>
  <c r="BJ28" i="11"/>
  <c r="BJ27" i="11"/>
  <c r="BJ26" i="11"/>
  <c r="BJ25" i="11"/>
  <c r="BJ24" i="11"/>
  <c r="BJ10" i="11"/>
  <c r="BJ11" i="11"/>
  <c r="BJ12" i="11"/>
  <c r="BJ13" i="11"/>
  <c r="BJ14" i="11"/>
  <c r="BJ15" i="11"/>
  <c r="BJ16" i="11"/>
  <c r="BJ7" i="11"/>
  <c r="BH30" i="11"/>
  <c r="BG30" i="11"/>
  <c r="BF30" i="11"/>
  <c r="BE30" i="11"/>
  <c r="BD30" i="11"/>
  <c r="BB30" i="11"/>
  <c r="BA30" i="11"/>
  <c r="AZ30" i="11"/>
  <c r="AY30" i="11"/>
  <c r="AX30" i="11"/>
  <c r="AV30" i="11"/>
  <c r="AU30" i="11"/>
  <c r="AT30" i="11"/>
  <c r="AS30" i="11"/>
  <c r="AR30" i="11"/>
  <c r="BH29" i="11"/>
  <c r="BG29" i="11"/>
  <c r="BF29" i="11"/>
  <c r="BE29" i="11"/>
  <c r="BD29" i="11"/>
  <c r="BB29" i="11"/>
  <c r="BA29" i="11"/>
  <c r="AZ29" i="11"/>
  <c r="AY29" i="11"/>
  <c r="AX29" i="11"/>
  <c r="AV29" i="11"/>
  <c r="AU29" i="11"/>
  <c r="AT29" i="11"/>
  <c r="AS29" i="11"/>
  <c r="AR29" i="11"/>
  <c r="BH28" i="11"/>
  <c r="BG28" i="11"/>
  <c r="BF28" i="11"/>
  <c r="BE28" i="11"/>
  <c r="BD28" i="11"/>
  <c r="BB28" i="11"/>
  <c r="BA28" i="11"/>
  <c r="AZ28" i="11"/>
  <c r="AY28" i="11"/>
  <c r="AX28" i="11"/>
  <c r="AV28" i="11"/>
  <c r="AU28" i="11"/>
  <c r="AT28" i="11"/>
  <c r="AS28" i="11"/>
  <c r="AR28" i="11"/>
  <c r="BH27" i="11"/>
  <c r="BG27" i="11"/>
  <c r="BF27" i="11"/>
  <c r="BE27" i="11"/>
  <c r="BD27" i="11"/>
  <c r="BB27" i="11"/>
  <c r="BA27" i="11"/>
  <c r="AZ27" i="11"/>
  <c r="AY27" i="11"/>
  <c r="AX27" i="11"/>
  <c r="AV27" i="11"/>
  <c r="AU27" i="11"/>
  <c r="AT27" i="11"/>
  <c r="AS27" i="11"/>
  <c r="AR27" i="11"/>
  <c r="BH26" i="11"/>
  <c r="BG26" i="11"/>
  <c r="BF26" i="11"/>
  <c r="BE26" i="11"/>
  <c r="BD26" i="11"/>
  <c r="BB26" i="11"/>
  <c r="BA26" i="11"/>
  <c r="AZ26" i="11"/>
  <c r="AY26" i="11"/>
  <c r="AX26" i="11"/>
  <c r="AV26" i="11"/>
  <c r="AU26" i="11"/>
  <c r="AT26" i="11"/>
  <c r="AS26" i="11"/>
  <c r="AR26" i="11"/>
  <c r="BH25" i="11"/>
  <c r="BG25" i="11"/>
  <c r="BF25" i="11"/>
  <c r="BE25" i="11"/>
  <c r="BD25" i="11"/>
  <c r="BB25" i="11"/>
  <c r="BA25" i="11"/>
  <c r="AZ25" i="11"/>
  <c r="AY25" i="11"/>
  <c r="AX25" i="11"/>
  <c r="AV25" i="11"/>
  <c r="AU25" i="11"/>
  <c r="AT25" i="11"/>
  <c r="AS25" i="11"/>
  <c r="AR25" i="11"/>
  <c r="BH24" i="11"/>
  <c r="BG24" i="11"/>
  <c r="BF24" i="11"/>
  <c r="BE24" i="11"/>
  <c r="BD24" i="11"/>
  <c r="BB24" i="11"/>
  <c r="BA24" i="11"/>
  <c r="AZ24" i="11"/>
  <c r="AY24" i="11"/>
  <c r="AX24" i="11"/>
  <c r="AV24" i="11"/>
  <c r="AU24" i="11"/>
  <c r="AT24" i="11"/>
  <c r="AS24" i="11"/>
  <c r="AR24" i="11"/>
  <c r="BH23" i="11"/>
  <c r="BG23" i="11"/>
  <c r="BF23" i="11"/>
  <c r="BE23" i="11"/>
  <c r="BD23" i="11"/>
  <c r="BB23" i="11"/>
  <c r="BA23" i="11"/>
  <c r="AZ23" i="11"/>
  <c r="AY23" i="11"/>
  <c r="AX23" i="11"/>
  <c r="AV23" i="11"/>
  <c r="AU23" i="11"/>
  <c r="AT23" i="11"/>
  <c r="AS23" i="11"/>
  <c r="AR23" i="11"/>
  <c r="AZ22" i="11"/>
  <c r="AY22" i="11"/>
  <c r="AV22" i="11"/>
  <c r="AU22" i="11"/>
  <c r="AT22" i="11"/>
  <c r="AS22" i="11"/>
  <c r="AR22" i="11"/>
  <c r="AZ21" i="11"/>
  <c r="AY21" i="11"/>
  <c r="AV21" i="11"/>
  <c r="AU21" i="11"/>
  <c r="AT21" i="11"/>
  <c r="AS21" i="11"/>
  <c r="AR21" i="11"/>
  <c r="BH16" i="11"/>
  <c r="BG16" i="11"/>
  <c r="BF16" i="11"/>
  <c r="BE16" i="11"/>
  <c r="BD16" i="11"/>
  <c r="BB16" i="11"/>
  <c r="BA16" i="11"/>
  <c r="AZ16" i="11"/>
  <c r="AY16" i="11"/>
  <c r="AX16" i="11"/>
  <c r="AV16" i="11"/>
  <c r="AU16" i="11"/>
  <c r="AT16" i="11"/>
  <c r="AS16" i="11"/>
  <c r="AR16" i="11"/>
  <c r="BH15" i="11"/>
  <c r="BG15" i="11"/>
  <c r="BF15" i="11"/>
  <c r="BE15" i="11"/>
  <c r="BD15" i="11"/>
  <c r="BB15" i="11"/>
  <c r="BA15" i="11"/>
  <c r="AZ15" i="11"/>
  <c r="AY15" i="11"/>
  <c r="AX15" i="11"/>
  <c r="AV15" i="11"/>
  <c r="AU15" i="11"/>
  <c r="AT15" i="11"/>
  <c r="AS15" i="11"/>
  <c r="AR15" i="11"/>
  <c r="BH14" i="11"/>
  <c r="BG14" i="11"/>
  <c r="BF14" i="11"/>
  <c r="BE14" i="11"/>
  <c r="BD14" i="11"/>
  <c r="BB14" i="11"/>
  <c r="BA14" i="11"/>
  <c r="AZ14" i="11"/>
  <c r="AY14" i="11"/>
  <c r="AX14" i="11"/>
  <c r="AV14" i="11"/>
  <c r="AU14" i="11"/>
  <c r="AT14" i="11"/>
  <c r="AS14" i="11"/>
  <c r="AR14" i="11"/>
  <c r="BH13" i="11"/>
  <c r="BG13" i="11"/>
  <c r="BF13" i="11"/>
  <c r="BE13" i="11"/>
  <c r="BD13" i="11"/>
  <c r="BB13" i="11"/>
  <c r="BA13" i="11"/>
  <c r="AZ13" i="11"/>
  <c r="AY13" i="11"/>
  <c r="AX13" i="11"/>
  <c r="AV13" i="11"/>
  <c r="AU13" i="11"/>
  <c r="AT13" i="11"/>
  <c r="AS13" i="11"/>
  <c r="AR13" i="11"/>
  <c r="BH12" i="11"/>
  <c r="BG12" i="11"/>
  <c r="BF12" i="11"/>
  <c r="BE12" i="11"/>
  <c r="BD12" i="11"/>
  <c r="BB12" i="11"/>
  <c r="BA12" i="11"/>
  <c r="AZ12" i="11"/>
  <c r="AY12" i="11"/>
  <c r="AX12" i="11"/>
  <c r="AV12" i="11"/>
  <c r="AU12" i="11"/>
  <c r="AT12" i="11"/>
  <c r="AS12" i="11"/>
  <c r="AR12" i="11"/>
  <c r="BH11" i="11"/>
  <c r="BG11" i="11"/>
  <c r="BF11" i="11"/>
  <c r="BE11" i="11"/>
  <c r="BD11" i="11"/>
  <c r="BB11" i="11"/>
  <c r="BA11" i="11"/>
  <c r="AZ11" i="11"/>
  <c r="AY11" i="11"/>
  <c r="AX11" i="11"/>
  <c r="AV11" i="11"/>
  <c r="AU11" i="11"/>
  <c r="AT11" i="11"/>
  <c r="AS11" i="11"/>
  <c r="AR11" i="11"/>
  <c r="BH10" i="11"/>
  <c r="BG10" i="11"/>
  <c r="BF10" i="11"/>
  <c r="BE10" i="11"/>
  <c r="BD10" i="11"/>
  <c r="BB10" i="11"/>
  <c r="BA10" i="11"/>
  <c r="AZ10" i="11"/>
  <c r="AY10" i="11"/>
  <c r="AX10" i="11"/>
  <c r="AV10" i="11"/>
  <c r="AU10" i="11"/>
  <c r="AT10" i="11"/>
  <c r="AS10" i="11"/>
  <c r="AR10" i="11"/>
  <c r="BH9" i="11"/>
  <c r="BG9" i="11"/>
  <c r="BF9" i="11"/>
  <c r="BE9" i="11"/>
  <c r="BD9" i="11"/>
  <c r="BB9" i="11"/>
  <c r="BA9" i="11"/>
  <c r="AZ9" i="11"/>
  <c r="AY9" i="11"/>
  <c r="AX9" i="11"/>
  <c r="AV9" i="11"/>
  <c r="AU9" i="11"/>
  <c r="AT9" i="11"/>
  <c r="AS9" i="11"/>
  <c r="AR9" i="11"/>
  <c r="AZ8" i="11"/>
  <c r="AY8" i="11"/>
  <c r="AV8" i="11"/>
  <c r="AU8" i="11"/>
  <c r="AT8" i="11"/>
  <c r="AS8" i="11"/>
  <c r="AR8" i="11"/>
  <c r="BH7" i="11"/>
  <c r="BG7" i="11"/>
  <c r="BF7" i="11"/>
  <c r="BE7" i="11"/>
  <c r="BD7" i="11"/>
  <c r="BB7" i="11"/>
  <c r="BA7" i="11"/>
  <c r="AZ7" i="11"/>
  <c r="AY7" i="11"/>
  <c r="AX7" i="11"/>
  <c r="AV7" i="11"/>
  <c r="AU7" i="11"/>
  <c r="AT7" i="11"/>
  <c r="AS7" i="11"/>
  <c r="AR7" i="11"/>
  <c r="BJ44" i="11" l="1"/>
  <c r="AN74" i="9"/>
  <c r="AO45" i="9"/>
  <c r="BJ41" i="11"/>
  <c r="BV39" i="11"/>
  <c r="BK21" i="11"/>
  <c r="AC21" i="11"/>
  <c r="AI22" i="11"/>
  <c r="AP21" i="11"/>
  <c r="Y21" i="11"/>
  <c r="AE22" i="11"/>
  <c r="BK22" i="11"/>
  <c r="AK22" i="11"/>
  <c r="AP22" i="11"/>
  <c r="X21" i="11"/>
  <c r="AF22" i="11"/>
  <c r="AN21" i="11"/>
  <c r="AK8" i="11"/>
  <c r="AB22" i="11"/>
  <c r="AM22" i="11"/>
  <c r="AK21" i="11"/>
  <c r="AA22" i="11"/>
  <c r="AO21" i="11"/>
  <c r="AH21" i="11"/>
  <c r="Y22" i="11"/>
  <c r="X22" i="11"/>
  <c r="AM21" i="11"/>
  <c r="AE8" i="11"/>
  <c r="AG21" i="11"/>
  <c r="AA8" i="11"/>
  <c r="Z22" i="11"/>
  <c r="BK8" i="11"/>
  <c r="BL21" i="11"/>
  <c r="BL49" i="11" s="1"/>
  <c r="AJ21" i="11"/>
  <c r="AA21" i="11"/>
  <c r="BL8" i="11"/>
  <c r="BL36" i="11" s="1"/>
  <c r="AJ22" i="11"/>
  <c r="AB21" i="11"/>
  <c r="AN22" i="11"/>
  <c r="BL22" i="11"/>
  <c r="X8" i="11"/>
  <c r="AH22" i="11"/>
  <c r="AN8" i="11"/>
  <c r="AG22" i="11"/>
  <c r="AO22" i="11"/>
  <c r="Z21" i="11"/>
  <c r="AF21" i="11"/>
  <c r="AL22" i="11"/>
  <c r="AE21" i="11"/>
  <c r="AL21" i="11"/>
  <c r="AH8" i="11"/>
  <c r="BF8" i="11" s="1"/>
  <c r="AC22" i="11"/>
  <c r="AI21" i="11"/>
  <c r="BX8" i="11"/>
  <c r="BX36" i="11" s="1"/>
  <c r="BW21" i="11"/>
  <c r="BZ22" i="11"/>
  <c r="BM21" i="11"/>
  <c r="BM49" i="11" s="1"/>
  <c r="BM22" i="11"/>
  <c r="BY8" i="11"/>
  <c r="BY36" i="11" s="1"/>
  <c r="BZ21" i="11"/>
  <c r="BZ49" i="11" s="1"/>
  <c r="BS8" i="11"/>
  <c r="BS36" i="11" s="1"/>
  <c r="BQ21" i="11"/>
  <c r="BT22" i="11"/>
  <c r="BN22" i="11"/>
  <c r="BZ8" i="11"/>
  <c r="BZ36" i="11" s="1"/>
  <c r="BM8" i="11"/>
  <c r="BM36" i="11" s="1"/>
  <c r="BR22" i="11"/>
  <c r="BX21" i="11"/>
  <c r="BX49" i="11" s="1"/>
  <c r="BY22" i="11"/>
  <c r="BN21" i="11"/>
  <c r="BN49" i="11" s="1"/>
  <c r="BT8" i="11"/>
  <c r="BT36" i="11" s="1"/>
  <c r="BQ22" i="11"/>
  <c r="BN8" i="11"/>
  <c r="BN36" i="11" s="1"/>
  <c r="BT21" i="11"/>
  <c r="BT49" i="11" s="1"/>
  <c r="BQ8" i="11"/>
  <c r="BY21" i="11"/>
  <c r="BY49" i="11" s="1"/>
  <c r="BX22" i="11"/>
  <c r="BS21" i="11"/>
  <c r="BS49" i="11" s="1"/>
  <c r="BW22" i="11"/>
  <c r="BR8" i="11"/>
  <c r="BR36" i="11" s="1"/>
  <c r="BS22" i="11"/>
  <c r="BR21" i="11"/>
  <c r="BR49" i="11" s="1"/>
  <c r="BW8" i="11"/>
  <c r="BP35" i="11"/>
  <c r="BJ35" i="11"/>
  <c r="BJ55" i="11"/>
  <c r="BJ53" i="11"/>
  <c r="BV43" i="11"/>
  <c r="BX83" i="4"/>
  <c r="BY84" i="4"/>
  <c r="BW82" i="4"/>
  <c r="BR83" i="4"/>
  <c r="BS84" i="4"/>
  <c r="BQ82" i="4"/>
  <c r="BN81" i="4"/>
  <c r="BL83" i="4"/>
  <c r="BM84" i="4"/>
  <c r="BK82" i="4"/>
  <c r="BY83" i="4"/>
  <c r="BR82" i="4"/>
  <c r="BT84" i="4"/>
  <c r="BM83" i="4"/>
  <c r="BN84" i="4"/>
  <c r="BZ82" i="4"/>
  <c r="BX84" i="4"/>
  <c r="BW83" i="4"/>
  <c r="BT82" i="4"/>
  <c r="BR84" i="4"/>
  <c r="BQ83" i="4"/>
  <c r="BM81" i="4"/>
  <c r="BN82" i="4"/>
  <c r="BL84" i="4"/>
  <c r="BK83" i="4"/>
  <c r="BL82" i="4"/>
  <c r="BK81" i="4"/>
  <c r="BY82" i="4"/>
  <c r="BZ83" i="4"/>
  <c r="BW84" i="4"/>
  <c r="BS82" i="4"/>
  <c r="BT83" i="4"/>
  <c r="BQ84" i="4"/>
  <c r="BL81" i="4"/>
  <c r="BM82" i="4"/>
  <c r="BN83" i="4"/>
  <c r="BK84" i="4"/>
  <c r="BX82" i="4"/>
  <c r="BZ84" i="4"/>
  <c r="BS83" i="4"/>
  <c r="BM89" i="4"/>
  <c r="BM90" i="4"/>
  <c r="BM91" i="4"/>
  <c r="BM92" i="4"/>
  <c r="BM93" i="4"/>
  <c r="BM94" i="4"/>
  <c r="BM95" i="4"/>
  <c r="BM96" i="4"/>
  <c r="BM97" i="4"/>
  <c r="BM98" i="4"/>
  <c r="BM99" i="4"/>
  <c r="BM100" i="4"/>
  <c r="BM88" i="4"/>
  <c r="BN87" i="4"/>
  <c r="BN90" i="4"/>
  <c r="BN93" i="4"/>
  <c r="BN96" i="4"/>
  <c r="BN99" i="4"/>
  <c r="BL89" i="4"/>
  <c r="BL90" i="4"/>
  <c r="BL91" i="4"/>
  <c r="BL92" i="4"/>
  <c r="BL93" i="4"/>
  <c r="BL94" i="4"/>
  <c r="BL95" i="4"/>
  <c r="BL96" i="4"/>
  <c r="BL97" i="4"/>
  <c r="BL98" i="4"/>
  <c r="BL99" i="4"/>
  <c r="BL100" i="4"/>
  <c r="BL88" i="4"/>
  <c r="BM87" i="4"/>
  <c r="BN89" i="4"/>
  <c r="BN92" i="4"/>
  <c r="BN95" i="4"/>
  <c r="BN98" i="4"/>
  <c r="BK87" i="4"/>
  <c r="BK89" i="4"/>
  <c r="BK90" i="4"/>
  <c r="BK91" i="4"/>
  <c r="BK92" i="4"/>
  <c r="BK93" i="4"/>
  <c r="BK94" i="4"/>
  <c r="BK95" i="4"/>
  <c r="BK96" i="4"/>
  <c r="BK97" i="4"/>
  <c r="BK98" i="4"/>
  <c r="BK99" i="4"/>
  <c r="BK100" i="4"/>
  <c r="BK88" i="4"/>
  <c r="BL87" i="4"/>
  <c r="BN91" i="4"/>
  <c r="BN94" i="4"/>
  <c r="BN97" i="4"/>
  <c r="BN100" i="4"/>
  <c r="BN88" i="4"/>
  <c r="AO28" i="9"/>
  <c r="AU18" i="11"/>
  <c r="AU65" i="11" s="1"/>
  <c r="BP39" i="11"/>
  <c r="BP43" i="11"/>
  <c r="BJ54" i="11"/>
  <c r="BJ56" i="11"/>
  <c r="BV53" i="11"/>
  <c r="BV35" i="11"/>
  <c r="AO46" i="9"/>
  <c r="AO42" i="9"/>
  <c r="AO43" i="9"/>
  <c r="AO44" i="9"/>
  <c r="AP25" i="9"/>
  <c r="BV57" i="11"/>
  <c r="BJ40" i="11"/>
  <c r="AR18" i="11"/>
  <c r="AR65" i="11" s="1"/>
  <c r="AV32" i="11"/>
  <c r="AV82" i="11" s="1"/>
  <c r="BJ43" i="11"/>
  <c r="BP41" i="11"/>
  <c r="BV38" i="11"/>
  <c r="BV26" i="6"/>
  <c r="BP54" i="11"/>
  <c r="BV41" i="11"/>
  <c r="AT32" i="11"/>
  <c r="AT82" i="11" s="1"/>
  <c r="AZ18" i="11"/>
  <c r="AU32" i="11"/>
  <c r="AU82" i="11" s="1"/>
  <c r="BP58" i="11"/>
  <c r="BJ26" i="6"/>
  <c r="AV18" i="11"/>
  <c r="AV65" i="11" s="1"/>
  <c r="BF18" i="11"/>
  <c r="AY32" i="11"/>
  <c r="AY82" i="11" s="1"/>
  <c r="AZ32" i="11"/>
  <c r="AZ82" i="11" s="1"/>
  <c r="AY18" i="11"/>
  <c r="AY65" i="11" s="1"/>
  <c r="AR32" i="11"/>
  <c r="AR82" i="11" s="1"/>
  <c r="AT18" i="11"/>
  <c r="AT65" i="11" s="1"/>
  <c r="AS18" i="11"/>
  <c r="AS65" i="11" s="1"/>
  <c r="BV54" i="11"/>
  <c r="BV56" i="11"/>
  <c r="BJ38" i="11"/>
  <c r="BJ42" i="11"/>
  <c r="BJ57" i="11"/>
  <c r="BJ39" i="11"/>
  <c r="BJ58" i="11"/>
  <c r="BP53" i="11"/>
  <c r="AS32" i="11"/>
  <c r="AS82" i="11" s="1"/>
  <c r="BP40" i="11"/>
  <c r="BP42" i="11"/>
  <c r="BP44" i="11"/>
  <c r="BP38" i="11"/>
  <c r="BP55" i="11"/>
  <c r="BP57" i="11"/>
  <c r="BV58" i="11"/>
  <c r="BV40" i="11"/>
  <c r="BV42" i="11"/>
  <c r="BP56" i="11"/>
  <c r="BV55" i="11"/>
  <c r="BV44" i="11"/>
  <c r="BQ73" i="6"/>
  <c r="BR71" i="6"/>
  <c r="BR73" i="6" s="1"/>
  <c r="AY103" i="9"/>
  <c r="AT21" i="9"/>
  <c r="O32" i="21"/>
  <c r="N32" i="21"/>
  <c r="K30" i="21"/>
  <c r="K32" i="21" s="1"/>
  <c r="J30" i="21"/>
  <c r="J32" i="21" s="1"/>
  <c r="M23" i="21"/>
  <c r="BV22" i="11" l="1"/>
  <c r="AP45" i="9"/>
  <c r="BB21" i="11"/>
  <c r="BP22" i="11"/>
  <c r="BH21" i="11"/>
  <c r="BF21" i="11"/>
  <c r="BE21" i="11"/>
  <c r="BD21" i="11"/>
  <c r="AN36" i="11"/>
  <c r="BH36" i="11" s="1"/>
  <c r="BH8" i="11"/>
  <c r="BH18" i="11" s="1"/>
  <c r="BJ22" i="11"/>
  <c r="BF22" i="11"/>
  <c r="AX22" i="11"/>
  <c r="BA22" i="11"/>
  <c r="AK36" i="11"/>
  <c r="BG36" i="11" s="1"/>
  <c r="BG8" i="11"/>
  <c r="BG18" i="11" s="1"/>
  <c r="BD22" i="11"/>
  <c r="BE22" i="11"/>
  <c r="BV21" i="11"/>
  <c r="BW49" i="11"/>
  <c r="BV49" i="11" s="1"/>
  <c r="AP28" i="9"/>
  <c r="AO74" i="9"/>
  <c r="BQ36" i="11"/>
  <c r="BP36" i="11" s="1"/>
  <c r="BP8" i="11"/>
  <c r="BH22" i="11"/>
  <c r="BA21" i="11"/>
  <c r="AX21" i="11"/>
  <c r="BE8" i="11"/>
  <c r="BE18" i="11" s="1"/>
  <c r="BD8" i="11"/>
  <c r="BD18" i="11" s="1"/>
  <c r="X36" i="11"/>
  <c r="BA8" i="11"/>
  <c r="BA18" i="11" s="1"/>
  <c r="AX8" i="11"/>
  <c r="AX18" i="11" s="1"/>
  <c r="BV8" i="11"/>
  <c r="BW36" i="11"/>
  <c r="BV36" i="11" s="1"/>
  <c r="BP21" i="11"/>
  <c r="BQ49" i="11"/>
  <c r="BP49" i="11" s="1"/>
  <c r="AA36" i="11"/>
  <c r="BB8" i="11"/>
  <c r="BB18" i="11" s="1"/>
  <c r="BB22" i="11"/>
  <c r="BB32" i="11" s="1"/>
  <c r="BK36" i="11"/>
  <c r="BJ36" i="11" s="1"/>
  <c r="BJ8" i="11"/>
  <c r="BG21" i="11"/>
  <c r="BG22" i="11"/>
  <c r="BK49" i="11"/>
  <c r="BJ49" i="11" s="1"/>
  <c r="BJ21" i="11"/>
  <c r="BJ84" i="4"/>
  <c r="BJ100" i="4"/>
  <c r="BJ96" i="4"/>
  <c r="BJ92" i="4"/>
  <c r="BP84" i="4"/>
  <c r="BV84" i="4"/>
  <c r="BJ98" i="4"/>
  <c r="BJ97" i="4"/>
  <c r="BJ93" i="4"/>
  <c r="BJ94" i="4"/>
  <c r="BJ90" i="4"/>
  <c r="BJ99" i="4"/>
  <c r="BJ95" i="4"/>
  <c r="BJ91" i="4"/>
  <c r="AP44" i="9"/>
  <c r="AP46" i="9"/>
  <c r="AP42" i="9"/>
  <c r="AP43" i="9"/>
  <c r="BK25" i="9"/>
  <c r="BJ87" i="4"/>
  <c r="BV83" i="4"/>
  <c r="BP83" i="4"/>
  <c r="BJ83" i="4"/>
  <c r="BJ88" i="4"/>
  <c r="BP81" i="4"/>
  <c r="BJ81" i="4"/>
  <c r="BJ89" i="4"/>
  <c r="BV81" i="4"/>
  <c r="BS71" i="6"/>
  <c r="BS73" i="6" s="1"/>
  <c r="BT71" i="6"/>
  <c r="BT73" i="6" s="1"/>
  <c r="AU21" i="9"/>
  <c r="L32" i="21"/>
  <c r="C163" i="6"/>
  <c r="C164" i="6"/>
  <c r="C165" i="6"/>
  <c r="C166" i="6"/>
  <c r="C167" i="6"/>
  <c r="C162" i="6"/>
  <c r="BH32" i="11" l="1"/>
  <c r="AX32" i="11"/>
  <c r="BG32" i="11"/>
  <c r="BA32" i="11"/>
  <c r="BF32" i="11"/>
  <c r="BK28" i="9"/>
  <c r="AP74" i="9"/>
  <c r="BD32" i="11"/>
  <c r="BE32" i="11"/>
  <c r="BQ105" i="4"/>
  <c r="BK104" i="4"/>
  <c r="AL36" i="4"/>
  <c r="BP82" i="4"/>
  <c r="BK46" i="9"/>
  <c r="BK45" i="9"/>
  <c r="BK44" i="9"/>
  <c r="BK43" i="9"/>
  <c r="BK42" i="9"/>
  <c r="BL25" i="9"/>
  <c r="BL28" i="9" s="1"/>
  <c r="BT18" i="11"/>
  <c r="BT10" i="9" s="1"/>
  <c r="BW32" i="11"/>
  <c r="BW19" i="9" s="1"/>
  <c r="BW51" i="11"/>
  <c r="BV9" i="11"/>
  <c r="BV18" i="11" s="1"/>
  <c r="BW18" i="11"/>
  <c r="BW10" i="9" s="1"/>
  <c r="BM51" i="11"/>
  <c r="BM32" i="11"/>
  <c r="BM19" i="9" s="1"/>
  <c r="BL20" i="9" s="1"/>
  <c r="BJ9" i="11"/>
  <c r="BJ18" i="11" s="1"/>
  <c r="BK18" i="11"/>
  <c r="BK10" i="9" s="1"/>
  <c r="BS18" i="11"/>
  <c r="BS10" i="9" s="1"/>
  <c r="BL18" i="11"/>
  <c r="BL10" i="9" s="1"/>
  <c r="BS32" i="11"/>
  <c r="BS19" i="9" s="1"/>
  <c r="BR20" i="9" s="1"/>
  <c r="BS51" i="11"/>
  <c r="BX18" i="11"/>
  <c r="BX10" i="9" s="1"/>
  <c r="BM18" i="11"/>
  <c r="BM10" i="9" s="1"/>
  <c r="BX32" i="11"/>
  <c r="BX19" i="9" s="1"/>
  <c r="BW20" i="9" s="1"/>
  <c r="BX51" i="11"/>
  <c r="BJ23" i="11"/>
  <c r="BJ32" i="11" s="1"/>
  <c r="BK51" i="11"/>
  <c r="BK32" i="11"/>
  <c r="BK19" i="9" s="1"/>
  <c r="BP23" i="11"/>
  <c r="BP32" i="11" s="1"/>
  <c r="BQ51" i="11"/>
  <c r="BQ32" i="11"/>
  <c r="BQ19" i="9" s="1"/>
  <c r="BY32" i="11"/>
  <c r="BY19" i="9" s="1"/>
  <c r="BX20" i="9" s="1"/>
  <c r="BY51" i="11"/>
  <c r="BL51" i="11"/>
  <c r="BL32" i="11"/>
  <c r="BL19" i="9" s="1"/>
  <c r="BK20" i="9" s="1"/>
  <c r="BR51" i="11"/>
  <c r="BR32" i="11"/>
  <c r="BR19" i="9" s="1"/>
  <c r="BQ20" i="9" s="1"/>
  <c r="BY18" i="11"/>
  <c r="BY10" i="9" s="1"/>
  <c r="BQ18" i="11"/>
  <c r="BQ10" i="9" s="1"/>
  <c r="BR18" i="11"/>
  <c r="BR10" i="9" s="1"/>
  <c r="BP71" i="6"/>
  <c r="BP73" i="6" s="1"/>
  <c r="AV21" i="9"/>
  <c r="BY14" i="14"/>
  <c r="BZ14" i="14"/>
  <c r="BX14" i="14"/>
  <c r="BW14" i="14"/>
  <c r="BX8" i="14"/>
  <c r="BT14" i="14"/>
  <c r="BS14" i="14"/>
  <c r="BR14" i="14"/>
  <c r="BQ14" i="14"/>
  <c r="BN14" i="14"/>
  <c r="BM14" i="14"/>
  <c r="BL14" i="14"/>
  <c r="BK14" i="14"/>
  <c r="AF21" i="7"/>
  <c r="AG21" i="7" s="1"/>
  <c r="AH21" i="7" s="1"/>
  <c r="CA29" i="10"/>
  <c r="CA28" i="10"/>
  <c r="BS29" i="10"/>
  <c r="BS28" i="10"/>
  <c r="AP69" i="7"/>
  <c r="AO69" i="7"/>
  <c r="AN69" i="7"/>
  <c r="AM69" i="7"/>
  <c r="AL69" i="7"/>
  <c r="AK69" i="7"/>
  <c r="AJ69" i="7"/>
  <c r="AI69" i="7"/>
  <c r="AH69" i="7"/>
  <c r="AG69" i="7"/>
  <c r="AF69" i="7"/>
  <c r="AE69" i="7"/>
  <c r="BK29" i="10"/>
  <c r="BK28" i="10"/>
  <c r="T80" i="4"/>
  <c r="U80" i="4"/>
  <c r="V80" i="4"/>
  <c r="W80" i="4"/>
  <c r="X80" i="4"/>
  <c r="Y80" i="4"/>
  <c r="Z80" i="4"/>
  <c r="AB167" i="6"/>
  <c r="Z166" i="6"/>
  <c r="Y165" i="6"/>
  <c r="V164" i="6"/>
  <c r="V163" i="6"/>
  <c r="S162" i="6"/>
  <c r="B166" i="6"/>
  <c r="B167" i="6"/>
  <c r="C132" i="6"/>
  <c r="S28" i="9"/>
  <c r="T28" i="9" s="1"/>
  <c r="U28" i="9" s="1"/>
  <c r="V28" i="9" s="1"/>
  <c r="W28" i="9" s="1"/>
  <c r="X28" i="9" s="1"/>
  <c r="Y28" i="9" s="1"/>
  <c r="Z28" i="9" s="1"/>
  <c r="AA28" i="9" s="1"/>
  <c r="AB28" i="9" s="1"/>
  <c r="AC28" i="9" s="1"/>
  <c r="C52" i="11"/>
  <c r="C37" i="11"/>
  <c r="P6" i="15"/>
  <c r="P7" i="15" s="1"/>
  <c r="P8" i="15" s="1"/>
  <c r="P9" i="15" s="1"/>
  <c r="P10" i="15" s="1"/>
  <c r="P11" i="15" s="1"/>
  <c r="M6" i="15"/>
  <c r="M7" i="15" s="1"/>
  <c r="M8" i="15" s="1"/>
  <c r="M9" i="15" s="1"/>
  <c r="M10" i="15" s="1"/>
  <c r="M11" i="15" s="1"/>
  <c r="J6" i="15"/>
  <c r="J7" i="15" s="1"/>
  <c r="J8" i="15" s="1"/>
  <c r="J9" i="15" s="1"/>
  <c r="J10" i="15" s="1"/>
  <c r="J11" i="15" s="1"/>
  <c r="J12" i="15" s="1"/>
  <c r="G6" i="15"/>
  <c r="G7" i="15" s="1"/>
  <c r="G8" i="15" s="1"/>
  <c r="G9" i="15" s="1"/>
  <c r="G10" i="15" s="1"/>
  <c r="G11" i="15" s="1"/>
  <c r="G12" i="15" s="1"/>
  <c r="F6" i="15"/>
  <c r="F7" i="15" s="1"/>
  <c r="F8" i="15" s="1"/>
  <c r="F9" i="15" s="1"/>
  <c r="F10" i="15" s="1"/>
  <c r="F11" i="15" s="1"/>
  <c r="F12" i="15" s="1"/>
  <c r="C9" i="15"/>
  <c r="C10" i="15" s="1"/>
  <c r="C11" i="15" s="1"/>
  <c r="S8" i="19" l="1"/>
  <c r="Z7" i="15" s="1"/>
  <c r="T8" i="19"/>
  <c r="U8" i="19"/>
  <c r="V8" i="19"/>
  <c r="Z10" i="15" s="1"/>
  <c r="R8" i="19"/>
  <c r="R6" i="19"/>
  <c r="V6" i="19"/>
  <c r="T6" i="19"/>
  <c r="S6" i="19"/>
  <c r="U6" i="19"/>
  <c r="R7" i="19"/>
  <c r="T7" i="19"/>
  <c r="S7" i="19"/>
  <c r="Y7" i="15" s="1"/>
  <c r="U7" i="19"/>
  <c r="Y9" i="15" s="1"/>
  <c r="V7" i="19"/>
  <c r="BS37" i="11"/>
  <c r="BS46" i="11" s="1"/>
  <c r="BV6" i="10" s="1"/>
  <c r="X37" i="11"/>
  <c r="W37" i="11"/>
  <c r="AA37" i="11"/>
  <c r="BN203" i="4"/>
  <c r="BN235" i="4"/>
  <c r="BN137" i="4"/>
  <c r="BN158" i="4"/>
  <c r="BM36" i="4"/>
  <c r="BL225" i="4"/>
  <c r="BM184" i="4"/>
  <c r="BK211" i="4"/>
  <c r="BK119" i="4"/>
  <c r="BK240" i="4"/>
  <c r="BN212" i="4"/>
  <c r="BL241" i="4"/>
  <c r="BN244" i="4"/>
  <c r="BL177" i="4"/>
  <c r="BM144" i="4"/>
  <c r="BM229" i="4"/>
  <c r="BN171" i="4"/>
  <c r="BK181" i="4"/>
  <c r="BL209" i="4"/>
  <c r="BM137" i="4"/>
  <c r="BN179" i="4"/>
  <c r="BM199" i="4"/>
  <c r="BM206" i="4"/>
  <c r="BM135" i="4"/>
  <c r="BK153" i="4"/>
  <c r="BL193" i="4"/>
  <c r="BK116" i="4"/>
  <c r="BT163" i="4"/>
  <c r="BR198" i="4"/>
  <c r="BT209" i="4"/>
  <c r="BT188" i="4"/>
  <c r="BQ140" i="4"/>
  <c r="BS157" i="4"/>
  <c r="BS221" i="4"/>
  <c r="BQ198" i="4"/>
  <c r="AG38" i="4"/>
  <c r="AJ36" i="4"/>
  <c r="BR223" i="4"/>
  <c r="BS211" i="4"/>
  <c r="BR228" i="4"/>
  <c r="BT158" i="4"/>
  <c r="BT212" i="4"/>
  <c r="BT183" i="4"/>
  <c r="BQ206" i="4"/>
  <c r="BS173" i="4"/>
  <c r="BT38" i="4"/>
  <c r="BS112" i="4"/>
  <c r="BT104" i="4"/>
  <c r="BR192" i="4"/>
  <c r="BS184" i="4"/>
  <c r="BT215" i="4"/>
  <c r="BQ230" i="4"/>
  <c r="BQ133" i="4"/>
  <c r="BR174" i="4"/>
  <c r="BT151" i="4"/>
  <c r="BQ138" i="4"/>
  <c r="BR200" i="4"/>
  <c r="BT205" i="4"/>
  <c r="BS226" i="4"/>
  <c r="BQ238" i="4"/>
  <c r="BQ165" i="4"/>
  <c r="BR109" i="4"/>
  <c r="BT237" i="4"/>
  <c r="BQ178" i="4"/>
  <c r="BT224" i="4"/>
  <c r="BT165" i="4"/>
  <c r="BT234" i="4"/>
  <c r="BT206" i="4"/>
  <c r="BT174" i="4"/>
  <c r="BR227" i="4"/>
  <c r="BS235" i="4"/>
  <c r="BS238" i="4"/>
  <c r="BS194" i="4"/>
  <c r="BS105" i="4"/>
  <c r="BQ214" i="4"/>
  <c r="BQ181" i="4"/>
  <c r="BS115" i="4"/>
  <c r="BR125" i="4"/>
  <c r="BQ37" i="4"/>
  <c r="BS196" i="4"/>
  <c r="BT236" i="4"/>
  <c r="BT184" i="4"/>
  <c r="BT242" i="4"/>
  <c r="BS213" i="4"/>
  <c r="BS185" i="4"/>
  <c r="BT107" i="4"/>
  <c r="BT140" i="4"/>
  <c r="BQ134" i="4"/>
  <c r="BR205" i="4"/>
  <c r="BT138" i="4"/>
  <c r="BQ222" i="4"/>
  <c r="BQ190" i="4"/>
  <c r="BT147" i="4"/>
  <c r="BS141" i="4"/>
  <c r="BR158" i="4"/>
  <c r="BQ149" i="4"/>
  <c r="BT131" i="4"/>
  <c r="BS165" i="4"/>
  <c r="BS133" i="4"/>
  <c r="BR182" i="4"/>
  <c r="BT116" i="4"/>
  <c r="BS181" i="4"/>
  <c r="BS149" i="4"/>
  <c r="BR117" i="4"/>
  <c r="BR166" i="4"/>
  <c r="BR150" i="4"/>
  <c r="BR142" i="4"/>
  <c r="BR134" i="4"/>
  <c r="BQ126" i="4"/>
  <c r="BQ118" i="4"/>
  <c r="BQ110" i="4"/>
  <c r="BW106" i="4"/>
  <c r="BT37" i="4"/>
  <c r="BS240" i="4"/>
  <c r="BS212" i="4"/>
  <c r="BT185" i="4"/>
  <c r="BS120" i="4"/>
  <c r="BS227" i="4"/>
  <c r="BS187" i="4"/>
  <c r="BT149" i="4"/>
  <c r="BR244" i="4"/>
  <c r="BS229" i="4"/>
  <c r="BR216" i="4"/>
  <c r="BS201" i="4"/>
  <c r="BT186" i="4"/>
  <c r="BQ164" i="4"/>
  <c r="BT111" i="4"/>
  <c r="BS208" i="4"/>
  <c r="BT148" i="4"/>
  <c r="BS215" i="4"/>
  <c r="BS191" i="4"/>
  <c r="BT239" i="4"/>
  <c r="BR217" i="4"/>
  <c r="BT195" i="4"/>
  <c r="BQ166" i="4"/>
  <c r="BS110" i="4"/>
  <c r="BQ231" i="4"/>
  <c r="BQ215" i="4"/>
  <c r="BQ199" i="4"/>
  <c r="BQ183" i="4"/>
  <c r="BQ151" i="4"/>
  <c r="BT118" i="4"/>
  <c r="BT133" i="4"/>
  <c r="BS182" i="4"/>
  <c r="BS166" i="4"/>
  <c r="BS150" i="4"/>
  <c r="BS142" i="4"/>
  <c r="BR126" i="4"/>
  <c r="BR110" i="4"/>
  <c r="BR175" i="4"/>
  <c r="BR151" i="4"/>
  <c r="BR135" i="4"/>
  <c r="BQ119" i="4"/>
  <c r="BQ106" i="4"/>
  <c r="BR36" i="4"/>
  <c r="BR243" i="4"/>
  <c r="BR231" i="4"/>
  <c r="BT217" i="4"/>
  <c r="BT201" i="4"/>
  <c r="BS188" i="4"/>
  <c r="BT167" i="4"/>
  <c r="BT128" i="4"/>
  <c r="BS243" i="4"/>
  <c r="BS231" i="4"/>
  <c r="BT216" i="4"/>
  <c r="BT204" i="4"/>
  <c r="BT192" i="4"/>
  <c r="BQ176" i="4"/>
  <c r="BT154" i="4"/>
  <c r="BT125" i="4"/>
  <c r="BT102" i="4"/>
  <c r="BT238" i="4"/>
  <c r="BR232" i="4"/>
  <c r="BR224" i="4"/>
  <c r="BS217" i="4"/>
  <c r="BT210" i="4"/>
  <c r="BT202" i="4"/>
  <c r="BR196" i="4"/>
  <c r="BS189" i="4"/>
  <c r="BQ180" i="4"/>
  <c r="BT166" i="4"/>
  <c r="BT153" i="4"/>
  <c r="BT123" i="4"/>
  <c r="BR239" i="4"/>
  <c r="BS216" i="4"/>
  <c r="BR195" i="4"/>
  <c r="BT164" i="4"/>
  <c r="BS108" i="4"/>
  <c r="BS223" i="4"/>
  <c r="BS199" i="4"/>
  <c r="BQ168" i="4"/>
  <c r="BT243" i="4"/>
  <c r="BT231" i="4"/>
  <c r="BR221" i="4"/>
  <c r="BS210" i="4"/>
  <c r="BT199" i="4"/>
  <c r="BR189" i="4"/>
  <c r="BQ174" i="4"/>
  <c r="BT152" i="4"/>
  <c r="BS122" i="4"/>
  <c r="BQ242" i="4"/>
  <c r="BQ234" i="4"/>
  <c r="BQ226" i="4"/>
  <c r="BQ218" i="4"/>
  <c r="BQ210" i="4"/>
  <c r="BQ202" i="4"/>
  <c r="BQ194" i="4"/>
  <c r="BQ186" i="4"/>
  <c r="BQ173" i="4"/>
  <c r="BQ157" i="4"/>
  <c r="BQ141" i="4"/>
  <c r="BT124" i="4"/>
  <c r="BT108" i="4"/>
  <c r="BT139" i="4"/>
  <c r="BS123" i="4"/>
  <c r="BS107" i="4"/>
  <c r="BS177" i="4"/>
  <c r="BS169" i="4"/>
  <c r="BS161" i="4"/>
  <c r="BS153" i="4"/>
  <c r="BS145" i="4"/>
  <c r="BS137" i="4"/>
  <c r="BS129" i="4"/>
  <c r="BR121" i="4"/>
  <c r="BR113" i="4"/>
  <c r="BR104" i="4"/>
  <c r="BR178" i="4"/>
  <c r="BR170" i="4"/>
  <c r="BR162" i="4"/>
  <c r="BR154" i="4"/>
  <c r="BR146" i="4"/>
  <c r="BR138" i="4"/>
  <c r="BR130" i="4"/>
  <c r="BQ122" i="4"/>
  <c r="BQ114" i="4"/>
  <c r="BY199" i="4"/>
  <c r="BQ104" i="4"/>
  <c r="BQ109" i="4"/>
  <c r="BQ113" i="4"/>
  <c r="BQ117" i="4"/>
  <c r="BQ121" i="4"/>
  <c r="BQ125" i="4"/>
  <c r="BR129" i="4"/>
  <c r="BR133" i="4"/>
  <c r="BR137" i="4"/>
  <c r="BR141" i="4"/>
  <c r="BR145" i="4"/>
  <c r="BR149" i="4"/>
  <c r="BR153" i="4"/>
  <c r="BR157" i="4"/>
  <c r="BR161" i="4"/>
  <c r="BR165" i="4"/>
  <c r="BR169" i="4"/>
  <c r="BR173" i="4"/>
  <c r="BR177" i="4"/>
  <c r="BR181" i="4"/>
  <c r="BR103" i="4"/>
  <c r="BR108" i="4"/>
  <c r="BR112" i="4"/>
  <c r="BR116" i="4"/>
  <c r="BR120" i="4"/>
  <c r="BR124" i="4"/>
  <c r="BS128" i="4"/>
  <c r="BS132" i="4"/>
  <c r="BS136" i="4"/>
  <c r="BS140" i="4"/>
  <c r="BS144" i="4"/>
  <c r="BS148" i="4"/>
  <c r="BS152" i="4"/>
  <c r="BS156" i="4"/>
  <c r="BS160" i="4"/>
  <c r="BS164" i="4"/>
  <c r="BS168" i="4"/>
  <c r="BS172" i="4"/>
  <c r="BS176" i="4"/>
  <c r="BS180" i="4"/>
  <c r="BS104" i="4"/>
  <c r="BS113" i="4"/>
  <c r="BS121" i="4"/>
  <c r="BT129" i="4"/>
  <c r="BT137" i="4"/>
  <c r="BT145" i="4"/>
  <c r="BT105" i="4"/>
  <c r="BT114" i="4"/>
  <c r="BT122" i="4"/>
  <c r="BQ131" i="4"/>
  <c r="BQ139" i="4"/>
  <c r="BQ147" i="4"/>
  <c r="BQ155" i="4"/>
  <c r="BQ163" i="4"/>
  <c r="BQ171" i="4"/>
  <c r="BQ179" i="4"/>
  <c r="BQ185" i="4"/>
  <c r="BQ189" i="4"/>
  <c r="BQ193" i="4"/>
  <c r="BQ197" i="4"/>
  <c r="BQ201" i="4"/>
  <c r="BQ205" i="4"/>
  <c r="BQ209" i="4"/>
  <c r="BQ213" i="4"/>
  <c r="BQ217" i="4"/>
  <c r="BQ221" i="4"/>
  <c r="BQ225" i="4"/>
  <c r="BQ229" i="4"/>
  <c r="BQ233" i="4"/>
  <c r="BQ237" i="4"/>
  <c r="BQ241" i="4"/>
  <c r="BR102" i="4"/>
  <c r="BS118" i="4"/>
  <c r="BT134" i="4"/>
  <c r="BQ150" i="4"/>
  <c r="BT160" i="4"/>
  <c r="BT171" i="4"/>
  <c r="BQ182" i="4"/>
  <c r="BT187" i="4"/>
  <c r="BR193" i="4"/>
  <c r="BS198" i="4"/>
  <c r="BT203" i="4"/>
  <c r="BR209" i="4"/>
  <c r="BS214" i="4"/>
  <c r="BT219" i="4"/>
  <c r="BR225" i="4"/>
  <c r="BS230" i="4"/>
  <c r="BR237" i="4"/>
  <c r="BS242" i="4"/>
  <c r="BT121" i="4"/>
  <c r="BQ160" i="4"/>
  <c r="BR186" i="4"/>
  <c r="BT196" i="4"/>
  <c r="BR210" i="4"/>
  <c r="BT220" i="4"/>
  <c r="BT232" i="4"/>
  <c r="BT244" i="4"/>
  <c r="BT132" i="4"/>
  <c r="BT159" i="4"/>
  <c r="BT180" i="4"/>
  <c r="BS192" i="4"/>
  <c r="BR203" i="4"/>
  <c r="BT213" i="4"/>
  <c r="BS224" i="4"/>
  <c r="BR235" i="4"/>
  <c r="BY106" i="4"/>
  <c r="BT119" i="4"/>
  <c r="BQ136" i="4"/>
  <c r="BT150" i="4"/>
  <c r="BT161" i="4"/>
  <c r="BQ172" i="4"/>
  <c r="BT182" i="4"/>
  <c r="BR188" i="4"/>
  <c r="BS193" i="4"/>
  <c r="BT198" i="4"/>
  <c r="BR204" i="4"/>
  <c r="BS209" i="4"/>
  <c r="BT214" i="4"/>
  <c r="BR220" i="4"/>
  <c r="BS225" i="4"/>
  <c r="BT230" i="4"/>
  <c r="BR236" i="4"/>
  <c r="BS241" i="4"/>
  <c r="BS234" i="4"/>
  <c r="BT117" i="4"/>
  <c r="BQ146" i="4"/>
  <c r="BT162" i="4"/>
  <c r="BT178" i="4"/>
  <c r="BR190" i="4"/>
  <c r="BT200" i="4"/>
  <c r="BT208" i="4"/>
  <c r="BS219" i="4"/>
  <c r="BR230" i="4"/>
  <c r="BS239" i="4"/>
  <c r="BS103" i="4"/>
  <c r="BT136" i="4"/>
  <c r="BQ162" i="4"/>
  <c r="BR183" i="4"/>
  <c r="BT193" i="4"/>
  <c r="BS204" i="4"/>
  <c r="BR215" i="4"/>
  <c r="BT225" i="4"/>
  <c r="BS236" i="4"/>
  <c r="BQ102" i="4"/>
  <c r="BQ36" i="4"/>
  <c r="BS38" i="4"/>
  <c r="BQ38" i="4"/>
  <c r="BQ103" i="4"/>
  <c r="BQ108" i="4"/>
  <c r="BQ112" i="4"/>
  <c r="BQ116" i="4"/>
  <c r="BQ120" i="4"/>
  <c r="BQ124" i="4"/>
  <c r="BR128" i="4"/>
  <c r="BR132" i="4"/>
  <c r="BR136" i="4"/>
  <c r="BR140" i="4"/>
  <c r="BR144" i="4"/>
  <c r="BR148" i="4"/>
  <c r="BR152" i="4"/>
  <c r="BR156" i="4"/>
  <c r="BR160" i="4"/>
  <c r="BR164" i="4"/>
  <c r="BR168" i="4"/>
  <c r="BR172" i="4"/>
  <c r="BR176" i="4"/>
  <c r="BR180" i="4"/>
  <c r="BR106" i="4"/>
  <c r="BR107" i="4"/>
  <c r="BR111" i="4"/>
  <c r="BR115" i="4"/>
  <c r="BR119" i="4"/>
  <c r="BR123" i="4"/>
  <c r="BR127" i="4"/>
  <c r="BS131" i="4"/>
  <c r="BS135" i="4"/>
  <c r="BS139" i="4"/>
  <c r="BS143" i="4"/>
  <c r="BS147" i="4"/>
  <c r="BS151" i="4"/>
  <c r="BS155" i="4"/>
  <c r="BS159" i="4"/>
  <c r="BS163" i="4"/>
  <c r="BS167" i="4"/>
  <c r="BS171" i="4"/>
  <c r="BS175" i="4"/>
  <c r="BS179" i="4"/>
  <c r="BT106" i="4"/>
  <c r="BS111" i="4"/>
  <c r="BS119" i="4"/>
  <c r="BS127" i="4"/>
  <c r="BT135" i="4"/>
  <c r="BT143" i="4"/>
  <c r="BT103" i="4"/>
  <c r="BT112" i="4"/>
  <c r="BT120" i="4"/>
  <c r="BQ129" i="4"/>
  <c r="BQ137" i="4"/>
  <c r="BQ145" i="4"/>
  <c r="BQ153" i="4"/>
  <c r="BQ161" i="4"/>
  <c r="BQ169" i="4"/>
  <c r="BQ177" i="4"/>
  <c r="BQ184" i="4"/>
  <c r="BQ188" i="4"/>
  <c r="BQ192" i="4"/>
  <c r="BQ196" i="4"/>
  <c r="BQ200" i="4"/>
  <c r="BQ204" i="4"/>
  <c r="BQ208" i="4"/>
  <c r="BQ212" i="4"/>
  <c r="BQ216" i="4"/>
  <c r="BQ220" i="4"/>
  <c r="BQ224" i="4"/>
  <c r="BQ228" i="4"/>
  <c r="BQ232" i="4"/>
  <c r="BQ236" i="4"/>
  <c r="BQ240" i="4"/>
  <c r="BQ244" i="4"/>
  <c r="BS114" i="4"/>
  <c r="BT130" i="4"/>
  <c r="BT146" i="4"/>
  <c r="BQ158" i="4"/>
  <c r="BT168" i="4"/>
  <c r="BT179" i="4"/>
  <c r="BS186" i="4"/>
  <c r="BT191" i="4"/>
  <c r="BR197" i="4"/>
  <c r="BS202" i="4"/>
  <c r="BT207" i="4"/>
  <c r="BR213" i="4"/>
  <c r="BS218" i="4"/>
  <c r="BT223" i="4"/>
  <c r="BR229" i="4"/>
  <c r="BT235" i="4"/>
  <c r="BR241" i="4"/>
  <c r="BT109" i="4"/>
  <c r="BQ152" i="4"/>
  <c r="BT181" i="4"/>
  <c r="BR194" i="4"/>
  <c r="BS207" i="4"/>
  <c r="BR218" i="4"/>
  <c r="BT228" i="4"/>
  <c r="BR242" i="4"/>
  <c r="BS124" i="4"/>
  <c r="BQ154" i="4"/>
  <c r="BT175" i="4"/>
  <c r="BT189" i="4"/>
  <c r="BS200" i="4"/>
  <c r="BR211" i="4"/>
  <c r="BT221" i="4"/>
  <c r="BS232" i="4"/>
  <c r="BS244" i="4"/>
  <c r="BT115" i="4"/>
  <c r="BQ132" i="4"/>
  <c r="BQ148" i="4"/>
  <c r="BT36" i="4"/>
  <c r="BS228" i="4"/>
  <c r="BR199" i="4"/>
  <c r="BT156" i="4"/>
  <c r="BT240" i="4"/>
  <c r="BR214" i="4"/>
  <c r="BR202" i="4"/>
  <c r="BT170" i="4"/>
  <c r="BT113" i="4"/>
  <c r="BS237" i="4"/>
  <c r="BT222" i="4"/>
  <c r="BR208" i="4"/>
  <c r="BT194" i="4"/>
  <c r="BT177" i="4"/>
  <c r="BQ144" i="4"/>
  <c r="BT229" i="4"/>
  <c r="BR187" i="4"/>
  <c r="BR238" i="4"/>
  <c r="BQ142" i="4"/>
  <c r="BT227" i="4"/>
  <c r="BS206" i="4"/>
  <c r="BR185" i="4"/>
  <c r="BT142" i="4"/>
  <c r="BQ239" i="4"/>
  <c r="BQ223" i="4"/>
  <c r="BQ207" i="4"/>
  <c r="BQ191" i="4"/>
  <c r="BQ167" i="4"/>
  <c r="BQ135" i="4"/>
  <c r="BS106" i="4"/>
  <c r="BS117" i="4"/>
  <c r="BS174" i="4"/>
  <c r="BS158" i="4"/>
  <c r="BS134" i="4"/>
  <c r="BR118" i="4"/>
  <c r="BZ106" i="4"/>
  <c r="BR167" i="4"/>
  <c r="BR159" i="4"/>
  <c r="BR143" i="4"/>
  <c r="BQ127" i="4"/>
  <c r="BQ111" i="4"/>
  <c r="BS37" i="4"/>
  <c r="BS36" i="4"/>
  <c r="BR37" i="4"/>
  <c r="BR38" i="4"/>
  <c r="BT233" i="4"/>
  <c r="BS220" i="4"/>
  <c r="BR207" i="4"/>
  <c r="BR191" i="4"/>
  <c r="BT172" i="4"/>
  <c r="BT144" i="4"/>
  <c r="BX106" i="4"/>
  <c r="BR234" i="4"/>
  <c r="BR222" i="4"/>
  <c r="BR206" i="4"/>
  <c r="BS195" i="4"/>
  <c r="BS183" i="4"/>
  <c r="BT157" i="4"/>
  <c r="BQ130" i="4"/>
  <c r="BQ128" i="4"/>
  <c r="BR240" i="4"/>
  <c r="BS233" i="4"/>
  <c r="BT226" i="4"/>
  <c r="BT218" i="4"/>
  <c r="BR212" i="4"/>
  <c r="BS205" i="4"/>
  <c r="BS197" i="4"/>
  <c r="BT190" i="4"/>
  <c r="BR184" i="4"/>
  <c r="BT169" i="4"/>
  <c r="BQ156" i="4"/>
  <c r="BT127" i="4"/>
  <c r="BT241" i="4"/>
  <c r="BR219" i="4"/>
  <c r="BT197" i="4"/>
  <c r="BQ170" i="4"/>
  <c r="BS116" i="4"/>
  <c r="BR226" i="4"/>
  <c r="BS203" i="4"/>
  <c r="BT173" i="4"/>
  <c r="BS102" i="4"/>
  <c r="BR233" i="4"/>
  <c r="BS222" i="4"/>
  <c r="BT211" i="4"/>
  <c r="BR201" i="4"/>
  <c r="BS190" i="4"/>
  <c r="BT176" i="4"/>
  <c r="BT155" i="4"/>
  <c r="BS126" i="4"/>
  <c r="BQ243" i="4"/>
  <c r="BQ235" i="4"/>
  <c r="BQ227" i="4"/>
  <c r="BQ219" i="4"/>
  <c r="BQ211" i="4"/>
  <c r="BQ203" i="4"/>
  <c r="BQ195" i="4"/>
  <c r="BQ187" i="4"/>
  <c r="BQ175" i="4"/>
  <c r="BQ159" i="4"/>
  <c r="BQ143" i="4"/>
  <c r="BT126" i="4"/>
  <c r="BT110" i="4"/>
  <c r="BT141" i="4"/>
  <c r="BS125" i="4"/>
  <c r="BS109" i="4"/>
  <c r="BS178" i="4"/>
  <c r="BS170" i="4"/>
  <c r="BS162" i="4"/>
  <c r="BS154" i="4"/>
  <c r="BS146" i="4"/>
  <c r="BS138" i="4"/>
  <c r="BS130" i="4"/>
  <c r="BR122" i="4"/>
  <c r="BR114" i="4"/>
  <c r="BR105" i="4"/>
  <c r="BR179" i="4"/>
  <c r="BR171" i="4"/>
  <c r="BR163" i="4"/>
  <c r="BR155" i="4"/>
  <c r="BR147" i="4"/>
  <c r="BR139" i="4"/>
  <c r="BR131" i="4"/>
  <c r="BQ123" i="4"/>
  <c r="BQ115" i="4"/>
  <c r="BQ107" i="4"/>
  <c r="BK138" i="4"/>
  <c r="BK201" i="4"/>
  <c r="BM118" i="4"/>
  <c r="BM173" i="4"/>
  <c r="BM215" i="4"/>
  <c r="BM200" i="4"/>
  <c r="BM238" i="4"/>
  <c r="BN211" i="4"/>
  <c r="BN144" i="4"/>
  <c r="BK218" i="4"/>
  <c r="BK161" i="4"/>
  <c r="BM102" i="4"/>
  <c r="BL213" i="4"/>
  <c r="BL181" i="4"/>
  <c r="BN142" i="4"/>
  <c r="BM112" i="4"/>
  <c r="BN220" i="4"/>
  <c r="BM151" i="4"/>
  <c r="BK210" i="4"/>
  <c r="BN123" i="4"/>
  <c r="BN37" i="4"/>
  <c r="BM201" i="4"/>
  <c r="BM194" i="4"/>
  <c r="BM231" i="4"/>
  <c r="BK167" i="4"/>
  <c r="BM216" i="4"/>
  <c r="BK147" i="4"/>
  <c r="BK159" i="4"/>
  <c r="BK111" i="4"/>
  <c r="BN219" i="4"/>
  <c r="BN188" i="4"/>
  <c r="BN152" i="4"/>
  <c r="BM115" i="4"/>
  <c r="BK225" i="4"/>
  <c r="BK196" i="4"/>
  <c r="BK169" i="4"/>
  <c r="BM138" i="4"/>
  <c r="BL233" i="4"/>
  <c r="BL217" i="4"/>
  <c r="BL201" i="4"/>
  <c r="BL185" i="4"/>
  <c r="BL169" i="4"/>
  <c r="BK148" i="4"/>
  <c r="BN126" i="4"/>
  <c r="BL105" i="4"/>
  <c r="BN228" i="4"/>
  <c r="BN196" i="4"/>
  <c r="BK162" i="4"/>
  <c r="BK237" i="4"/>
  <c r="BN159" i="4"/>
  <c r="BK36" i="4"/>
  <c r="BM170" i="4"/>
  <c r="BM140" i="4"/>
  <c r="BN125" i="4"/>
  <c r="BN243" i="4"/>
  <c r="BN181" i="4"/>
  <c r="BN105" i="4"/>
  <c r="BK188" i="4"/>
  <c r="BL229" i="4"/>
  <c r="BL197" i="4"/>
  <c r="BK164" i="4"/>
  <c r="BM121" i="4"/>
  <c r="BN187" i="4"/>
  <c r="BM233" i="4"/>
  <c r="BM226" i="4"/>
  <c r="BK123" i="4"/>
  <c r="BM183" i="4"/>
  <c r="BM232" i="4"/>
  <c r="BM168" i="4"/>
  <c r="BM197" i="4"/>
  <c r="BM160" i="4"/>
  <c r="BN227" i="4"/>
  <c r="BN195" i="4"/>
  <c r="BM163" i="4"/>
  <c r="BN124" i="4"/>
  <c r="BK232" i="4"/>
  <c r="BK203" i="4"/>
  <c r="BK175" i="4"/>
  <c r="BM146" i="4"/>
  <c r="BL237" i="4"/>
  <c r="BL221" i="4"/>
  <c r="BL205" i="4"/>
  <c r="BL189" i="4"/>
  <c r="BL173" i="4"/>
  <c r="BM153" i="4"/>
  <c r="BK132" i="4"/>
  <c r="BN110" i="4"/>
  <c r="BN236" i="4"/>
  <c r="BN204" i="4"/>
  <c r="BN172" i="4"/>
  <c r="BL102" i="4"/>
  <c r="BK174" i="4"/>
  <c r="BK114" i="4"/>
  <c r="BK219" i="4"/>
  <c r="BK184" i="4"/>
  <c r="BM130" i="4"/>
  <c r="BK126" i="4"/>
  <c r="BK229" i="4"/>
  <c r="BK193" i="4"/>
  <c r="BK141" i="4"/>
  <c r="BK113" i="4"/>
  <c r="BN107" i="4"/>
  <c r="BL168" i="4"/>
  <c r="BL164" i="4"/>
  <c r="BL160" i="4"/>
  <c r="BL156" i="4"/>
  <c r="BL152" i="4"/>
  <c r="BL148" i="4"/>
  <c r="BL144" i="4"/>
  <c r="BL140" i="4"/>
  <c r="BL136" i="4"/>
  <c r="BL132" i="4"/>
  <c r="BL128" i="4"/>
  <c r="BL124" i="4"/>
  <c r="BL118" i="4"/>
  <c r="BL110" i="4"/>
  <c r="BK106" i="4"/>
  <c r="BK38" i="4"/>
  <c r="BM37" i="4"/>
  <c r="BM241" i="4"/>
  <c r="BM181" i="4"/>
  <c r="BM234" i="4"/>
  <c r="BM174" i="4"/>
  <c r="BM128" i="4"/>
  <c r="BM219" i="4"/>
  <c r="BM187" i="4"/>
  <c r="BN145" i="4"/>
  <c r="BM236" i="4"/>
  <c r="BM204" i="4"/>
  <c r="BM172" i="4"/>
  <c r="BK131" i="4"/>
  <c r="BM205" i="4"/>
  <c r="BN121" i="4"/>
  <c r="BM182" i="4"/>
  <c r="BK102" i="4"/>
  <c r="BN229" i="4"/>
  <c r="BN213" i="4"/>
  <c r="BN197" i="4"/>
  <c r="BN183" i="4"/>
  <c r="BK166" i="4"/>
  <c r="BK146" i="4"/>
  <c r="BM127" i="4"/>
  <c r="BN108" i="4"/>
  <c r="BK234" i="4"/>
  <c r="BK220" i="4"/>
  <c r="BK205" i="4"/>
  <c r="BK190" i="4"/>
  <c r="BK176" i="4"/>
  <c r="BM162" i="4"/>
  <c r="BN147" i="4"/>
  <c r="BN127" i="4"/>
  <c r="BL238" i="4"/>
  <c r="BL230" i="4"/>
  <c r="BL222" i="4"/>
  <c r="BL214" i="4"/>
  <c r="BL206" i="4"/>
  <c r="BL198" i="4"/>
  <c r="BL190" i="4"/>
  <c r="BL182" i="4"/>
  <c r="BL174" i="4"/>
  <c r="BM165" i="4"/>
  <c r="BN154" i="4"/>
  <c r="BK144" i="4"/>
  <c r="BM133" i="4"/>
  <c r="BN122" i="4"/>
  <c r="BK112" i="4"/>
  <c r="BN106" i="4"/>
  <c r="BL104" i="4"/>
  <c r="BN238" i="4"/>
  <c r="BN222" i="4"/>
  <c r="BN214" i="4"/>
  <c r="BN206" i="4"/>
  <c r="BN198" i="4"/>
  <c r="BN189" i="4"/>
  <c r="BN174" i="4"/>
  <c r="BN164" i="4"/>
  <c r="BK154" i="4"/>
  <c r="BN140" i="4"/>
  <c r="BN128" i="4"/>
  <c r="BN116" i="4"/>
  <c r="BM104" i="4"/>
  <c r="BK239" i="4"/>
  <c r="BK231" i="4"/>
  <c r="BK222" i="4"/>
  <c r="BK213" i="4"/>
  <c r="BK204" i="4"/>
  <c r="BK195" i="4"/>
  <c r="BK186" i="4"/>
  <c r="BK177" i="4"/>
  <c r="BN163" i="4"/>
  <c r="BK145" i="4"/>
  <c r="BN131" i="4"/>
  <c r="BK125" i="4"/>
  <c r="BN119" i="4"/>
  <c r="BM114" i="4"/>
  <c r="BK109" i="4"/>
  <c r="BM103" i="4"/>
  <c r="BL165" i="4"/>
  <c r="BL161" i="4"/>
  <c r="BL157" i="4"/>
  <c r="BL153" i="4"/>
  <c r="BL149" i="4"/>
  <c r="BL145" i="4"/>
  <c r="BL141" i="4"/>
  <c r="BL137" i="4"/>
  <c r="BL133" i="4"/>
  <c r="BL129" i="4"/>
  <c r="BL125" i="4"/>
  <c r="BL121" i="4"/>
  <c r="BL113" i="4"/>
  <c r="BK105" i="4"/>
  <c r="BL37" i="4"/>
  <c r="BL36" i="4"/>
  <c r="BN38" i="4"/>
  <c r="BM217" i="4"/>
  <c r="BM185" i="4"/>
  <c r="BN153" i="4"/>
  <c r="BM242" i="4"/>
  <c r="BM210" i="4"/>
  <c r="BM178" i="4"/>
  <c r="BK155" i="4"/>
  <c r="BN133" i="4"/>
  <c r="BM239" i="4"/>
  <c r="BM223" i="4"/>
  <c r="BM207" i="4"/>
  <c r="BM191" i="4"/>
  <c r="BM175" i="4"/>
  <c r="BM156" i="4"/>
  <c r="BN129" i="4"/>
  <c r="BM240" i="4"/>
  <c r="BM224" i="4"/>
  <c r="BM208" i="4"/>
  <c r="BM192" i="4"/>
  <c r="BM176" i="4"/>
  <c r="BN157" i="4"/>
  <c r="BM136" i="4"/>
  <c r="BN102" i="4"/>
  <c r="BM213" i="4"/>
  <c r="BM177" i="4"/>
  <c r="BM132" i="4"/>
  <c r="BM222" i="4"/>
  <c r="BM190" i="4"/>
  <c r="BM116" i="4"/>
  <c r="BM105" i="4"/>
  <c r="BN239" i="4"/>
  <c r="BN231" i="4"/>
  <c r="BN223" i="4"/>
  <c r="BN215" i="4"/>
  <c r="BN207" i="4"/>
  <c r="BN199" i="4"/>
  <c r="BN192" i="4"/>
  <c r="BN185" i="4"/>
  <c r="BN176" i="4"/>
  <c r="BN168" i="4"/>
  <c r="BK158" i="4"/>
  <c r="BN148" i="4"/>
  <c r="BM139" i="4"/>
  <c r="BK130" i="4"/>
  <c r="BM119" i="4"/>
  <c r="BM111" i="4"/>
  <c r="BK244" i="4"/>
  <c r="BK236" i="4"/>
  <c r="BK228" i="4"/>
  <c r="BK221" i="4"/>
  <c r="BK214" i="4"/>
  <c r="BK207" i="4"/>
  <c r="BK200" i="4"/>
  <c r="BK192" i="4"/>
  <c r="BK185" i="4"/>
  <c r="BK178" i="4"/>
  <c r="BK172" i="4"/>
  <c r="BK165" i="4"/>
  <c r="BK157" i="4"/>
  <c r="BK149" i="4"/>
  <c r="BM142" i="4"/>
  <c r="BK133" i="4"/>
  <c r="BL243" i="4"/>
  <c r="BL239" i="4"/>
  <c r="BL235" i="4"/>
  <c r="BL231" i="4"/>
  <c r="BL227" i="4"/>
  <c r="BL223" i="4"/>
  <c r="BL219" i="4"/>
  <c r="BL215" i="4"/>
  <c r="BL211" i="4"/>
  <c r="BL207" i="4"/>
  <c r="BL203" i="4"/>
  <c r="BL199" i="4"/>
  <c r="BL195" i="4"/>
  <c r="BL191" i="4"/>
  <c r="BL187" i="4"/>
  <c r="BL183" i="4"/>
  <c r="BL179" i="4"/>
  <c r="BL175" i="4"/>
  <c r="BL171" i="4"/>
  <c r="BN166" i="4"/>
  <c r="BM161" i="4"/>
  <c r="BK156" i="4"/>
  <c r="BN150" i="4"/>
  <c r="BM145" i="4"/>
  <c r="BK140" i="4"/>
  <c r="BN134" i="4"/>
  <c r="BM129" i="4"/>
  <c r="BK124" i="4"/>
  <c r="BN118" i="4"/>
  <c r="BM113" i="4"/>
  <c r="BK108" i="4"/>
  <c r="BN117" i="4"/>
  <c r="BK107" i="4"/>
  <c r="BN240" i="4"/>
  <c r="BN232" i="4"/>
  <c r="BN224" i="4"/>
  <c r="BN216" i="4"/>
  <c r="BN208" i="4"/>
  <c r="BN200" i="4"/>
  <c r="BN191" i="4"/>
  <c r="BN182" i="4"/>
  <c r="BN175" i="4"/>
  <c r="BM167" i="4"/>
  <c r="BN156" i="4"/>
  <c r="BM143" i="4"/>
  <c r="BM131" i="4"/>
  <c r="BN120" i="4"/>
  <c r="BM107" i="4"/>
  <c r="BK241" i="4"/>
  <c r="BK233" i="4"/>
  <c r="BK224" i="4"/>
  <c r="BK215" i="4"/>
  <c r="BK206" i="4"/>
  <c r="BK197" i="4"/>
  <c r="BK189" i="4"/>
  <c r="BK180" i="4"/>
  <c r="BN167" i="4"/>
  <c r="BM150" i="4"/>
  <c r="BM134" i="4"/>
  <c r="BM126" i="4"/>
  <c r="BK121" i="4"/>
  <c r="BN115" i="4"/>
  <c r="BM110" i="4"/>
  <c r="BN104" i="4"/>
  <c r="BL166" i="4"/>
  <c r="BL162" i="4"/>
  <c r="BL158" i="4"/>
  <c r="BL154" i="4"/>
  <c r="BL150" i="4"/>
  <c r="BL146" i="4"/>
  <c r="BL142" i="4"/>
  <c r="BL138" i="4"/>
  <c r="BL134" i="4"/>
  <c r="BL130" i="4"/>
  <c r="BL126" i="4"/>
  <c r="BL122" i="4"/>
  <c r="BL114" i="4"/>
  <c r="BL106" i="4"/>
  <c r="BL38" i="4"/>
  <c r="BM209" i="4"/>
  <c r="BK143" i="4"/>
  <c r="BM202" i="4"/>
  <c r="BN149" i="4"/>
  <c r="BM235" i="4"/>
  <c r="BM203" i="4"/>
  <c r="BM171" i="4"/>
  <c r="BM124" i="4"/>
  <c r="BM220" i="4"/>
  <c r="BM188" i="4"/>
  <c r="BM152" i="4"/>
  <c r="BM237" i="4"/>
  <c r="BM169" i="4"/>
  <c r="BM214" i="4"/>
  <c r="BN113" i="4"/>
  <c r="BN237" i="4"/>
  <c r="BN221" i="4"/>
  <c r="BN205" i="4"/>
  <c r="BN190" i="4"/>
  <c r="BN173" i="4"/>
  <c r="BM155" i="4"/>
  <c r="BN136" i="4"/>
  <c r="BK118" i="4"/>
  <c r="BK242" i="4"/>
  <c r="BK227" i="4"/>
  <c r="BK212" i="4"/>
  <c r="BK198" i="4"/>
  <c r="BK183" i="4"/>
  <c r="BK170" i="4"/>
  <c r="BN155" i="4"/>
  <c r="BN139" i="4"/>
  <c r="BL242" i="4"/>
  <c r="BL234" i="4"/>
  <c r="BL226" i="4"/>
  <c r="BL218" i="4"/>
  <c r="BL210" i="4"/>
  <c r="BL202" i="4"/>
  <c r="BL194" i="4"/>
  <c r="BL186" i="4"/>
  <c r="BL178" i="4"/>
  <c r="BL170" i="4"/>
  <c r="BK160" i="4"/>
  <c r="BM149" i="4"/>
  <c r="BN138" i="4"/>
  <c r="BK128" i="4"/>
  <c r="BM117" i="4"/>
  <c r="BK115" i="4"/>
  <c r="BN230" i="4"/>
  <c r="BN180" i="4"/>
  <c r="BK37" i="4"/>
  <c r="BN36" i="4"/>
  <c r="BM38" i="4"/>
  <c r="BM225" i="4"/>
  <c r="BM193" i="4"/>
  <c r="BM164" i="4"/>
  <c r="BK127" i="4"/>
  <c r="BM218" i="4"/>
  <c r="BM186" i="4"/>
  <c r="BN165" i="4"/>
  <c r="BK139" i="4"/>
  <c r="BM243" i="4"/>
  <c r="BM227" i="4"/>
  <c r="BM211" i="4"/>
  <c r="BM195" i="4"/>
  <c r="BM179" i="4"/>
  <c r="BN161" i="4"/>
  <c r="BK135" i="4"/>
  <c r="BM244" i="4"/>
  <c r="BM228" i="4"/>
  <c r="BM212" i="4"/>
  <c r="BM196" i="4"/>
  <c r="BM180" i="4"/>
  <c r="BK163" i="4"/>
  <c r="BN141" i="4"/>
  <c r="BM120" i="4"/>
  <c r="BM221" i="4"/>
  <c r="BM189" i="4"/>
  <c r="BM148" i="4"/>
  <c r="BM230" i="4"/>
  <c r="BM198" i="4"/>
  <c r="BK151" i="4"/>
  <c r="BM108" i="4"/>
  <c r="BN241" i="4"/>
  <c r="BN233" i="4"/>
  <c r="BN225" i="4"/>
  <c r="BN217" i="4"/>
  <c r="BN209" i="4"/>
  <c r="BN201" i="4"/>
  <c r="BN194" i="4"/>
  <c r="BN186" i="4"/>
  <c r="BN178" i="4"/>
  <c r="BN169" i="4"/>
  <c r="BN160" i="4"/>
  <c r="BK150" i="4"/>
  <c r="BK142" i="4"/>
  <c r="BN132" i="4"/>
  <c r="BK122" i="4"/>
  <c r="BN112" i="4"/>
  <c r="BL103" i="4"/>
  <c r="BK238" i="4"/>
  <c r="BK230" i="4"/>
  <c r="BK223" i="4"/>
  <c r="BK216" i="4"/>
  <c r="BK209" i="4"/>
  <c r="BK202" i="4"/>
  <c r="BK194" i="4"/>
  <c r="BK187" i="4"/>
  <c r="BK179" i="4"/>
  <c r="BK173" i="4"/>
  <c r="BM166" i="4"/>
  <c r="BM158" i="4"/>
  <c r="BN151" i="4"/>
  <c r="BN143" i="4"/>
  <c r="BN135" i="4"/>
  <c r="BL244" i="4"/>
  <c r="BL240" i="4"/>
  <c r="BL236" i="4"/>
  <c r="BL232" i="4"/>
  <c r="BL228" i="4"/>
  <c r="BL224" i="4"/>
  <c r="BL220" i="4"/>
  <c r="BL216" i="4"/>
  <c r="BL212" i="4"/>
  <c r="BL208" i="4"/>
  <c r="BL204" i="4"/>
  <c r="BL200" i="4"/>
  <c r="BL196" i="4"/>
  <c r="BL192" i="4"/>
  <c r="BL188" i="4"/>
  <c r="BL184" i="4"/>
  <c r="BL180" i="4"/>
  <c r="BL176" i="4"/>
  <c r="BL172" i="4"/>
  <c r="BK168" i="4"/>
  <c r="BN162" i="4"/>
  <c r="BM157" i="4"/>
  <c r="BK152" i="4"/>
  <c r="BN146" i="4"/>
  <c r="BM141" i="4"/>
  <c r="BK136" i="4"/>
  <c r="BN130" i="4"/>
  <c r="BM125" i="4"/>
  <c r="BK120" i="4"/>
  <c r="BN114" i="4"/>
  <c r="BM109" i="4"/>
  <c r="BN103" i="4"/>
  <c r="BN109" i="4"/>
  <c r="BN242" i="4"/>
  <c r="BN234" i="4"/>
  <c r="BN226" i="4"/>
  <c r="BN218" i="4"/>
  <c r="BN210" i="4"/>
  <c r="BN202" i="4"/>
  <c r="BN193" i="4"/>
  <c r="BN184" i="4"/>
  <c r="BN177" i="4"/>
  <c r="BN170" i="4"/>
  <c r="BM159" i="4"/>
  <c r="BM147" i="4"/>
  <c r="BK134" i="4"/>
  <c r="BM123" i="4"/>
  <c r="BK110" i="4"/>
  <c r="BK243" i="4"/>
  <c r="BK235" i="4"/>
  <c r="BK226" i="4"/>
  <c r="BK217" i="4"/>
  <c r="BK208" i="4"/>
  <c r="BK199" i="4"/>
  <c r="BK191" i="4"/>
  <c r="BK182" i="4"/>
  <c r="BK171" i="4"/>
  <c r="BM154" i="4"/>
  <c r="BK137" i="4"/>
  <c r="BK129" i="4"/>
  <c r="BM122" i="4"/>
  <c r="BK117" i="4"/>
  <c r="BN111" i="4"/>
  <c r="BM106" i="4"/>
  <c r="BL167" i="4"/>
  <c r="BL163" i="4"/>
  <c r="BL159" i="4"/>
  <c r="BL155" i="4"/>
  <c r="BL151" i="4"/>
  <c r="BL147" i="4"/>
  <c r="BL143" i="4"/>
  <c r="BL139" i="4"/>
  <c r="BL135" i="4"/>
  <c r="BL131" i="4"/>
  <c r="BL127" i="4"/>
  <c r="BL123" i="4"/>
  <c r="BL117" i="4"/>
  <c r="BL109" i="4"/>
  <c r="BL119" i="4"/>
  <c r="BL115" i="4"/>
  <c r="BL111" i="4"/>
  <c r="BL107" i="4"/>
  <c r="BK103" i="4"/>
  <c r="BL120" i="4"/>
  <c r="BL116" i="4"/>
  <c r="BL112" i="4"/>
  <c r="BL108" i="4"/>
  <c r="AF36" i="4"/>
  <c r="AI37" i="4"/>
  <c r="AK36" i="4"/>
  <c r="AI38" i="4"/>
  <c r="AM36" i="4"/>
  <c r="AG36" i="4"/>
  <c r="AH37" i="4"/>
  <c r="AK37" i="4"/>
  <c r="AG37" i="4"/>
  <c r="AL37" i="4"/>
  <c r="AI36" i="4"/>
  <c r="AF38" i="4"/>
  <c r="AN36" i="4"/>
  <c r="AP37" i="4"/>
  <c r="AP38" i="4"/>
  <c r="AO37" i="4"/>
  <c r="AJ38" i="4"/>
  <c r="AF37" i="4"/>
  <c r="AN38" i="4"/>
  <c r="AH38" i="4"/>
  <c r="AM38" i="4"/>
  <c r="AH36" i="4"/>
  <c r="AL38" i="4"/>
  <c r="AJ37" i="4"/>
  <c r="AN37" i="4"/>
  <c r="AE38" i="4"/>
  <c r="AE37" i="4"/>
  <c r="AM37" i="4"/>
  <c r="AE36" i="4"/>
  <c r="AO38" i="4"/>
  <c r="AK38" i="4"/>
  <c r="AP36" i="4"/>
  <c r="AO36" i="4"/>
  <c r="BV82" i="4"/>
  <c r="BJ82" i="4"/>
  <c r="Z9" i="15"/>
  <c r="Z8" i="15"/>
  <c r="M12" i="15"/>
  <c r="BR37" i="11"/>
  <c r="BR46" i="11" s="1"/>
  <c r="BU6" i="10" s="1"/>
  <c r="BX37" i="11"/>
  <c r="BX46" i="11" s="1"/>
  <c r="CC6" i="10" s="1"/>
  <c r="P12" i="15"/>
  <c r="Y8" i="15"/>
  <c r="Y10" i="15"/>
  <c r="BL46" i="9"/>
  <c r="BL45" i="9"/>
  <c r="BL44" i="9"/>
  <c r="BL43" i="9"/>
  <c r="BL42" i="9"/>
  <c r="BM25" i="9"/>
  <c r="BM28" i="9" s="1"/>
  <c r="BM37" i="11"/>
  <c r="BM46" i="11" s="1"/>
  <c r="BN6" i="10" s="1"/>
  <c r="BW37" i="11"/>
  <c r="BW46" i="11" s="1"/>
  <c r="CB6" i="10" s="1"/>
  <c r="BP9" i="11"/>
  <c r="BP18" i="11" s="1"/>
  <c r="BK18" i="9"/>
  <c r="BL16" i="9"/>
  <c r="BT20" i="9"/>
  <c r="AP20" i="9"/>
  <c r="BJ16" i="9" s="1"/>
  <c r="BV23" i="11"/>
  <c r="BV32" i="11" s="1"/>
  <c r="BZ51" i="11"/>
  <c r="BV51" i="11" s="1"/>
  <c r="BZ32" i="11"/>
  <c r="BZ19" i="9" s="1"/>
  <c r="BY20" i="9" s="1"/>
  <c r="BT37" i="11"/>
  <c r="BT46" i="11" s="1"/>
  <c r="BW6" i="10" s="1"/>
  <c r="BY37" i="11"/>
  <c r="BY46" i="11" s="1"/>
  <c r="CD6" i="10" s="1"/>
  <c r="BR18" i="9"/>
  <c r="BS16" i="9"/>
  <c r="BY16" i="9"/>
  <c r="BX18" i="9"/>
  <c r="BN20" i="9"/>
  <c r="BN32" i="11"/>
  <c r="BN19" i="9" s="1"/>
  <c r="BM20" i="9" s="1"/>
  <c r="BN51" i="11"/>
  <c r="BJ51" i="11" s="1"/>
  <c r="BL37" i="11"/>
  <c r="BL46" i="11" s="1"/>
  <c r="BM6" i="10" s="1"/>
  <c r="BK37" i="11"/>
  <c r="BR16" i="9"/>
  <c r="BQ18" i="9"/>
  <c r="BS52" i="11"/>
  <c r="BN52" i="11"/>
  <c r="BR52" i="11"/>
  <c r="BM52" i="11"/>
  <c r="BY52" i="11"/>
  <c r="BT52" i="11"/>
  <c r="BX52" i="11"/>
  <c r="BW52" i="11"/>
  <c r="BL52" i="11"/>
  <c r="BK52" i="11"/>
  <c r="BZ52" i="11"/>
  <c r="BQ52" i="11"/>
  <c r="BQ37" i="11"/>
  <c r="BX16" i="9"/>
  <c r="BW18" i="9"/>
  <c r="BN37" i="11"/>
  <c r="BN46" i="11" s="1"/>
  <c r="BO6" i="10" s="1"/>
  <c r="BN18" i="11"/>
  <c r="BN10" i="9" s="1"/>
  <c r="BZ18" i="11"/>
  <c r="BZ10" i="9" s="1"/>
  <c r="BZ37" i="11"/>
  <c r="BP10" i="9"/>
  <c r="BT32" i="11"/>
  <c r="BT19" i="9" s="1"/>
  <c r="BS20" i="9" s="1"/>
  <c r="BT51" i="11"/>
  <c r="BP51" i="11" s="1"/>
  <c r="BM16" i="9"/>
  <c r="BL18" i="9"/>
  <c r="BJ14" i="14"/>
  <c r="BP14" i="14"/>
  <c r="BV14" i="14"/>
  <c r="BY8" i="14"/>
  <c r="E82" i="11"/>
  <c r="E65" i="11"/>
  <c r="S53" i="9"/>
  <c r="T53" i="9" s="1"/>
  <c r="F21" i="9"/>
  <c r="G21" i="9" s="1"/>
  <c r="H21" i="9" s="1"/>
  <c r="I21" i="9" s="1"/>
  <c r="J21" i="9" s="1"/>
  <c r="K21" i="9" s="1"/>
  <c r="L21" i="9" s="1"/>
  <c r="M21" i="9" s="1"/>
  <c r="E16" i="9"/>
  <c r="AR16" i="9" s="1"/>
  <c r="F12" i="9"/>
  <c r="G12" i="9" s="1"/>
  <c r="H12" i="9" s="1"/>
  <c r="I12" i="9" s="1"/>
  <c r="J12" i="9" s="1"/>
  <c r="I7" i="9"/>
  <c r="E7" i="9"/>
  <c r="AR7" i="9" s="1"/>
  <c r="F77" i="9"/>
  <c r="G77" i="9" s="1"/>
  <c r="H77" i="9" s="1"/>
  <c r="I77" i="9" s="1"/>
  <c r="J77" i="9" s="1"/>
  <c r="K77" i="9" s="1"/>
  <c r="L77" i="9" s="1"/>
  <c r="M77" i="9" s="1"/>
  <c r="N77" i="9" s="1"/>
  <c r="O77" i="9" s="1"/>
  <c r="P77" i="9" s="1"/>
  <c r="R77" i="9" s="1"/>
  <c r="R14" i="19" l="1"/>
  <c r="T14" i="19"/>
  <c r="V14" i="19"/>
  <c r="U14" i="19"/>
  <c r="S14" i="19"/>
  <c r="BJ170" i="4"/>
  <c r="BJ183" i="4"/>
  <c r="BJ235" i="4"/>
  <c r="BJ136" i="4"/>
  <c r="BJ215" i="4"/>
  <c r="BY140" i="4"/>
  <c r="BJ121" i="4"/>
  <c r="BP175" i="4"/>
  <c r="BJ224" i="4"/>
  <c r="BJ193" i="4"/>
  <c r="BJ160" i="4"/>
  <c r="BJ227" i="4"/>
  <c r="BJ104" i="4"/>
  <c r="BJ159" i="4"/>
  <c r="BX103" i="4"/>
  <c r="BX239" i="4"/>
  <c r="BY171" i="4"/>
  <c r="BP188" i="4"/>
  <c r="BZ204" i="4"/>
  <c r="BW137" i="4"/>
  <c r="BW210" i="4"/>
  <c r="BW223" i="4"/>
  <c r="BZ226" i="4"/>
  <c r="BP120" i="4"/>
  <c r="BX138" i="4"/>
  <c r="BY154" i="4"/>
  <c r="BY241" i="4"/>
  <c r="BZ102" i="4"/>
  <c r="BZ128" i="4"/>
  <c r="BW36" i="4"/>
  <c r="BW178" i="4"/>
  <c r="BX175" i="4"/>
  <c r="BZ209" i="4"/>
  <c r="BY124" i="4"/>
  <c r="BW205" i="4"/>
  <c r="BW109" i="4"/>
  <c r="BX184" i="4"/>
  <c r="BY218" i="4"/>
  <c r="BW195" i="4"/>
  <c r="BX127" i="4"/>
  <c r="BY161" i="4"/>
  <c r="BZ177" i="4"/>
  <c r="BZ162" i="4"/>
  <c r="BX202" i="4"/>
  <c r="BW118" i="4"/>
  <c r="BW139" i="4"/>
  <c r="BY195" i="4"/>
  <c r="BW229" i="4"/>
  <c r="BZ134" i="4"/>
  <c r="BP233" i="4"/>
  <c r="BP137" i="4"/>
  <c r="BP183" i="4"/>
  <c r="BP223" i="4"/>
  <c r="BX232" i="4"/>
  <c r="BZ182" i="4"/>
  <c r="BY225" i="4"/>
  <c r="BX125" i="4"/>
  <c r="BW150" i="4"/>
  <c r="BZ112" i="4"/>
  <c r="BY102" i="4"/>
  <c r="BX168" i="4"/>
  <c r="BY170" i="4"/>
  <c r="BZ163" i="4"/>
  <c r="BX111" i="4"/>
  <c r="BY113" i="4"/>
  <c r="BW192" i="4"/>
  <c r="BZ232" i="4"/>
  <c r="BX154" i="4"/>
  <c r="BY188" i="4"/>
  <c r="BZ231" i="4"/>
  <c r="BW209" i="4"/>
  <c r="BY191" i="4"/>
  <c r="BZ194" i="4"/>
  <c r="BZ125" i="4"/>
  <c r="BP123" i="4"/>
  <c r="BP235" i="4"/>
  <c r="BP206" i="4"/>
  <c r="BP191" i="4"/>
  <c r="BP158" i="4"/>
  <c r="BP244" i="4"/>
  <c r="BP198" i="4"/>
  <c r="BP230" i="4"/>
  <c r="BP193" i="4"/>
  <c r="BP171" i="4"/>
  <c r="BP168" i="4"/>
  <c r="BP166" i="4"/>
  <c r="BP142" i="4"/>
  <c r="BP38" i="4"/>
  <c r="BZ38" i="4"/>
  <c r="BX120" i="4"/>
  <c r="BY105" i="4"/>
  <c r="BY234" i="4"/>
  <c r="BZ195" i="4"/>
  <c r="BZ126" i="4"/>
  <c r="BX191" i="4"/>
  <c r="BY177" i="4"/>
  <c r="BW224" i="4"/>
  <c r="BW117" i="4"/>
  <c r="BX141" i="4"/>
  <c r="BX218" i="4"/>
  <c r="BY204" i="4"/>
  <c r="BZ135" i="4"/>
  <c r="BZ148" i="4"/>
  <c r="BW132" i="4"/>
  <c r="BW124" i="4"/>
  <c r="BY235" i="4"/>
  <c r="BZ189" i="4"/>
  <c r="BJ145" i="4"/>
  <c r="BJ206" i="4"/>
  <c r="BJ185" i="4"/>
  <c r="BJ116" i="4"/>
  <c r="BJ151" i="4"/>
  <c r="BJ171" i="4"/>
  <c r="BJ208" i="4"/>
  <c r="BJ180" i="4"/>
  <c r="BJ196" i="4"/>
  <c r="BJ228" i="4"/>
  <c r="BJ158" i="4"/>
  <c r="BJ187" i="4"/>
  <c r="BJ142" i="4"/>
  <c r="BJ209" i="4"/>
  <c r="BJ202" i="4"/>
  <c r="BJ197" i="4"/>
  <c r="BJ233" i="4"/>
  <c r="BJ131" i="4"/>
  <c r="BJ156" i="4"/>
  <c r="BJ191" i="4"/>
  <c r="BJ236" i="4"/>
  <c r="BJ231" i="4"/>
  <c r="BJ242" i="4"/>
  <c r="BJ119" i="4"/>
  <c r="BJ172" i="4"/>
  <c r="BJ234" i="4"/>
  <c r="BJ124" i="4"/>
  <c r="BJ229" i="4"/>
  <c r="BJ132" i="4"/>
  <c r="BJ123" i="4"/>
  <c r="BJ188" i="4"/>
  <c r="BJ225" i="4"/>
  <c r="BJ181" i="4"/>
  <c r="BJ200" i="4"/>
  <c r="BJ194" i="4"/>
  <c r="BJ148" i="4"/>
  <c r="BJ37" i="4"/>
  <c r="BJ226" i="4"/>
  <c r="BJ143" i="4"/>
  <c r="BJ166" i="4"/>
  <c r="BJ195" i="4"/>
  <c r="BJ155" i="4"/>
  <c r="BJ137" i="4"/>
  <c r="BJ153" i="4"/>
  <c r="BJ125" i="4"/>
  <c r="BJ220" i="4"/>
  <c r="BJ203" i="4"/>
  <c r="BJ105" i="4"/>
  <c r="BP203" i="4"/>
  <c r="BP212" i="4"/>
  <c r="BS248" i="4"/>
  <c r="BS6" i="4" s="1"/>
  <c r="BS9" i="4" s="1"/>
  <c r="BP209" i="4"/>
  <c r="BP36" i="4"/>
  <c r="BP173" i="4"/>
  <c r="BP167" i="4"/>
  <c r="BP232" i="4"/>
  <c r="BP200" i="4"/>
  <c r="BP184" i="4"/>
  <c r="BP153" i="4"/>
  <c r="BP219" i="4"/>
  <c r="BP136" i="4"/>
  <c r="BP165" i="4"/>
  <c r="BP138" i="4"/>
  <c r="BP124" i="4"/>
  <c r="BP238" i="4"/>
  <c r="BP231" i="4"/>
  <c r="BP126" i="4"/>
  <c r="BP149" i="4"/>
  <c r="BP105" i="4"/>
  <c r="BP139" i="4"/>
  <c r="BP113" i="4"/>
  <c r="BP187" i="4"/>
  <c r="BP140" i="4"/>
  <c r="BP242" i="4"/>
  <c r="BP241" i="4"/>
  <c r="BP216" i="4"/>
  <c r="BP106" i="4"/>
  <c r="BW38" i="4"/>
  <c r="BX152" i="4"/>
  <c r="BX216" i="4"/>
  <c r="BY138" i="4"/>
  <c r="BY202" i="4"/>
  <c r="BW146" i="4"/>
  <c r="BZ131" i="4"/>
  <c r="BW131" i="4"/>
  <c r="BZ140" i="4"/>
  <c r="BW193" i="4"/>
  <c r="BX159" i="4"/>
  <c r="BX223" i="4"/>
  <c r="BY145" i="4"/>
  <c r="BY209" i="4"/>
  <c r="BW160" i="4"/>
  <c r="BZ145" i="4"/>
  <c r="BW159" i="4"/>
  <c r="BZ168" i="4"/>
  <c r="BX109" i="4"/>
  <c r="BX122" i="4"/>
  <c r="BX186" i="4"/>
  <c r="BY108" i="4"/>
  <c r="BY172" i="4"/>
  <c r="BY236" i="4"/>
  <c r="BW214" i="4"/>
  <c r="BZ199" i="4"/>
  <c r="BZ206" i="4"/>
  <c r="BZ138" i="4"/>
  <c r="BY131" i="4"/>
  <c r="BW102" i="4"/>
  <c r="BY127" i="4"/>
  <c r="BZ237" i="4"/>
  <c r="BY107" i="4"/>
  <c r="BZ197" i="4"/>
  <c r="BZ221" i="4"/>
  <c r="BZ157" i="4"/>
  <c r="BP162" i="4"/>
  <c r="BP148" i="4"/>
  <c r="BP194" i="4"/>
  <c r="BP102" i="4"/>
  <c r="BP225" i="4"/>
  <c r="BP117" i="4"/>
  <c r="BS39" i="4"/>
  <c r="BS41" i="4" s="1"/>
  <c r="BP176" i="4"/>
  <c r="BP135" i="4"/>
  <c r="BP107" i="4"/>
  <c r="BX136" i="4"/>
  <c r="BX200" i="4"/>
  <c r="BY122" i="4"/>
  <c r="BY186" i="4"/>
  <c r="BW114" i="4"/>
  <c r="BW242" i="4"/>
  <c r="BZ227" i="4"/>
  <c r="BW189" i="4"/>
  <c r="BZ214" i="4"/>
  <c r="BX143" i="4"/>
  <c r="BX207" i="4"/>
  <c r="BY129" i="4"/>
  <c r="BY193" i="4"/>
  <c r="BW128" i="4"/>
  <c r="BZ113" i="4"/>
  <c r="BZ241" i="4"/>
  <c r="BZ103" i="4"/>
  <c r="BW121" i="4"/>
  <c r="BX105" i="4"/>
  <c r="BX170" i="4"/>
  <c r="BX234" i="4"/>
  <c r="BY156" i="4"/>
  <c r="BY220" i="4"/>
  <c r="BW182" i="4"/>
  <c r="BZ167" i="4"/>
  <c r="BW203" i="4"/>
  <c r="BZ212" i="4"/>
  <c r="BX209" i="4"/>
  <c r="BZ117" i="4"/>
  <c r="BX205" i="4"/>
  <c r="BZ109" i="4"/>
  <c r="BX185" i="4"/>
  <c r="BW212" i="4"/>
  <c r="BY119" i="4"/>
  <c r="BX229" i="4"/>
  <c r="BP226" i="4"/>
  <c r="BP222" i="4"/>
  <c r="BP177" i="4"/>
  <c r="BP228" i="4"/>
  <c r="BP192" i="4"/>
  <c r="BX36" i="4"/>
  <c r="BX38" i="4"/>
  <c r="BZ36" i="4"/>
  <c r="BX116" i="4"/>
  <c r="BX132" i="4"/>
  <c r="BX148" i="4"/>
  <c r="BX164" i="4"/>
  <c r="BX180" i="4"/>
  <c r="BX196" i="4"/>
  <c r="BX212" i="4"/>
  <c r="BX228" i="4"/>
  <c r="BX244" i="4"/>
  <c r="BY118" i="4"/>
  <c r="BY134" i="4"/>
  <c r="BY150" i="4"/>
  <c r="BY166" i="4"/>
  <c r="BY182" i="4"/>
  <c r="BY198" i="4"/>
  <c r="BY214" i="4"/>
  <c r="BY230" i="4"/>
  <c r="BW105" i="4"/>
  <c r="BW138" i="4"/>
  <c r="BW170" i="4"/>
  <c r="BW202" i="4"/>
  <c r="BW234" i="4"/>
  <c r="BZ123" i="4"/>
  <c r="BZ155" i="4"/>
  <c r="BZ187" i="4"/>
  <c r="BZ219" i="4"/>
  <c r="BW115" i="4"/>
  <c r="BW179" i="4"/>
  <c r="BW243" i="4"/>
  <c r="BW157" i="4"/>
  <c r="BZ124" i="4"/>
  <c r="BZ188" i="4"/>
  <c r="BZ110" i="4"/>
  <c r="BZ190" i="4"/>
  <c r="BW161" i="4"/>
  <c r="BX107" i="4"/>
  <c r="BX123" i="4"/>
  <c r="BX139" i="4"/>
  <c r="BX155" i="4"/>
  <c r="BX171" i="4"/>
  <c r="BX187" i="4"/>
  <c r="BX203" i="4"/>
  <c r="BX219" i="4"/>
  <c r="BX235" i="4"/>
  <c r="BY109" i="4"/>
  <c r="BY125" i="4"/>
  <c r="BY141" i="4"/>
  <c r="BY157" i="4"/>
  <c r="BY173" i="4"/>
  <c r="BY189" i="4"/>
  <c r="BY205" i="4"/>
  <c r="BY221" i="4"/>
  <c r="BY237" i="4"/>
  <c r="BW120" i="4"/>
  <c r="BW152" i="4"/>
  <c r="BW184" i="4"/>
  <c r="BW216" i="4"/>
  <c r="BZ104" i="4"/>
  <c r="BZ137" i="4"/>
  <c r="BZ169" i="4"/>
  <c r="BZ201" i="4"/>
  <c r="BZ233" i="4"/>
  <c r="BW143" i="4"/>
  <c r="BW207" i="4"/>
  <c r="BZ218" i="4"/>
  <c r="BW213" i="4"/>
  <c r="BZ152" i="4"/>
  <c r="BZ216" i="4"/>
  <c r="BZ142" i="4"/>
  <c r="BZ234" i="4"/>
  <c r="BW217" i="4"/>
  <c r="BX121" i="4"/>
  <c r="BX137" i="4"/>
  <c r="BX153" i="4"/>
  <c r="BX118" i="4"/>
  <c r="BX134" i="4"/>
  <c r="BX150" i="4"/>
  <c r="BX166" i="4"/>
  <c r="BX182" i="4"/>
  <c r="BX198" i="4"/>
  <c r="BX214" i="4"/>
  <c r="BX230" i="4"/>
  <c r="BY103" i="4"/>
  <c r="BY120" i="4"/>
  <c r="BY136" i="4"/>
  <c r="BY152" i="4"/>
  <c r="BY168" i="4"/>
  <c r="BY184" i="4"/>
  <c r="BY200" i="4"/>
  <c r="BY216" i="4"/>
  <c r="BY232" i="4"/>
  <c r="BW110" i="4"/>
  <c r="BW142" i="4"/>
  <c r="BW174" i="4"/>
  <c r="BW206" i="4"/>
  <c r="BW238" i="4"/>
  <c r="BZ127" i="4"/>
  <c r="BZ159" i="4"/>
  <c r="BZ191" i="4"/>
  <c r="BZ223" i="4"/>
  <c r="BW123" i="4"/>
  <c r="BW187" i="4"/>
  <c r="BZ154" i="4"/>
  <c r="BW173" i="4"/>
  <c r="BZ132" i="4"/>
  <c r="BZ196" i="4"/>
  <c r="BZ118" i="4"/>
  <c r="BZ202" i="4"/>
  <c r="BW177" i="4"/>
  <c r="BX193" i="4"/>
  <c r="BY115" i="4"/>
  <c r="BY179" i="4"/>
  <c r="BY243" i="4"/>
  <c r="BW228" i="4"/>
  <c r="BZ213" i="4"/>
  <c r="BW133" i="4"/>
  <c r="BZ174" i="4"/>
  <c r="BX189" i="4"/>
  <c r="BY111" i="4"/>
  <c r="BY175" i="4"/>
  <c r="BY239" i="4"/>
  <c r="BW220" i="4"/>
  <c r="BZ205" i="4"/>
  <c r="BZ242" i="4"/>
  <c r="BZ150" i="4"/>
  <c r="BX169" i="4"/>
  <c r="BX233" i="4"/>
  <c r="BY155" i="4"/>
  <c r="BY219" i="4"/>
  <c r="BW180" i="4"/>
  <c r="BZ165" i="4"/>
  <c r="BW199" i="4"/>
  <c r="BZ208" i="4"/>
  <c r="BX197" i="4"/>
  <c r="BW236" i="4"/>
  <c r="BX181" i="4"/>
  <c r="BW204" i="4"/>
  <c r="BX165" i="4"/>
  <c r="BW172" i="4"/>
  <c r="BX161" i="4"/>
  <c r="BW119" i="4"/>
  <c r="BZ37" i="4"/>
  <c r="BY38" i="4"/>
  <c r="BX37" i="4"/>
  <c r="BX112" i="4"/>
  <c r="BX128" i="4"/>
  <c r="BX144" i="4"/>
  <c r="BX160" i="4"/>
  <c r="BX176" i="4"/>
  <c r="BX192" i="4"/>
  <c r="BX208" i="4"/>
  <c r="BX224" i="4"/>
  <c r="BX240" i="4"/>
  <c r="BY114" i="4"/>
  <c r="BY130" i="4"/>
  <c r="BY146" i="4"/>
  <c r="BY162" i="4"/>
  <c r="BY178" i="4"/>
  <c r="BY194" i="4"/>
  <c r="BY210" i="4"/>
  <c r="BY226" i="4"/>
  <c r="BY242" i="4"/>
  <c r="BW130" i="4"/>
  <c r="BW162" i="4"/>
  <c r="BW194" i="4"/>
  <c r="BW226" i="4"/>
  <c r="BZ115" i="4"/>
  <c r="BZ147" i="4"/>
  <c r="BZ179" i="4"/>
  <c r="BZ211" i="4"/>
  <c r="BZ243" i="4"/>
  <c r="BW163" i="4"/>
  <c r="BW227" i="4"/>
  <c r="BW125" i="4"/>
  <c r="BZ108" i="4"/>
  <c r="BZ172" i="4"/>
  <c r="BZ236" i="4"/>
  <c r="BZ166" i="4"/>
  <c r="BW129" i="4"/>
  <c r="BX102" i="4"/>
  <c r="BX119" i="4"/>
  <c r="BX135" i="4"/>
  <c r="BX151" i="4"/>
  <c r="BX167" i="4"/>
  <c r="BX183" i="4"/>
  <c r="BX199" i="4"/>
  <c r="BX215" i="4"/>
  <c r="BX231" i="4"/>
  <c r="BY104" i="4"/>
  <c r="BY121" i="4"/>
  <c r="BY137" i="4"/>
  <c r="BY153" i="4"/>
  <c r="BY169" i="4"/>
  <c r="BY185" i="4"/>
  <c r="BY201" i="4"/>
  <c r="BY217" i="4"/>
  <c r="BY233" i="4"/>
  <c r="BW112" i="4"/>
  <c r="BW144" i="4"/>
  <c r="BW176" i="4"/>
  <c r="BW208" i="4"/>
  <c r="BW240" i="4"/>
  <c r="BZ129" i="4"/>
  <c r="BZ161" i="4"/>
  <c r="BZ193" i="4"/>
  <c r="BZ225" i="4"/>
  <c r="BW127" i="4"/>
  <c r="BW191" i="4"/>
  <c r="BZ170" i="4"/>
  <c r="BW181" i="4"/>
  <c r="BZ136" i="4"/>
  <c r="BZ200" i="4"/>
  <c r="BZ122" i="4"/>
  <c r="BZ210" i="4"/>
  <c r="BW185" i="4"/>
  <c r="BX117" i="4"/>
  <c r="BX133" i="4"/>
  <c r="BX149" i="4"/>
  <c r="BX114" i="4"/>
  <c r="BX130" i="4"/>
  <c r="BX146" i="4"/>
  <c r="BX162" i="4"/>
  <c r="BX178" i="4"/>
  <c r="BX194" i="4"/>
  <c r="BX210" i="4"/>
  <c r="BX226" i="4"/>
  <c r="BX242" i="4"/>
  <c r="BY116" i="4"/>
  <c r="BY132" i="4"/>
  <c r="BY148" i="4"/>
  <c r="BY164" i="4"/>
  <c r="BY180" i="4"/>
  <c r="BY196" i="4"/>
  <c r="BY212" i="4"/>
  <c r="BY228" i="4"/>
  <c r="BY244" i="4"/>
  <c r="BW134" i="4"/>
  <c r="BW166" i="4"/>
  <c r="BW198" i="4"/>
  <c r="BW230" i="4"/>
  <c r="BZ119" i="4"/>
  <c r="BZ151" i="4"/>
  <c r="BZ183" i="4"/>
  <c r="BZ215" i="4"/>
  <c r="BW107" i="4"/>
  <c r="BW171" i="4"/>
  <c r="BW235" i="4"/>
  <c r="BW141" i="4"/>
  <c r="BZ116" i="4"/>
  <c r="BZ180" i="4"/>
  <c r="BZ244" i="4"/>
  <c r="BZ178" i="4"/>
  <c r="BW145" i="4"/>
  <c r="BX177" i="4"/>
  <c r="BX241" i="4"/>
  <c r="BY163" i="4"/>
  <c r="BY227" i="4"/>
  <c r="BW196" i="4"/>
  <c r="BZ181" i="4"/>
  <c r="BW231" i="4"/>
  <c r="BZ240" i="4"/>
  <c r="BX173" i="4"/>
  <c r="BX237" i="4"/>
  <c r="BY159" i="4"/>
  <c r="BY223" i="4"/>
  <c r="BW188" i="4"/>
  <c r="BZ173" i="4"/>
  <c r="BW215" i="4"/>
  <c r="BZ224" i="4"/>
  <c r="BX104" i="4"/>
  <c r="BX217" i="4"/>
  <c r="BY139" i="4"/>
  <c r="BY203" i="4"/>
  <c r="BW148" i="4"/>
  <c r="BZ133" i="4"/>
  <c r="BW135" i="4"/>
  <c r="BZ144" i="4"/>
  <c r="BW201" i="4"/>
  <c r="BW108" i="4"/>
  <c r="BZ198" i="4"/>
  <c r="BY231" i="4"/>
  <c r="BZ114" i="4"/>
  <c r="BY215" i="4"/>
  <c r="BZ192" i="4"/>
  <c r="BY135" i="4"/>
  <c r="BP114" i="4"/>
  <c r="BP110" i="4"/>
  <c r="BP211" i="4"/>
  <c r="BP243" i="4"/>
  <c r="BP190" i="4"/>
  <c r="BP37" i="4"/>
  <c r="BP159" i="4"/>
  <c r="BP134" i="4"/>
  <c r="BP207" i="4"/>
  <c r="BP185" i="4"/>
  <c r="BP214" i="4"/>
  <c r="BP154" i="4"/>
  <c r="BP218" i="4"/>
  <c r="BP152" i="4"/>
  <c r="BP229" i="4"/>
  <c r="BP186" i="4"/>
  <c r="BP240" i="4"/>
  <c r="BP224" i="4"/>
  <c r="BP208" i="4"/>
  <c r="BP169" i="4"/>
  <c r="BP119" i="4"/>
  <c r="BP127" i="4"/>
  <c r="BP111" i="4"/>
  <c r="BP128" i="4"/>
  <c r="BP112" i="4"/>
  <c r="BP239" i="4"/>
  <c r="BP146" i="4"/>
  <c r="BP236" i="4"/>
  <c r="BP132" i="4"/>
  <c r="BP210" i="4"/>
  <c r="BP182" i="4"/>
  <c r="BP237" i="4"/>
  <c r="BP221" i="4"/>
  <c r="BP205" i="4"/>
  <c r="BP189" i="4"/>
  <c r="BP163" i="4"/>
  <c r="BP131" i="4"/>
  <c r="BP145" i="4"/>
  <c r="BP108" i="4"/>
  <c r="BP125" i="4"/>
  <c r="BP109" i="4"/>
  <c r="BP122" i="4"/>
  <c r="BR39" i="4"/>
  <c r="BR41" i="4" s="1"/>
  <c r="BP157" i="4"/>
  <c r="BP202" i="4"/>
  <c r="BP234" i="4"/>
  <c r="BP174" i="4"/>
  <c r="BP195" i="4"/>
  <c r="BP196" i="4"/>
  <c r="BP204" i="4"/>
  <c r="BQ39" i="4"/>
  <c r="BQ41" i="4" s="1"/>
  <c r="BP215" i="4"/>
  <c r="BP164" i="4"/>
  <c r="BP227" i="4"/>
  <c r="BP118" i="4"/>
  <c r="BY37" i="4"/>
  <c r="BY36" i="4"/>
  <c r="BW37" i="4"/>
  <c r="BX108" i="4"/>
  <c r="BX124" i="4"/>
  <c r="BX140" i="4"/>
  <c r="BX156" i="4"/>
  <c r="BX172" i="4"/>
  <c r="BX188" i="4"/>
  <c r="BX204" i="4"/>
  <c r="BX220" i="4"/>
  <c r="BX236" i="4"/>
  <c r="BY110" i="4"/>
  <c r="BY126" i="4"/>
  <c r="BY142" i="4"/>
  <c r="BY158" i="4"/>
  <c r="BY174" i="4"/>
  <c r="BY190" i="4"/>
  <c r="BY206" i="4"/>
  <c r="BY222" i="4"/>
  <c r="BY238" i="4"/>
  <c r="BW122" i="4"/>
  <c r="BW154" i="4"/>
  <c r="BW186" i="4"/>
  <c r="BW218" i="4"/>
  <c r="BZ107" i="4"/>
  <c r="BZ139" i="4"/>
  <c r="BZ171" i="4"/>
  <c r="BZ203" i="4"/>
  <c r="BZ235" i="4"/>
  <c r="BW147" i="4"/>
  <c r="BW211" i="4"/>
  <c r="BZ230" i="4"/>
  <c r="BW221" i="4"/>
  <c r="BZ156" i="4"/>
  <c r="BZ220" i="4"/>
  <c r="BZ146" i="4"/>
  <c r="BZ238" i="4"/>
  <c r="BW225" i="4"/>
  <c r="BX115" i="4"/>
  <c r="BX131" i="4"/>
  <c r="BX147" i="4"/>
  <c r="BX163" i="4"/>
  <c r="BX179" i="4"/>
  <c r="BX195" i="4"/>
  <c r="BX211" i="4"/>
  <c r="BX227" i="4"/>
  <c r="BX243" i="4"/>
  <c r="BY117" i="4"/>
  <c r="BY133" i="4"/>
  <c r="BY149" i="4"/>
  <c r="BY165" i="4"/>
  <c r="BY181" i="4"/>
  <c r="BY197" i="4"/>
  <c r="BY213" i="4"/>
  <c r="BY229" i="4"/>
  <c r="BW103" i="4"/>
  <c r="BW136" i="4"/>
  <c r="BW168" i="4"/>
  <c r="BW200" i="4"/>
  <c r="BW232" i="4"/>
  <c r="BZ121" i="4"/>
  <c r="BZ153" i="4"/>
  <c r="BZ185" i="4"/>
  <c r="BZ217" i="4"/>
  <c r="BW111" i="4"/>
  <c r="BW175" i="4"/>
  <c r="BW239" i="4"/>
  <c r="BW149" i="4"/>
  <c r="BZ120" i="4"/>
  <c r="BZ184" i="4"/>
  <c r="BZ105" i="4"/>
  <c r="BZ186" i="4"/>
  <c r="BW153" i="4"/>
  <c r="BX113" i="4"/>
  <c r="BX129" i="4"/>
  <c r="BX145" i="4"/>
  <c r="BX110" i="4"/>
  <c r="BX126" i="4"/>
  <c r="BX142" i="4"/>
  <c r="BX158" i="4"/>
  <c r="BX174" i="4"/>
  <c r="BX190" i="4"/>
  <c r="BX206" i="4"/>
  <c r="BX222" i="4"/>
  <c r="BX238" i="4"/>
  <c r="BY112" i="4"/>
  <c r="BY128" i="4"/>
  <c r="BY144" i="4"/>
  <c r="BY160" i="4"/>
  <c r="BY176" i="4"/>
  <c r="BY192" i="4"/>
  <c r="BY208" i="4"/>
  <c r="BY224" i="4"/>
  <c r="BY240" i="4"/>
  <c r="BW126" i="4"/>
  <c r="BW158" i="4"/>
  <c r="BW190" i="4"/>
  <c r="BW222" i="4"/>
  <c r="BZ111" i="4"/>
  <c r="BZ143" i="4"/>
  <c r="BZ175" i="4"/>
  <c r="BZ207" i="4"/>
  <c r="BZ239" i="4"/>
  <c r="BW155" i="4"/>
  <c r="BW219" i="4"/>
  <c r="BW104" i="4"/>
  <c r="BW237" i="4"/>
  <c r="BZ164" i="4"/>
  <c r="BZ228" i="4"/>
  <c r="BZ158" i="4"/>
  <c r="BW113" i="4"/>
  <c r="BW241" i="4"/>
  <c r="BX225" i="4"/>
  <c r="BY147" i="4"/>
  <c r="BY211" i="4"/>
  <c r="BW164" i="4"/>
  <c r="BZ149" i="4"/>
  <c r="BW167" i="4"/>
  <c r="BZ176" i="4"/>
  <c r="BX157" i="4"/>
  <c r="BX221" i="4"/>
  <c r="BY143" i="4"/>
  <c r="BY207" i="4"/>
  <c r="BW156" i="4"/>
  <c r="BZ141" i="4"/>
  <c r="BW151" i="4"/>
  <c r="BZ160" i="4"/>
  <c r="BW233" i="4"/>
  <c r="BX201" i="4"/>
  <c r="BY123" i="4"/>
  <c r="BY187" i="4"/>
  <c r="BW116" i="4"/>
  <c r="BW244" i="4"/>
  <c r="BZ229" i="4"/>
  <c r="BW197" i="4"/>
  <c r="BZ222" i="4"/>
  <c r="BY183" i="4"/>
  <c r="BW165" i="4"/>
  <c r="BY167" i="4"/>
  <c r="BZ130" i="4"/>
  <c r="BY151" i="4"/>
  <c r="BW183" i="4"/>
  <c r="BX213" i="4"/>
  <c r="BP155" i="4"/>
  <c r="BP170" i="4"/>
  <c r="BP156" i="4"/>
  <c r="BP197" i="4"/>
  <c r="BP130" i="4"/>
  <c r="BP143" i="4"/>
  <c r="BP144" i="4"/>
  <c r="BP181" i="4"/>
  <c r="BP213" i="4"/>
  <c r="BP179" i="4"/>
  <c r="BP147" i="4"/>
  <c r="BP115" i="4"/>
  <c r="BP180" i="4"/>
  <c r="BP116" i="4"/>
  <c r="BP103" i="4"/>
  <c r="BP220" i="4"/>
  <c r="BP172" i="4"/>
  <c r="BP160" i="4"/>
  <c r="BP150" i="4"/>
  <c r="BP121" i="4"/>
  <c r="BP161" i="4"/>
  <c r="BP129" i="4"/>
  <c r="BP178" i="4"/>
  <c r="BP141" i="4"/>
  <c r="BP217" i="4"/>
  <c r="BT248" i="4"/>
  <c r="BT6" i="4" s="1"/>
  <c r="BT9" i="4" s="1"/>
  <c r="BP201" i="4"/>
  <c r="BP151" i="4"/>
  <c r="BP133" i="4"/>
  <c r="BP199" i="4"/>
  <c r="BW140" i="4"/>
  <c r="BW169" i="4"/>
  <c r="BQ248" i="4"/>
  <c r="BQ6" i="4" s="1"/>
  <c r="BQ9" i="4" s="1"/>
  <c r="BR248" i="4"/>
  <c r="BR6" i="4" s="1"/>
  <c r="BR9" i="4" s="1"/>
  <c r="BT39" i="4"/>
  <c r="BT41" i="4" s="1"/>
  <c r="BP104" i="4"/>
  <c r="BJ243" i="4"/>
  <c r="BJ184" i="4"/>
  <c r="BJ141" i="4"/>
  <c r="BJ212" i="4"/>
  <c r="BJ244" i="4"/>
  <c r="BJ216" i="4"/>
  <c r="BJ241" i="4"/>
  <c r="BJ211" i="4"/>
  <c r="BJ164" i="4"/>
  <c r="BJ115" i="4"/>
  <c r="BJ198" i="4"/>
  <c r="BJ146" i="4"/>
  <c r="BJ134" i="4"/>
  <c r="BJ223" i="4"/>
  <c r="BJ168" i="4"/>
  <c r="BJ204" i="4"/>
  <c r="BJ205" i="4"/>
  <c r="BJ182" i="4"/>
  <c r="BJ38" i="4"/>
  <c r="BJ157" i="4"/>
  <c r="BJ192" i="4"/>
  <c r="BJ179" i="4"/>
  <c r="BJ238" i="4"/>
  <c r="BJ169" i="4"/>
  <c r="BJ201" i="4"/>
  <c r="BJ221" i="4"/>
  <c r="BJ138" i="4"/>
  <c r="BJ173" i="4"/>
  <c r="BJ237" i="4"/>
  <c r="BJ126" i="4"/>
  <c r="BJ110" i="4"/>
  <c r="BJ232" i="4"/>
  <c r="BJ108" i="4"/>
  <c r="BJ129" i="4"/>
  <c r="BJ114" i="4"/>
  <c r="BJ144" i="4"/>
  <c r="BJ190" i="4"/>
  <c r="BJ102" i="4"/>
  <c r="BJ111" i="4"/>
  <c r="BJ167" i="4"/>
  <c r="BJ122" i="4"/>
  <c r="BJ120" i="4"/>
  <c r="BJ103" i="4"/>
  <c r="BJ230" i="4"/>
  <c r="BJ36" i="4"/>
  <c r="BJ186" i="4"/>
  <c r="BJ118" i="4"/>
  <c r="BJ106" i="4"/>
  <c r="BJ150" i="4"/>
  <c r="BJ213" i="4"/>
  <c r="BJ207" i="4"/>
  <c r="BJ239" i="4"/>
  <c r="BJ240" i="4"/>
  <c r="BK248" i="4"/>
  <c r="BK6" i="4" s="1"/>
  <c r="BK9" i="4" s="1"/>
  <c r="BJ140" i="4"/>
  <c r="BJ178" i="4"/>
  <c r="BJ135" i="4"/>
  <c r="BJ218" i="4"/>
  <c r="BM39" i="4"/>
  <c r="BM41" i="4" s="1"/>
  <c r="BJ133" i="4"/>
  <c r="BJ109" i="4"/>
  <c r="BJ147" i="4"/>
  <c r="BJ163" i="4"/>
  <c r="BJ117" i="4"/>
  <c r="BJ154" i="4"/>
  <c r="BJ199" i="4"/>
  <c r="BJ176" i="4"/>
  <c r="BJ139" i="4"/>
  <c r="BJ127" i="4"/>
  <c r="BJ210" i="4"/>
  <c r="BM248" i="4"/>
  <c r="BM6" i="4" s="1"/>
  <c r="BM9" i="4" s="1"/>
  <c r="BJ189" i="4"/>
  <c r="BJ219" i="4"/>
  <c r="BJ177" i="4"/>
  <c r="BJ217" i="4"/>
  <c r="BJ161" i="4"/>
  <c r="BJ128" i="4"/>
  <c r="BN248" i="4"/>
  <c r="BN6" i="4" s="1"/>
  <c r="BN9" i="4" s="1"/>
  <c r="BJ214" i="4"/>
  <c r="BK39" i="4"/>
  <c r="BK41" i="4" s="1"/>
  <c r="BJ174" i="4"/>
  <c r="BJ152" i="4"/>
  <c r="BJ162" i="4"/>
  <c r="BJ175" i="4"/>
  <c r="BJ149" i="4"/>
  <c r="BJ130" i="4"/>
  <c r="BJ113" i="4"/>
  <c r="BJ165" i="4"/>
  <c r="BJ222" i="4"/>
  <c r="BL39" i="4"/>
  <c r="BL41" i="4" s="1"/>
  <c r="BN39" i="4"/>
  <c r="BN41" i="4" s="1"/>
  <c r="BJ112" i="4"/>
  <c r="BJ107" i="4"/>
  <c r="BL248" i="4"/>
  <c r="BL6" i="4" s="1"/>
  <c r="BL9" i="4" s="1"/>
  <c r="X8" i="15"/>
  <c r="AA8" i="15" s="1"/>
  <c r="X9" i="15"/>
  <c r="AA9" i="15" s="1"/>
  <c r="Y6" i="15"/>
  <c r="Y5" i="15"/>
  <c r="X10" i="15"/>
  <c r="AA10" i="15" s="1"/>
  <c r="X5" i="15"/>
  <c r="X6" i="15"/>
  <c r="X7" i="15"/>
  <c r="AA7" i="15" s="1"/>
  <c r="Z6" i="15"/>
  <c r="Z5" i="15"/>
  <c r="BM46" i="9"/>
  <c r="BM45" i="9"/>
  <c r="BM44" i="9"/>
  <c r="BM43" i="9"/>
  <c r="BM42" i="9"/>
  <c r="BN25" i="9"/>
  <c r="BN28" i="9" s="1"/>
  <c r="BL17" i="9"/>
  <c r="BX17" i="9"/>
  <c r="BJ19" i="9"/>
  <c r="BV37" i="11"/>
  <c r="BV46" i="11" s="1"/>
  <c r="BZ46" i="11"/>
  <c r="CE6" i="10" s="1"/>
  <c r="BQ16" i="9"/>
  <c r="BP16" i="9" s="1"/>
  <c r="BN18" i="9"/>
  <c r="BW16" i="9"/>
  <c r="BV16" i="9" s="1"/>
  <c r="BT18" i="9"/>
  <c r="BV106" i="4"/>
  <c r="BZ20" i="9"/>
  <c r="BZ18" i="9" s="1"/>
  <c r="BY18" i="9"/>
  <c r="BY17" i="9" s="1"/>
  <c r="BZ16" i="9"/>
  <c r="BM18" i="9"/>
  <c r="BM17" i="9" s="1"/>
  <c r="BN16" i="9"/>
  <c r="BR17" i="9"/>
  <c r="BV10" i="9"/>
  <c r="BP52" i="11"/>
  <c r="BK46" i="11"/>
  <c r="BL6" i="10" s="1"/>
  <c r="BJ37" i="11"/>
  <c r="BJ46" i="11" s="1"/>
  <c r="BJ10" i="9"/>
  <c r="BJ52" i="11"/>
  <c r="BS18" i="9"/>
  <c r="BS17" i="9" s="1"/>
  <c r="BT16" i="9"/>
  <c r="BQ46" i="11"/>
  <c r="BT6" i="10" s="1"/>
  <c r="BP37" i="11"/>
  <c r="BP46" i="11" s="1"/>
  <c r="BV52" i="11"/>
  <c r="BP19" i="9"/>
  <c r="BV19" i="9"/>
  <c r="S77" i="9"/>
  <c r="T77" i="9" s="1"/>
  <c r="U77" i="9" s="1"/>
  <c r="U65" i="11" s="1"/>
  <c r="R65" i="11"/>
  <c r="BZ8" i="14"/>
  <c r="I65" i="11"/>
  <c r="M65" i="11"/>
  <c r="H65" i="11"/>
  <c r="L65" i="11"/>
  <c r="P65" i="11"/>
  <c r="G65" i="11"/>
  <c r="K65" i="11"/>
  <c r="O65" i="11"/>
  <c r="O74" i="11" s="1"/>
  <c r="F65" i="11"/>
  <c r="F74" i="11" s="1"/>
  <c r="J65" i="11"/>
  <c r="N65" i="11"/>
  <c r="U53" i="9"/>
  <c r="K12" i="9"/>
  <c r="N21" i="9"/>
  <c r="O21" i="9" s="1"/>
  <c r="P21" i="9" s="1"/>
  <c r="BV184" i="4" l="1"/>
  <c r="BV138" i="4"/>
  <c r="BV242" i="4"/>
  <c r="BV107" i="4"/>
  <c r="BV179" i="4"/>
  <c r="BV154" i="4"/>
  <c r="BV115" i="4"/>
  <c r="BV233" i="4"/>
  <c r="BV164" i="4"/>
  <c r="BV241" i="4"/>
  <c r="BV155" i="4"/>
  <c r="BV144" i="4"/>
  <c r="BV232" i="4"/>
  <c r="BV103" i="4"/>
  <c r="BV181" i="4"/>
  <c r="BV195" i="4"/>
  <c r="BV131" i="4"/>
  <c r="BV218" i="4"/>
  <c r="BV238" i="4"/>
  <c r="BV110" i="4"/>
  <c r="BV188" i="4"/>
  <c r="BV124" i="4"/>
  <c r="BV223" i="4"/>
  <c r="BV134" i="4"/>
  <c r="BV133" i="4"/>
  <c r="BV226" i="4"/>
  <c r="BV204" i="4"/>
  <c r="BV177" i="4"/>
  <c r="BV142" i="4"/>
  <c r="BV136" i="4"/>
  <c r="BV214" i="4"/>
  <c r="BV216" i="4"/>
  <c r="BV109" i="4"/>
  <c r="BV202" i="4"/>
  <c r="BV185" i="4"/>
  <c r="BV235" i="4"/>
  <c r="BV170" i="4"/>
  <c r="BV159" i="4"/>
  <c r="BV205" i="4"/>
  <c r="BV122" i="4"/>
  <c r="BV199" i="4"/>
  <c r="BV120" i="4"/>
  <c r="BV240" i="4"/>
  <c r="BV119" i="4"/>
  <c r="BV140" i="4"/>
  <c r="BV225" i="4"/>
  <c r="BV178" i="4"/>
  <c r="BV148" i="4"/>
  <c r="BV38" i="4"/>
  <c r="BV121" i="4"/>
  <c r="BV128" i="4"/>
  <c r="BV171" i="4"/>
  <c r="BV169" i="4"/>
  <c r="BV197" i="4"/>
  <c r="BV237" i="4"/>
  <c r="BV239" i="4"/>
  <c r="BV111" i="4"/>
  <c r="BV129" i="4"/>
  <c r="BV220" i="4"/>
  <c r="BV211" i="4"/>
  <c r="BV186" i="4"/>
  <c r="BV236" i="4"/>
  <c r="BV108" i="4"/>
  <c r="BV198" i="4"/>
  <c r="BV135" i="4"/>
  <c r="BV215" i="4"/>
  <c r="BV231" i="4"/>
  <c r="BV141" i="4"/>
  <c r="BV230" i="4"/>
  <c r="BV244" i="4"/>
  <c r="BV194" i="4"/>
  <c r="BV130" i="4"/>
  <c r="BV117" i="4"/>
  <c r="BV191" i="4"/>
  <c r="BV161" i="4"/>
  <c r="BV217" i="4"/>
  <c r="BV167" i="4"/>
  <c r="BV147" i="4"/>
  <c r="BV162" i="4"/>
  <c r="BV210" i="4"/>
  <c r="BV146" i="4"/>
  <c r="BV224" i="4"/>
  <c r="BV37" i="4"/>
  <c r="BV145" i="4"/>
  <c r="BY39" i="4"/>
  <c r="BY41" i="4" s="1"/>
  <c r="BV183" i="4"/>
  <c r="BV150" i="4"/>
  <c r="BV137" i="4"/>
  <c r="BV201" i="4"/>
  <c r="BV173" i="4"/>
  <c r="BV243" i="4"/>
  <c r="BV182" i="4"/>
  <c r="BV168" i="4"/>
  <c r="BV180" i="4"/>
  <c r="BV228" i="4"/>
  <c r="BV125" i="4"/>
  <c r="BV190" i="4"/>
  <c r="BV118" i="4"/>
  <c r="BV36" i="4"/>
  <c r="BV212" i="4"/>
  <c r="BV114" i="4"/>
  <c r="BV221" i="4"/>
  <c r="BV127" i="4"/>
  <c r="BV160" i="4"/>
  <c r="BV172" i="4"/>
  <c r="BV209" i="4"/>
  <c r="BV116" i="4"/>
  <c r="BV158" i="4"/>
  <c r="BV174" i="4"/>
  <c r="BV152" i="4"/>
  <c r="BV166" i="4"/>
  <c r="BZ248" i="4"/>
  <c r="BZ6" i="4" s="1"/>
  <c r="BZ9" i="4" s="1"/>
  <c r="BV139" i="4"/>
  <c r="BV157" i="4"/>
  <c r="BV234" i="4"/>
  <c r="BY248" i="4"/>
  <c r="BY6" i="4" s="1"/>
  <c r="BY9" i="4" s="1"/>
  <c r="BP248" i="4"/>
  <c r="BV165" i="4"/>
  <c r="BV229" i="4"/>
  <c r="BV123" i="4"/>
  <c r="BV151" i="4"/>
  <c r="BV143" i="4"/>
  <c r="BW248" i="4"/>
  <c r="BW6" i="4" s="1"/>
  <c r="BW9" i="4" s="1"/>
  <c r="BV207" i="4"/>
  <c r="BV222" i="4"/>
  <c r="BV112" i="4"/>
  <c r="BV126" i="4"/>
  <c r="BV113" i="4"/>
  <c r="BV175" i="4"/>
  <c r="BV149" i="4"/>
  <c r="BV227" i="4"/>
  <c r="BV206" i="4"/>
  <c r="BV156" i="4"/>
  <c r="BV192" i="4"/>
  <c r="BV200" i="4"/>
  <c r="BV176" i="4"/>
  <c r="BX39" i="4"/>
  <c r="BX41" i="4" s="1"/>
  <c r="BV163" i="4"/>
  <c r="BV208" i="4"/>
  <c r="BV189" i="4"/>
  <c r="BV193" i="4"/>
  <c r="BV187" i="4"/>
  <c r="BV153" i="4"/>
  <c r="BV213" i="4"/>
  <c r="BV203" i="4"/>
  <c r="BV219" i="4"/>
  <c r="BV105" i="4"/>
  <c r="BV196" i="4"/>
  <c r="BV132" i="4"/>
  <c r="BX248" i="4"/>
  <c r="BX6" i="4" s="1"/>
  <c r="BW39" i="4"/>
  <c r="BW41" i="4" s="1"/>
  <c r="BZ39" i="4"/>
  <c r="BZ41" i="4" s="1"/>
  <c r="BV104" i="4"/>
  <c r="BP39" i="4"/>
  <c r="BP41" i="4" s="1"/>
  <c r="BV102" i="4"/>
  <c r="BP6" i="4"/>
  <c r="BP9" i="4" s="1"/>
  <c r="BJ248" i="4"/>
  <c r="BJ6" i="4"/>
  <c r="BJ9" i="4" s="1"/>
  <c r="BJ39" i="4"/>
  <c r="BJ41" i="4" s="1"/>
  <c r="AA6" i="15"/>
  <c r="BL49" i="9"/>
  <c r="BL30" i="9"/>
  <c r="BL133" i="6" s="1"/>
  <c r="BM49" i="9"/>
  <c r="BM30" i="9"/>
  <c r="BM133" i="6" s="1"/>
  <c r="AA5" i="15"/>
  <c r="BN44" i="9"/>
  <c r="BN42" i="9"/>
  <c r="BN46" i="9"/>
  <c r="BN45" i="9"/>
  <c r="BN43" i="9"/>
  <c r="BM24" i="9"/>
  <c r="BQ25" i="9"/>
  <c r="BQ28" i="9" s="1"/>
  <c r="F73" i="11"/>
  <c r="S65" i="11"/>
  <c r="BZ17" i="9"/>
  <c r="BQ17" i="9"/>
  <c r="BW17" i="9"/>
  <c r="V77" i="9"/>
  <c r="V65" i="11" s="1"/>
  <c r="T65" i="11"/>
  <c r="BT17" i="9"/>
  <c r="BN17" i="9"/>
  <c r="O76" i="11"/>
  <c r="O66" i="11"/>
  <c r="O71" i="11"/>
  <c r="F68" i="11"/>
  <c r="O70" i="11"/>
  <c r="O75" i="11"/>
  <c r="O69" i="11"/>
  <c r="O68" i="11"/>
  <c r="O73" i="11"/>
  <c r="O72" i="11"/>
  <c r="O67" i="11"/>
  <c r="BV8" i="14"/>
  <c r="R21" i="9"/>
  <c r="L12" i="9"/>
  <c r="W77" i="9"/>
  <c r="W65" i="11" s="1"/>
  <c r="F69" i="11"/>
  <c r="F75" i="11"/>
  <c r="F72" i="11"/>
  <c r="F67" i="11"/>
  <c r="E74" i="11"/>
  <c r="E70" i="11"/>
  <c r="E66" i="11"/>
  <c r="E71" i="11"/>
  <c r="E67" i="11"/>
  <c r="E76" i="11"/>
  <c r="E68" i="11"/>
  <c r="E75" i="11"/>
  <c r="E73" i="11"/>
  <c r="E69" i="11"/>
  <c r="E72" i="11"/>
  <c r="F70" i="11"/>
  <c r="F76" i="11"/>
  <c r="F71" i="11"/>
  <c r="F66" i="11"/>
  <c r="AP169" i="6"/>
  <c r="AP23" i="6" s="1"/>
  <c r="AO169" i="6"/>
  <c r="AO23" i="6" s="1"/>
  <c r="AN169" i="6"/>
  <c r="AN23" i="6" s="1"/>
  <c r="AM169" i="6"/>
  <c r="AM23" i="6" s="1"/>
  <c r="AL169" i="6"/>
  <c r="AL23" i="6" s="1"/>
  <c r="AK169" i="6"/>
  <c r="AK23" i="6" s="1"/>
  <c r="AJ169" i="6"/>
  <c r="AJ23" i="6" s="1"/>
  <c r="AI169" i="6"/>
  <c r="AI23" i="6" s="1"/>
  <c r="AH169" i="6"/>
  <c r="AH23" i="6" s="1"/>
  <c r="AG169" i="6"/>
  <c r="AG23" i="6" s="1"/>
  <c r="AF169" i="6"/>
  <c r="AF23" i="6" s="1"/>
  <c r="AE169" i="6"/>
  <c r="AE23" i="6" s="1"/>
  <c r="AC169" i="6"/>
  <c r="AC23" i="6" s="1"/>
  <c r="AB169" i="6"/>
  <c r="AB23" i="6" s="1"/>
  <c r="AA169" i="6"/>
  <c r="AA23" i="6" s="1"/>
  <c r="Z169" i="6"/>
  <c r="Z23" i="6" s="1"/>
  <c r="Y169" i="6"/>
  <c r="Y23" i="6" s="1"/>
  <c r="X169" i="6"/>
  <c r="X23" i="6" s="1"/>
  <c r="W169" i="6"/>
  <c r="W23" i="6" s="1"/>
  <c r="V169" i="6"/>
  <c r="V23" i="6" s="1"/>
  <c r="U169" i="6"/>
  <c r="U23" i="6" s="1"/>
  <c r="T169" i="6"/>
  <c r="T23" i="6" s="1"/>
  <c r="S169" i="6"/>
  <c r="S23" i="6" s="1"/>
  <c r="P169" i="6"/>
  <c r="P23" i="6" s="1"/>
  <c r="O169" i="6"/>
  <c r="O23" i="6" s="1"/>
  <c r="N169" i="6"/>
  <c r="N23" i="6" s="1"/>
  <c r="M169" i="6"/>
  <c r="M23" i="6" s="1"/>
  <c r="L169" i="6"/>
  <c r="L23" i="6" s="1"/>
  <c r="K169" i="6"/>
  <c r="K23" i="6" s="1"/>
  <c r="J169" i="6"/>
  <c r="J23" i="6" s="1"/>
  <c r="I169" i="6"/>
  <c r="I23" i="6" s="1"/>
  <c r="H169" i="6"/>
  <c r="H23" i="6" s="1"/>
  <c r="G169" i="6"/>
  <c r="G23" i="6" s="1"/>
  <c r="F169" i="6"/>
  <c r="F23" i="6" s="1"/>
  <c r="E169" i="6"/>
  <c r="E23" i="6" s="1"/>
  <c r="B165" i="6"/>
  <c r="B164" i="6"/>
  <c r="B163" i="6"/>
  <c r="B162" i="6"/>
  <c r="AP120" i="5"/>
  <c r="AP23" i="5" s="1"/>
  <c r="AO120" i="5"/>
  <c r="AO23" i="5" s="1"/>
  <c r="AN120" i="5"/>
  <c r="AN23" i="5" s="1"/>
  <c r="AM120" i="5"/>
  <c r="AM23" i="5" s="1"/>
  <c r="AL120" i="5"/>
  <c r="AL23" i="5" s="1"/>
  <c r="AK120" i="5"/>
  <c r="AK23" i="5" s="1"/>
  <c r="AJ120" i="5"/>
  <c r="AJ23" i="5" s="1"/>
  <c r="AI120" i="5"/>
  <c r="AI23" i="5" s="1"/>
  <c r="AH120" i="5"/>
  <c r="AH23" i="5" s="1"/>
  <c r="AG120" i="5"/>
  <c r="AG23" i="5" s="1"/>
  <c r="AF120" i="5"/>
  <c r="AF23" i="5" s="1"/>
  <c r="AE120" i="5"/>
  <c r="AE23" i="5" s="1"/>
  <c r="AC120" i="5"/>
  <c r="AC23" i="5" s="1"/>
  <c r="AB120" i="5"/>
  <c r="AB23" i="5" s="1"/>
  <c r="AA120" i="5"/>
  <c r="AA23" i="5" s="1"/>
  <c r="Z120" i="5"/>
  <c r="Z23" i="5" s="1"/>
  <c r="Y120" i="5"/>
  <c r="Y23" i="5" s="1"/>
  <c r="X120" i="5"/>
  <c r="X23" i="5" s="1"/>
  <c r="W120" i="5"/>
  <c r="W23" i="5" s="1"/>
  <c r="V120" i="5"/>
  <c r="V23" i="5" s="1"/>
  <c r="U120" i="5"/>
  <c r="U23" i="5" s="1"/>
  <c r="T120" i="5"/>
  <c r="T23" i="5" s="1"/>
  <c r="S120" i="5"/>
  <c r="S23" i="5" s="1"/>
  <c r="R120" i="5"/>
  <c r="R23" i="5" s="1"/>
  <c r="P120" i="5"/>
  <c r="P23" i="5" s="1"/>
  <c r="O120" i="5"/>
  <c r="O23" i="5" s="1"/>
  <c r="N120" i="5"/>
  <c r="N23" i="5" s="1"/>
  <c r="M120" i="5"/>
  <c r="M23" i="5" s="1"/>
  <c r="L120" i="5"/>
  <c r="L23" i="5" s="1"/>
  <c r="K120" i="5"/>
  <c r="K23" i="5" s="1"/>
  <c r="J120" i="5"/>
  <c r="J23" i="5" s="1"/>
  <c r="I120" i="5"/>
  <c r="I23" i="5" s="1"/>
  <c r="G120" i="5"/>
  <c r="G23" i="5" s="1"/>
  <c r="F120" i="5"/>
  <c r="F23" i="5" s="1"/>
  <c r="E120" i="5"/>
  <c r="E23" i="5" s="1"/>
  <c r="C114" i="5"/>
  <c r="H114" i="5" s="1"/>
  <c r="H120" i="5" s="1"/>
  <c r="H23" i="5" s="1"/>
  <c r="B114" i="5"/>
  <c r="E25" i="14"/>
  <c r="E27" i="14" s="1"/>
  <c r="E14" i="14"/>
  <c r="R78" i="9"/>
  <c r="AY78" i="9" s="1"/>
  <c r="E78" i="9"/>
  <c r="AR78" i="9" s="1"/>
  <c r="P74" i="9"/>
  <c r="R70" i="9" s="1"/>
  <c r="AY70" i="9" s="1"/>
  <c r="O74" i="9"/>
  <c r="P70" i="9" s="1"/>
  <c r="N74" i="9"/>
  <c r="O70" i="9" s="1"/>
  <c r="M74" i="9"/>
  <c r="N70" i="9" s="1"/>
  <c r="L74" i="9"/>
  <c r="M70" i="9" s="1"/>
  <c r="K74" i="9"/>
  <c r="L70" i="9" s="1"/>
  <c r="J74" i="9"/>
  <c r="I74" i="9"/>
  <c r="J70" i="9" s="1"/>
  <c r="H74" i="9"/>
  <c r="I70" i="9" s="1"/>
  <c r="G74" i="9"/>
  <c r="H70" i="9" s="1"/>
  <c r="F74" i="9"/>
  <c r="G70" i="9" s="1"/>
  <c r="E74" i="9"/>
  <c r="F70" i="9" s="1"/>
  <c r="P73" i="9"/>
  <c r="O73" i="9"/>
  <c r="N73" i="9"/>
  <c r="M73" i="9"/>
  <c r="L73" i="9"/>
  <c r="K73" i="9"/>
  <c r="J73" i="9"/>
  <c r="J72" i="9" s="1"/>
  <c r="I73" i="9"/>
  <c r="H73" i="9"/>
  <c r="G73" i="9"/>
  <c r="F73" i="9"/>
  <c r="E73" i="9"/>
  <c r="K70" i="9"/>
  <c r="E70" i="9"/>
  <c r="AR70" i="9" s="1"/>
  <c r="AP87" i="5"/>
  <c r="AO87" i="5"/>
  <c r="AN87" i="5"/>
  <c r="AM87" i="5"/>
  <c r="AL87" i="5"/>
  <c r="AK87" i="5"/>
  <c r="AJ87" i="5"/>
  <c r="AI87" i="5"/>
  <c r="AH87" i="5"/>
  <c r="AP86" i="5"/>
  <c r="AO86" i="5"/>
  <c r="AN86" i="5"/>
  <c r="AM86" i="5"/>
  <c r="AL86" i="5"/>
  <c r="AK86" i="5"/>
  <c r="AJ86" i="5"/>
  <c r="AI86" i="5"/>
  <c r="AH86" i="5"/>
  <c r="BF86" i="5" s="1"/>
  <c r="AP85" i="5"/>
  <c r="AO85" i="5"/>
  <c r="AN85" i="5"/>
  <c r="AM85" i="5"/>
  <c r="AL85" i="5"/>
  <c r="AK85" i="5"/>
  <c r="AJ85" i="5"/>
  <c r="AI85" i="5"/>
  <c r="AH85" i="5"/>
  <c r="AP84" i="5"/>
  <c r="AO84" i="5"/>
  <c r="AN84" i="5"/>
  <c r="BH84" i="5" s="1"/>
  <c r="AM84" i="5"/>
  <c r="AL84" i="5"/>
  <c r="AK84" i="5"/>
  <c r="AJ84" i="5"/>
  <c r="AI84" i="5"/>
  <c r="AH84" i="5"/>
  <c r="AP83" i="5"/>
  <c r="AO83" i="5"/>
  <c r="AN83" i="5"/>
  <c r="AM83" i="5"/>
  <c r="AL83" i="5"/>
  <c r="AK83" i="5"/>
  <c r="BG83" i="5" s="1"/>
  <c r="AJ83" i="5"/>
  <c r="AI83" i="5"/>
  <c r="AH83" i="5"/>
  <c r="AP82" i="5"/>
  <c r="AO82" i="5"/>
  <c r="AN82" i="5"/>
  <c r="AM82" i="5"/>
  <c r="AL82" i="5"/>
  <c r="AK82" i="5"/>
  <c r="AJ82" i="5"/>
  <c r="AI82" i="5"/>
  <c r="AH82" i="5"/>
  <c r="BF82" i="5" s="1"/>
  <c r="AP81" i="5"/>
  <c r="AO81" i="5"/>
  <c r="AN81" i="5"/>
  <c r="AM81" i="5"/>
  <c r="AL81" i="5"/>
  <c r="AK81" i="5"/>
  <c r="AJ81" i="5"/>
  <c r="AI81" i="5"/>
  <c r="AH81" i="5"/>
  <c r="AP80" i="5"/>
  <c r="AO80" i="5"/>
  <c r="AN80" i="5"/>
  <c r="BH80" i="5" s="1"/>
  <c r="AM80" i="5"/>
  <c r="AL80" i="5"/>
  <c r="AK80" i="5"/>
  <c r="AJ80" i="5"/>
  <c r="AI80" i="5"/>
  <c r="AH80" i="5"/>
  <c r="P97" i="9"/>
  <c r="O97" i="9"/>
  <c r="N97" i="9"/>
  <c r="M97" i="9"/>
  <c r="L97" i="9"/>
  <c r="K97" i="9"/>
  <c r="J97" i="9"/>
  <c r="I97" i="9"/>
  <c r="H97" i="9"/>
  <c r="G97" i="9"/>
  <c r="F97" i="9"/>
  <c r="P96" i="9"/>
  <c r="O96" i="9"/>
  <c r="N96" i="9"/>
  <c r="M96" i="9"/>
  <c r="L96" i="9"/>
  <c r="K96" i="9"/>
  <c r="J96" i="9"/>
  <c r="I96" i="9"/>
  <c r="H96" i="9"/>
  <c r="G96" i="9"/>
  <c r="F96" i="9"/>
  <c r="E97" i="9"/>
  <c r="E96" i="9"/>
  <c r="P86" i="9"/>
  <c r="O86" i="9"/>
  <c r="N86" i="9"/>
  <c r="M86" i="9"/>
  <c r="L86" i="9"/>
  <c r="K86" i="9"/>
  <c r="J86" i="9"/>
  <c r="I86" i="9"/>
  <c r="H86" i="9"/>
  <c r="G86" i="9"/>
  <c r="F86" i="9"/>
  <c r="E86" i="9"/>
  <c r="E85" i="9"/>
  <c r="AR85" i="9" s="1"/>
  <c r="H82" i="9"/>
  <c r="I78" i="9" s="1"/>
  <c r="R85" i="9"/>
  <c r="AY85" i="9" s="1"/>
  <c r="U82" i="9"/>
  <c r="V78" i="9" s="1"/>
  <c r="AP177" i="6"/>
  <c r="AP51" i="6" s="1"/>
  <c r="AO177" i="6"/>
  <c r="AO51" i="6" s="1"/>
  <c r="AN177" i="6"/>
  <c r="AN51" i="6" s="1"/>
  <c r="AM177" i="6"/>
  <c r="AM51" i="6" s="1"/>
  <c r="AL177" i="6"/>
  <c r="AL51" i="6" s="1"/>
  <c r="AK177" i="6"/>
  <c r="AK51" i="6" s="1"/>
  <c r="AJ177" i="6"/>
  <c r="AJ51" i="6" s="1"/>
  <c r="AI177" i="6"/>
  <c r="AI51" i="6" s="1"/>
  <c r="AH177" i="6"/>
  <c r="AH51" i="6" s="1"/>
  <c r="AG177" i="6"/>
  <c r="AG51" i="6" s="1"/>
  <c r="AF177" i="6"/>
  <c r="AF51" i="6" s="1"/>
  <c r="AE177" i="6"/>
  <c r="AE51" i="6" s="1"/>
  <c r="AC177" i="6"/>
  <c r="AC51" i="6" s="1"/>
  <c r="AB177" i="6"/>
  <c r="AB51" i="6" s="1"/>
  <c r="AA177" i="6"/>
  <c r="AA51" i="6" s="1"/>
  <c r="Z177" i="6"/>
  <c r="Z51" i="6" s="1"/>
  <c r="Y177" i="6"/>
  <c r="Y51" i="6" s="1"/>
  <c r="X177" i="6"/>
  <c r="X51" i="6" s="1"/>
  <c r="W177" i="6"/>
  <c r="W51" i="6" s="1"/>
  <c r="V177" i="6"/>
  <c r="V51" i="6" s="1"/>
  <c r="U177" i="6"/>
  <c r="U51" i="6" s="1"/>
  <c r="T177" i="6"/>
  <c r="T51" i="6" s="1"/>
  <c r="S177" i="6"/>
  <c r="S51" i="6" s="1"/>
  <c r="R177" i="6"/>
  <c r="R51" i="6" s="1"/>
  <c r="P177" i="6"/>
  <c r="P51" i="6" s="1"/>
  <c r="O177" i="6"/>
  <c r="O51" i="6" s="1"/>
  <c r="N177" i="6"/>
  <c r="N51" i="6" s="1"/>
  <c r="M177" i="6"/>
  <c r="M51" i="6" s="1"/>
  <c r="L177" i="6"/>
  <c r="L51" i="6" s="1"/>
  <c r="K177" i="6"/>
  <c r="K51" i="6" s="1"/>
  <c r="J177" i="6"/>
  <c r="J51" i="6" s="1"/>
  <c r="I177" i="6"/>
  <c r="I51" i="6" s="1"/>
  <c r="H177" i="6"/>
  <c r="H51" i="6" s="1"/>
  <c r="G177" i="6"/>
  <c r="G51" i="6" s="1"/>
  <c r="F177" i="6"/>
  <c r="F51" i="6" s="1"/>
  <c r="E177" i="6"/>
  <c r="E51" i="6" s="1"/>
  <c r="V49" i="9"/>
  <c r="W49" i="9" s="1"/>
  <c r="X49" i="9" s="1"/>
  <c r="Y49" i="9" s="1"/>
  <c r="Z49" i="9" s="1"/>
  <c r="AA49" i="9" s="1"/>
  <c r="AB49" i="9" s="1"/>
  <c r="AC49" i="9" s="1"/>
  <c r="V53" i="9"/>
  <c r="W53" i="9" s="1"/>
  <c r="X53" i="9" s="1"/>
  <c r="Y53" i="9" s="1"/>
  <c r="Z53" i="9" s="1"/>
  <c r="AA53" i="9" s="1"/>
  <c r="AB53" i="9" s="1"/>
  <c r="AC53" i="9" s="1"/>
  <c r="AE53" i="9" s="1"/>
  <c r="AF53" i="9" s="1"/>
  <c r="AG53" i="9" s="1"/>
  <c r="AH53" i="9" s="1"/>
  <c r="AI53" i="9" s="1"/>
  <c r="AJ53" i="9" s="1"/>
  <c r="AK53" i="9" s="1"/>
  <c r="BG87" i="5" l="1"/>
  <c r="BM108" i="6"/>
  <c r="BM116" i="6"/>
  <c r="BM124" i="6"/>
  <c r="BM107" i="6"/>
  <c r="BM115" i="6"/>
  <c r="BM123" i="6"/>
  <c r="BM111" i="6"/>
  <c r="BM118" i="6"/>
  <c r="BM125" i="6"/>
  <c r="BM122" i="6"/>
  <c r="BM129" i="6"/>
  <c r="BM119" i="6"/>
  <c r="BM110" i="6"/>
  <c r="BM117" i="6"/>
  <c r="BM106" i="6"/>
  <c r="BM113" i="6"/>
  <c r="BM120" i="6"/>
  <c r="BM114" i="6"/>
  <c r="BM121" i="6"/>
  <c r="BM127" i="6"/>
  <c r="BM109" i="6"/>
  <c r="BM128" i="6"/>
  <c r="BM112" i="6"/>
  <c r="BM126" i="6"/>
  <c r="E72" i="9"/>
  <c r="BL111" i="6"/>
  <c r="BL119" i="6"/>
  <c r="BL127" i="6"/>
  <c r="BL110" i="6"/>
  <c r="BL118" i="6"/>
  <c r="BL126" i="6"/>
  <c r="BL122" i="6"/>
  <c r="BL108" i="6"/>
  <c r="BL115" i="6"/>
  <c r="BL112" i="6"/>
  <c r="BL114" i="6"/>
  <c r="BL121" i="6"/>
  <c r="BL128" i="6"/>
  <c r="BL107" i="6"/>
  <c r="BL123" i="6"/>
  <c r="BL117" i="6"/>
  <c r="BL129" i="6"/>
  <c r="BL124" i="6"/>
  <c r="BL109" i="6"/>
  <c r="BL116" i="6"/>
  <c r="BL125" i="6"/>
  <c r="BL106" i="6"/>
  <c r="BL113" i="6"/>
  <c r="BL120" i="6"/>
  <c r="BF85" i="5"/>
  <c r="BH87" i="5"/>
  <c r="BF83" i="5"/>
  <c r="BH85" i="5"/>
  <c r="BG81" i="5"/>
  <c r="BF84" i="5"/>
  <c r="BH86" i="5"/>
  <c r="H72" i="9"/>
  <c r="BH81" i="5"/>
  <c r="I72" i="9"/>
  <c r="P72" i="9"/>
  <c r="BF80" i="5"/>
  <c r="BH82" i="5"/>
  <c r="BF81" i="5"/>
  <c r="BH83" i="5"/>
  <c r="BG86" i="5"/>
  <c r="K72" i="9"/>
  <c r="BG85" i="5"/>
  <c r="BG80" i="5"/>
  <c r="BG82" i="5"/>
  <c r="BG84" i="5"/>
  <c r="BF87" i="5"/>
  <c r="BV248" i="4"/>
  <c r="BV6" i="4"/>
  <c r="BV9" i="4" s="1"/>
  <c r="BV39" i="4"/>
  <c r="BV41" i="4" s="1"/>
  <c r="BX9" i="4"/>
  <c r="BQ30" i="9"/>
  <c r="BQ133" i="6" s="1"/>
  <c r="BY24" i="9"/>
  <c r="BZ24" i="9" s="1"/>
  <c r="BN49" i="9"/>
  <c r="BN30" i="9"/>
  <c r="BN133" i="6" s="1"/>
  <c r="BS24" i="9"/>
  <c r="BT24" i="9" s="1"/>
  <c r="BW24" i="9" s="1"/>
  <c r="BX24" i="9" s="1"/>
  <c r="BN24" i="9"/>
  <c r="BM47" i="9"/>
  <c r="BM48" i="9" s="1"/>
  <c r="BQ49" i="9"/>
  <c r="BQ46" i="9"/>
  <c r="BQ45" i="9"/>
  <c r="BQ44" i="9"/>
  <c r="BQ43" i="9"/>
  <c r="BQ42" i="9"/>
  <c r="BL100" i="6"/>
  <c r="BL92" i="6"/>
  <c r="BL85" i="6"/>
  <c r="BL101" i="6"/>
  <c r="BL93" i="6"/>
  <c r="BL103" i="6"/>
  <c r="BL94" i="6"/>
  <c r="BL87" i="6"/>
  <c r="BL102" i="6"/>
  <c r="BL95" i="6"/>
  <c r="BL84" i="6"/>
  <c r="BL105" i="6"/>
  <c r="BL96" i="6"/>
  <c r="BL88" i="6"/>
  <c r="BL104" i="6"/>
  <c r="BL97" i="6"/>
  <c r="BL89" i="6"/>
  <c r="BL98" i="6"/>
  <c r="BL90" i="6"/>
  <c r="BL86" i="6"/>
  <c r="BL99" i="6"/>
  <c r="BL91" i="6"/>
  <c r="BM104" i="6"/>
  <c r="BM102" i="6"/>
  <c r="BM101" i="6"/>
  <c r="BM99" i="6"/>
  <c r="BM97" i="6"/>
  <c r="BM95" i="6"/>
  <c r="BM93" i="6"/>
  <c r="BM91" i="6"/>
  <c r="BM89" i="6"/>
  <c r="BM84" i="6"/>
  <c r="BM98" i="6"/>
  <c r="BM92" i="6"/>
  <c r="BM105" i="6"/>
  <c r="BM103" i="6"/>
  <c r="BM100" i="6"/>
  <c r="BM96" i="6"/>
  <c r="BM94" i="6"/>
  <c r="BM90" i="6"/>
  <c r="BM88" i="6"/>
  <c r="BM87" i="6"/>
  <c r="BM86" i="6"/>
  <c r="BM85" i="6"/>
  <c r="BR25" i="9"/>
  <c r="F72" i="9"/>
  <c r="F71" i="9" s="1"/>
  <c r="N72" i="9"/>
  <c r="G72" i="9"/>
  <c r="G71" i="9" s="1"/>
  <c r="O72" i="9"/>
  <c r="M72" i="9"/>
  <c r="M71" i="9" s="1"/>
  <c r="L72" i="9"/>
  <c r="L71" i="9" s="1"/>
  <c r="BP17" i="9"/>
  <c r="BP18" i="9" s="1"/>
  <c r="BP20" i="9" s="1"/>
  <c r="BV17" i="9"/>
  <c r="BV18" i="9" s="1"/>
  <c r="BV20" i="9" s="1"/>
  <c r="P71" i="9"/>
  <c r="AU86" i="9"/>
  <c r="AV96" i="9"/>
  <c r="AU97" i="9"/>
  <c r="AV97" i="9"/>
  <c r="K71" i="9"/>
  <c r="AV73" i="9"/>
  <c r="H71" i="9"/>
  <c r="AR97" i="9"/>
  <c r="AS97" i="9"/>
  <c r="AR73" i="9"/>
  <c r="AS73" i="9"/>
  <c r="AS96" i="9"/>
  <c r="AR96" i="9"/>
  <c r="AT73" i="9"/>
  <c r="AS86" i="9"/>
  <c r="AR86" i="9"/>
  <c r="AR87" i="9" s="1"/>
  <c r="AV86" i="9"/>
  <c r="AT96" i="9"/>
  <c r="AT86" i="9"/>
  <c r="AU96" i="9"/>
  <c r="AT97" i="9"/>
  <c r="AU73" i="9"/>
  <c r="S21" i="9"/>
  <c r="J71" i="9"/>
  <c r="N71" i="9"/>
  <c r="O71" i="9"/>
  <c r="R169" i="6"/>
  <c r="R23" i="6" s="1"/>
  <c r="I71" i="9"/>
  <c r="E71" i="9"/>
  <c r="M12" i="9"/>
  <c r="G74" i="11"/>
  <c r="AS74" i="11" s="1"/>
  <c r="G68" i="11"/>
  <c r="AS68" i="11" s="1"/>
  <c r="G73" i="11"/>
  <c r="AS73" i="11" s="1"/>
  <c r="G71" i="11"/>
  <c r="AS71" i="11" s="1"/>
  <c r="G70" i="11"/>
  <c r="G67" i="11"/>
  <c r="AS67" i="11" s="1"/>
  <c r="G75" i="11"/>
  <c r="AS75" i="11" s="1"/>
  <c r="G69" i="11"/>
  <c r="AS69" i="11" s="1"/>
  <c r="G72" i="11"/>
  <c r="AS72" i="11" s="1"/>
  <c r="G66" i="11"/>
  <c r="AS66" i="11" s="1"/>
  <c r="G76" i="11"/>
  <c r="AS76" i="11" s="1"/>
  <c r="X77" i="9"/>
  <c r="X65" i="11" s="1"/>
  <c r="E71" i="6"/>
  <c r="E87" i="9"/>
  <c r="AL53" i="9"/>
  <c r="BN113" i="6" l="1"/>
  <c r="BN121" i="6"/>
  <c r="BN129" i="6"/>
  <c r="BN112" i="6"/>
  <c r="BN120" i="6"/>
  <c r="BN128" i="6"/>
  <c r="BN107" i="6"/>
  <c r="BN114" i="6"/>
  <c r="BN111" i="6"/>
  <c r="BN118" i="6"/>
  <c r="BN125" i="6"/>
  <c r="BN108" i="6"/>
  <c r="BN115" i="6"/>
  <c r="BN106" i="6"/>
  <c r="BN124" i="6"/>
  <c r="BN126" i="6"/>
  <c r="BN117" i="6"/>
  <c r="BN116" i="6"/>
  <c r="BN122" i="6"/>
  <c r="BN127" i="6"/>
  <c r="BN119" i="6"/>
  <c r="BN109" i="6"/>
  <c r="BN123" i="6"/>
  <c r="BN110" i="6"/>
  <c r="BQ122" i="6"/>
  <c r="BQ114" i="6"/>
  <c r="BQ106" i="6"/>
  <c r="BQ125" i="6"/>
  <c r="BQ117" i="6"/>
  <c r="BQ109" i="6"/>
  <c r="BQ121" i="6"/>
  <c r="BQ111" i="6"/>
  <c r="BQ120" i="6"/>
  <c r="BQ110" i="6"/>
  <c r="BQ129" i="6"/>
  <c r="BQ119" i="6"/>
  <c r="BQ108" i="6"/>
  <c r="BQ124" i="6"/>
  <c r="BQ113" i="6"/>
  <c r="BQ126" i="6"/>
  <c r="BQ123" i="6"/>
  <c r="BQ112" i="6"/>
  <c r="BQ118" i="6"/>
  <c r="BQ116" i="6"/>
  <c r="BQ128" i="6"/>
  <c r="BQ107" i="6"/>
  <c r="BQ127" i="6"/>
  <c r="BQ115" i="6"/>
  <c r="X66" i="11"/>
  <c r="X67" i="11"/>
  <c r="BR28" i="9"/>
  <c r="BR30" i="9" s="1"/>
  <c r="BR133" i="6" s="1"/>
  <c r="BQ24" i="9"/>
  <c r="BN47" i="9"/>
  <c r="BN48" i="9" s="1"/>
  <c r="BR49" i="9"/>
  <c r="BL132" i="6"/>
  <c r="BL31" i="9" s="1"/>
  <c r="BL101" i="9" s="1"/>
  <c r="BR46" i="9"/>
  <c r="BR45" i="9"/>
  <c r="BR44" i="9"/>
  <c r="BR43" i="9"/>
  <c r="BR42" i="9"/>
  <c r="BL131" i="6"/>
  <c r="BL6" i="6" s="1"/>
  <c r="BL9" i="6" s="1"/>
  <c r="BQ105" i="6"/>
  <c r="BQ103" i="6"/>
  <c r="BQ100" i="6"/>
  <c r="BQ98" i="6"/>
  <c r="BQ96" i="6"/>
  <c r="BQ94" i="6"/>
  <c r="BQ92" i="6"/>
  <c r="BQ90" i="6"/>
  <c r="BQ88" i="6"/>
  <c r="BQ87" i="6"/>
  <c r="BQ85" i="6"/>
  <c r="BQ101" i="6"/>
  <c r="BQ97" i="6"/>
  <c r="BQ91" i="6"/>
  <c r="BQ86" i="6"/>
  <c r="BQ104" i="6"/>
  <c r="BQ102" i="6"/>
  <c r="BQ99" i="6"/>
  <c r="BQ95" i="6"/>
  <c r="BQ93" i="6"/>
  <c r="BQ89" i="6"/>
  <c r="BQ84" i="6"/>
  <c r="BM132" i="6"/>
  <c r="BM31" i="9" s="1"/>
  <c r="BM101" i="9" s="1"/>
  <c r="BM131" i="6"/>
  <c r="BM6" i="6" s="1"/>
  <c r="BM9" i="6" s="1"/>
  <c r="BN86" i="6"/>
  <c r="BN104" i="6"/>
  <c r="BN102" i="6"/>
  <c r="BN101" i="6"/>
  <c r="BN99" i="6"/>
  <c r="BN97" i="6"/>
  <c r="BN95" i="6"/>
  <c r="BN93" i="6"/>
  <c r="BN91" i="6"/>
  <c r="BN89" i="6"/>
  <c r="BN84" i="6"/>
  <c r="BN105" i="6"/>
  <c r="BN103" i="6"/>
  <c r="BN100" i="6"/>
  <c r="BN98" i="6"/>
  <c r="BN96" i="6"/>
  <c r="BN94" i="6"/>
  <c r="BN92" i="6"/>
  <c r="BN90" i="6"/>
  <c r="BN88" i="6"/>
  <c r="BN87" i="6"/>
  <c r="BN85" i="6"/>
  <c r="BS25" i="9"/>
  <c r="BL102" i="9"/>
  <c r="AU71" i="9"/>
  <c r="AT71" i="9"/>
  <c r="AS71" i="9"/>
  <c r="AR71" i="9"/>
  <c r="AR72" i="9" s="1"/>
  <c r="AV71" i="9"/>
  <c r="AS70" i="11"/>
  <c r="AS78" i="11" s="1"/>
  <c r="N12" i="9"/>
  <c r="Y77" i="9"/>
  <c r="Y65" i="11" s="1"/>
  <c r="H75" i="11"/>
  <c r="H76" i="11"/>
  <c r="H70" i="11"/>
  <c r="H68" i="11"/>
  <c r="H69" i="11"/>
  <c r="H73" i="11"/>
  <c r="H72" i="11"/>
  <c r="H66" i="11"/>
  <c r="H71" i="11"/>
  <c r="H74" i="11"/>
  <c r="H67" i="11"/>
  <c r="F71" i="6"/>
  <c r="AM53" i="9"/>
  <c r="BR122" i="6" l="1"/>
  <c r="BR114" i="6"/>
  <c r="BR106" i="6"/>
  <c r="BR125" i="6"/>
  <c r="BR117" i="6"/>
  <c r="BR109" i="6"/>
  <c r="BR129" i="6"/>
  <c r="BR119" i="6"/>
  <c r="BR108" i="6"/>
  <c r="BR128" i="6"/>
  <c r="BR118" i="6"/>
  <c r="BR107" i="6"/>
  <c r="BR127" i="6"/>
  <c r="BR116" i="6"/>
  <c r="BR121" i="6"/>
  <c r="BR111" i="6"/>
  <c r="BR123" i="6"/>
  <c r="BR120" i="6"/>
  <c r="BR113" i="6"/>
  <c r="BR112" i="6"/>
  <c r="BR115" i="6"/>
  <c r="BR126" i="6"/>
  <c r="BR124" i="6"/>
  <c r="BR110" i="6"/>
  <c r="BS28" i="9"/>
  <c r="BS30" i="9" s="1"/>
  <c r="BS133" i="6" s="1"/>
  <c r="BL104" i="9"/>
  <c r="BR24" i="9"/>
  <c r="BR47" i="9" s="1"/>
  <c r="BR48" i="9" s="1"/>
  <c r="BQ47" i="9"/>
  <c r="BQ48" i="9" s="1"/>
  <c r="BS49" i="9"/>
  <c r="BL103" i="9"/>
  <c r="BS47" i="9"/>
  <c r="BS46" i="9"/>
  <c r="BS45" i="9"/>
  <c r="BS44" i="9"/>
  <c r="BS43" i="9"/>
  <c r="BS42" i="9"/>
  <c r="BR86" i="6"/>
  <c r="BR105" i="6"/>
  <c r="BR103" i="6"/>
  <c r="BR100" i="6"/>
  <c r="BR98" i="6"/>
  <c r="BR96" i="6"/>
  <c r="BR94" i="6"/>
  <c r="BR92" i="6"/>
  <c r="BR90" i="6"/>
  <c r="BR88" i="6"/>
  <c r="BR87" i="6"/>
  <c r="BR85" i="6"/>
  <c r="BR104" i="6"/>
  <c r="BR102" i="6"/>
  <c r="BR101" i="6"/>
  <c r="BR99" i="6"/>
  <c r="BR97" i="6"/>
  <c r="BR95" i="6"/>
  <c r="BR93" i="6"/>
  <c r="BR91" i="6"/>
  <c r="BR89" i="6"/>
  <c r="BR84" i="6"/>
  <c r="BQ132" i="6"/>
  <c r="BQ131" i="6"/>
  <c r="BQ6" i="6" s="1"/>
  <c r="BN132" i="6"/>
  <c r="BN31" i="9" s="1"/>
  <c r="BN101" i="9" s="1"/>
  <c r="BN131" i="6"/>
  <c r="BN6" i="6" s="1"/>
  <c r="BN9" i="6" s="1"/>
  <c r="BT25" i="9"/>
  <c r="BM102" i="9"/>
  <c r="O12" i="9"/>
  <c r="Z77" i="9"/>
  <c r="Z65" i="11" s="1"/>
  <c r="I76" i="11"/>
  <c r="I73" i="11"/>
  <c r="I67" i="11"/>
  <c r="I72" i="11"/>
  <c r="I66" i="11"/>
  <c r="I70" i="11"/>
  <c r="I75" i="11"/>
  <c r="I69" i="11"/>
  <c r="I74" i="11"/>
  <c r="I68" i="11"/>
  <c r="I71" i="11"/>
  <c r="G71" i="6"/>
  <c r="AN53" i="9"/>
  <c r="BS122" i="6" l="1"/>
  <c r="BS114" i="6"/>
  <c r="BS106" i="6"/>
  <c r="BS125" i="6"/>
  <c r="BS117" i="6"/>
  <c r="BS109" i="6"/>
  <c r="BS127" i="6"/>
  <c r="BS116" i="6"/>
  <c r="BS126" i="6"/>
  <c r="BS115" i="6"/>
  <c r="BS124" i="6"/>
  <c r="BS113" i="6"/>
  <c r="BS129" i="6"/>
  <c r="BS119" i="6"/>
  <c r="BS108" i="6"/>
  <c r="BS120" i="6"/>
  <c r="BS118" i="6"/>
  <c r="BS111" i="6"/>
  <c r="BS112" i="6"/>
  <c r="BS123" i="6"/>
  <c r="BS121" i="6"/>
  <c r="BS110" i="6"/>
  <c r="BS128" i="6"/>
  <c r="BS107" i="6"/>
  <c r="BT28" i="9"/>
  <c r="BT30" i="9" s="1"/>
  <c r="BT133" i="6" s="1"/>
  <c r="BM103" i="9"/>
  <c r="BM104" i="9"/>
  <c r="BT49" i="9"/>
  <c r="BS48" i="9"/>
  <c r="BT47" i="9"/>
  <c r="BT46" i="9"/>
  <c r="BT45" i="9"/>
  <c r="BT44" i="9"/>
  <c r="BT43" i="9"/>
  <c r="BT42" i="9"/>
  <c r="BS104" i="6"/>
  <c r="BS102" i="6"/>
  <c r="BS101" i="6"/>
  <c r="BS99" i="6"/>
  <c r="BS97" i="6"/>
  <c r="BS95" i="6"/>
  <c r="BS93" i="6"/>
  <c r="BS91" i="6"/>
  <c r="BS89" i="6"/>
  <c r="BS84" i="6"/>
  <c r="BS105" i="6"/>
  <c r="BS100" i="6"/>
  <c r="BS96" i="6"/>
  <c r="BS94" i="6"/>
  <c r="BS90" i="6"/>
  <c r="BS88" i="6"/>
  <c r="BS103" i="6"/>
  <c r="BS98" i="6"/>
  <c r="BS92" i="6"/>
  <c r="BS85" i="6"/>
  <c r="BS86" i="6"/>
  <c r="BS87" i="6"/>
  <c r="BQ9" i="6"/>
  <c r="BR132" i="6"/>
  <c r="BR31" i="9" s="1"/>
  <c r="BR101" i="9" s="1"/>
  <c r="BR131" i="6"/>
  <c r="BR6" i="6" s="1"/>
  <c r="BR9" i="6" s="1"/>
  <c r="BQ31" i="9"/>
  <c r="BQ101" i="9" s="1"/>
  <c r="BW25" i="9"/>
  <c r="BN102" i="9"/>
  <c r="P12" i="9"/>
  <c r="R12" i="9" s="1"/>
  <c r="AA77" i="9"/>
  <c r="AA65" i="11" s="1"/>
  <c r="J73" i="11"/>
  <c r="J70" i="11"/>
  <c r="AT70" i="11" s="1"/>
  <c r="J75" i="11"/>
  <c r="AT75" i="11" s="1"/>
  <c r="J69" i="11"/>
  <c r="J74" i="11"/>
  <c r="AT74" i="11" s="1"/>
  <c r="J68" i="11"/>
  <c r="AT68" i="11" s="1"/>
  <c r="J66" i="11"/>
  <c r="AT66" i="11" s="1"/>
  <c r="J71" i="11"/>
  <c r="AT71" i="11" s="1"/>
  <c r="J76" i="11"/>
  <c r="AT76" i="11" s="1"/>
  <c r="J67" i="11"/>
  <c r="J72" i="11"/>
  <c r="H71" i="6"/>
  <c r="AO53" i="9"/>
  <c r="V7" i="9"/>
  <c r="Y11" i="13"/>
  <c r="Z11" i="13" s="1"/>
  <c r="AA11" i="13" s="1"/>
  <c r="AB11" i="13" s="1"/>
  <c r="AC11" i="13" s="1"/>
  <c r="AE11" i="13" s="1"/>
  <c r="AF11" i="13" s="1"/>
  <c r="F11" i="13"/>
  <c r="G11" i="13" s="1"/>
  <c r="H11" i="13" s="1"/>
  <c r="I11" i="13" s="1"/>
  <c r="J11" i="13" s="1"/>
  <c r="F27" i="12"/>
  <c r="F25" i="14" s="1"/>
  <c r="F14" i="12"/>
  <c r="G14" i="12" s="1"/>
  <c r="D29" i="12"/>
  <c r="D24" i="12"/>
  <c r="BH265" i="4"/>
  <c r="BG265" i="4"/>
  <c r="BF265" i="4"/>
  <c r="BE265" i="4"/>
  <c r="BD265" i="4"/>
  <c r="BB265" i="4"/>
  <c r="BA265" i="4"/>
  <c r="AZ265" i="4"/>
  <c r="AY265" i="4"/>
  <c r="AX265" i="4"/>
  <c r="AV265" i="4"/>
  <c r="AU265" i="4"/>
  <c r="AT265" i="4"/>
  <c r="AS265" i="4"/>
  <c r="AR265" i="4"/>
  <c r="BH264" i="4"/>
  <c r="BG264" i="4"/>
  <c r="BF264" i="4"/>
  <c r="BE264" i="4"/>
  <c r="BD264" i="4"/>
  <c r="BB264" i="4"/>
  <c r="BA264" i="4"/>
  <c r="AZ264" i="4"/>
  <c r="AY264" i="4"/>
  <c r="AX264" i="4"/>
  <c r="AV264" i="4"/>
  <c r="AU264" i="4"/>
  <c r="AT264" i="4"/>
  <c r="AS264" i="4"/>
  <c r="AR264" i="4"/>
  <c r="BH263" i="4"/>
  <c r="BG263" i="4"/>
  <c r="BF263" i="4"/>
  <c r="BE263" i="4"/>
  <c r="BD263" i="4"/>
  <c r="BB263" i="4"/>
  <c r="BA263" i="4"/>
  <c r="AZ263" i="4"/>
  <c r="AY263" i="4"/>
  <c r="AX263" i="4"/>
  <c r="AV263" i="4"/>
  <c r="AU263" i="4"/>
  <c r="AT263" i="4"/>
  <c r="AS263" i="4"/>
  <c r="AR263" i="4"/>
  <c r="BH262" i="4"/>
  <c r="BG262" i="4"/>
  <c r="BF262" i="4"/>
  <c r="BE262" i="4"/>
  <c r="BD262" i="4"/>
  <c r="BB262" i="4"/>
  <c r="BA262" i="4"/>
  <c r="AZ262" i="4"/>
  <c r="AY262" i="4"/>
  <c r="AX262" i="4"/>
  <c r="AV262" i="4"/>
  <c r="AU262" i="4"/>
  <c r="AT262" i="4"/>
  <c r="AS262" i="4"/>
  <c r="AR262" i="4"/>
  <c r="BH261" i="4"/>
  <c r="BG261" i="4"/>
  <c r="BF261" i="4"/>
  <c r="BE261" i="4"/>
  <c r="BD261" i="4"/>
  <c r="BB261" i="4"/>
  <c r="BA261" i="4"/>
  <c r="AZ261" i="4"/>
  <c r="AY261" i="4"/>
  <c r="AX261" i="4"/>
  <c r="AV261" i="4"/>
  <c r="AU261" i="4"/>
  <c r="AT261" i="4"/>
  <c r="AS261" i="4"/>
  <c r="AR261" i="4"/>
  <c r="BH260" i="4"/>
  <c r="BG260" i="4"/>
  <c r="BF260" i="4"/>
  <c r="BE260" i="4"/>
  <c r="BD260" i="4"/>
  <c r="BB260" i="4"/>
  <c r="BA260" i="4"/>
  <c r="AZ260" i="4"/>
  <c r="AY260" i="4"/>
  <c r="AX260" i="4"/>
  <c r="AV260" i="4"/>
  <c r="AU260" i="4"/>
  <c r="AT260" i="4"/>
  <c r="AS260" i="4"/>
  <c r="AR260" i="4"/>
  <c r="BH259" i="4"/>
  <c r="BG259" i="4"/>
  <c r="BF259" i="4"/>
  <c r="BE259" i="4"/>
  <c r="BD259" i="4"/>
  <c r="BB259" i="4"/>
  <c r="BA259" i="4"/>
  <c r="AZ259" i="4"/>
  <c r="AY259" i="4"/>
  <c r="AX259" i="4"/>
  <c r="AV259" i="4"/>
  <c r="AU259" i="4"/>
  <c r="AT259" i="4"/>
  <c r="AS259" i="4"/>
  <c r="AR259" i="4"/>
  <c r="BH258" i="4"/>
  <c r="BG258" i="4"/>
  <c r="BF258" i="4"/>
  <c r="BE258" i="4"/>
  <c r="BD258" i="4"/>
  <c r="BB258" i="4"/>
  <c r="BA258" i="4"/>
  <c r="AZ258" i="4"/>
  <c r="AY258" i="4"/>
  <c r="AX258" i="4"/>
  <c r="AV258" i="4"/>
  <c r="AU258" i="4"/>
  <c r="AT258" i="4"/>
  <c r="AS258" i="4"/>
  <c r="AR258" i="4"/>
  <c r="BH257" i="4"/>
  <c r="BG257" i="4"/>
  <c r="BF257" i="4"/>
  <c r="BE257" i="4"/>
  <c r="BD257" i="4"/>
  <c r="BB257" i="4"/>
  <c r="BA257" i="4"/>
  <c r="AZ257" i="4"/>
  <c r="AY257" i="4"/>
  <c r="AX257" i="4"/>
  <c r="AV257" i="4"/>
  <c r="AU257" i="4"/>
  <c r="AT257" i="4"/>
  <c r="AS257" i="4"/>
  <c r="AR257" i="4"/>
  <c r="BH256" i="4"/>
  <c r="BG256" i="4"/>
  <c r="BF256" i="4"/>
  <c r="BE256" i="4"/>
  <c r="BD256" i="4"/>
  <c r="BB256" i="4"/>
  <c r="BA256" i="4"/>
  <c r="AZ256" i="4"/>
  <c r="AY256" i="4"/>
  <c r="AX256" i="4"/>
  <c r="AV256" i="4"/>
  <c r="AU256" i="4"/>
  <c r="AT256" i="4"/>
  <c r="AS256" i="4"/>
  <c r="AR256" i="4"/>
  <c r="BH255" i="4"/>
  <c r="BG255" i="4"/>
  <c r="BF255" i="4"/>
  <c r="BE255" i="4"/>
  <c r="BD255" i="4"/>
  <c r="BB255" i="4"/>
  <c r="BA255" i="4"/>
  <c r="AZ255" i="4"/>
  <c r="AY255" i="4"/>
  <c r="AX255" i="4"/>
  <c r="AV255" i="4"/>
  <c r="AU255" i="4"/>
  <c r="AT255" i="4"/>
  <c r="AS255" i="4"/>
  <c r="AR255" i="4"/>
  <c r="BH254" i="4"/>
  <c r="BG254" i="4"/>
  <c r="BF254" i="4"/>
  <c r="BE254" i="4"/>
  <c r="BD254" i="4"/>
  <c r="BB254" i="4"/>
  <c r="BA254" i="4"/>
  <c r="AZ254" i="4"/>
  <c r="AY254" i="4"/>
  <c r="AX254" i="4"/>
  <c r="AV254" i="4"/>
  <c r="AU254" i="4"/>
  <c r="AT254" i="4"/>
  <c r="AS254" i="4"/>
  <c r="AR254" i="4"/>
  <c r="BH253" i="4"/>
  <c r="BG253" i="4"/>
  <c r="BF253" i="4"/>
  <c r="BE253" i="4"/>
  <c r="BD253" i="4"/>
  <c r="BB253" i="4"/>
  <c r="BA253" i="4"/>
  <c r="AZ253" i="4"/>
  <c r="AY253" i="4"/>
  <c r="AX253" i="4"/>
  <c r="AV253" i="4"/>
  <c r="AU253" i="4"/>
  <c r="AT253" i="4"/>
  <c r="AS253" i="4"/>
  <c r="AR253" i="4"/>
  <c r="BH252" i="4"/>
  <c r="BG252" i="4"/>
  <c r="BF252" i="4"/>
  <c r="BE252" i="4"/>
  <c r="BD252" i="4"/>
  <c r="BB252" i="4"/>
  <c r="BA252" i="4"/>
  <c r="AZ252" i="4"/>
  <c r="AY252" i="4"/>
  <c r="AX252" i="4"/>
  <c r="AV252" i="4"/>
  <c r="AU252" i="4"/>
  <c r="AT252" i="4"/>
  <c r="AS252" i="4"/>
  <c r="AR252" i="4"/>
  <c r="BH251" i="4"/>
  <c r="BG251" i="4"/>
  <c r="BF251" i="4"/>
  <c r="BE251" i="4"/>
  <c r="BD251" i="4"/>
  <c r="BB251" i="4"/>
  <c r="BA251" i="4"/>
  <c r="AZ251" i="4"/>
  <c r="AY251" i="4"/>
  <c r="AX251" i="4"/>
  <c r="AV251" i="4"/>
  <c r="AU251" i="4"/>
  <c r="AT251" i="4"/>
  <c r="AS251" i="4"/>
  <c r="AR251" i="4"/>
  <c r="BH103" i="4"/>
  <c r="BG103" i="4"/>
  <c r="BF103" i="4"/>
  <c r="BE103" i="4"/>
  <c r="BD103" i="4"/>
  <c r="BB103" i="4"/>
  <c r="BA103" i="4"/>
  <c r="AZ103" i="4"/>
  <c r="AY103" i="4"/>
  <c r="AX103" i="4"/>
  <c r="AV103" i="4"/>
  <c r="AU103" i="4"/>
  <c r="AT103" i="4"/>
  <c r="AS103" i="4"/>
  <c r="AR103" i="4"/>
  <c r="BH102" i="4"/>
  <c r="BG102" i="4"/>
  <c r="BF102" i="4"/>
  <c r="BE102" i="4"/>
  <c r="BD102" i="4"/>
  <c r="BB102" i="4"/>
  <c r="BA102" i="4"/>
  <c r="AZ102" i="4"/>
  <c r="AY102" i="4"/>
  <c r="AX102" i="4"/>
  <c r="AV102" i="4"/>
  <c r="AU102" i="4"/>
  <c r="AT102" i="4"/>
  <c r="AS102" i="4"/>
  <c r="AR102" i="4"/>
  <c r="BH88" i="4"/>
  <c r="BG88" i="4"/>
  <c r="BF88" i="4"/>
  <c r="BE88" i="4"/>
  <c r="BD88" i="4"/>
  <c r="BB88" i="4"/>
  <c r="BA88" i="4"/>
  <c r="AZ88" i="4"/>
  <c r="AY88" i="4"/>
  <c r="AX88" i="4"/>
  <c r="AV88" i="4"/>
  <c r="AU88" i="4"/>
  <c r="AT88" i="4"/>
  <c r="AS88" i="4"/>
  <c r="AR88" i="4"/>
  <c r="BH83" i="4"/>
  <c r="BG83" i="4"/>
  <c r="BF83" i="4"/>
  <c r="BE83" i="4"/>
  <c r="BD83" i="4"/>
  <c r="BB83" i="4"/>
  <c r="BA83" i="4"/>
  <c r="AZ83" i="4"/>
  <c r="AY83" i="4"/>
  <c r="AX83" i="4"/>
  <c r="AV83" i="4"/>
  <c r="AU83" i="4"/>
  <c r="AT83" i="4"/>
  <c r="AS83" i="4"/>
  <c r="AR83" i="4"/>
  <c r="BH82" i="4"/>
  <c r="BG82" i="4"/>
  <c r="BF82" i="4"/>
  <c r="BE82" i="4"/>
  <c r="BD82" i="4"/>
  <c r="BB82" i="4"/>
  <c r="BA82" i="4"/>
  <c r="AZ82" i="4"/>
  <c r="AY82" i="4"/>
  <c r="AX82" i="4"/>
  <c r="AV82" i="4"/>
  <c r="AU82" i="4"/>
  <c r="AT82" i="4"/>
  <c r="AS82" i="4"/>
  <c r="AR82" i="4"/>
  <c r="AV80" i="4"/>
  <c r="AU80" i="4"/>
  <c r="AT80" i="4"/>
  <c r="AS80" i="4"/>
  <c r="AR80" i="4"/>
  <c r="AP80" i="4"/>
  <c r="AO80" i="4"/>
  <c r="AN80" i="4"/>
  <c r="AM80" i="4"/>
  <c r="AL80" i="4"/>
  <c r="AK80" i="4"/>
  <c r="AJ80" i="4"/>
  <c r="AI80" i="4"/>
  <c r="AH80" i="4"/>
  <c r="AG80" i="4"/>
  <c r="AF80" i="4"/>
  <c r="AE80" i="4"/>
  <c r="AC80" i="4"/>
  <c r="AB80" i="4"/>
  <c r="AA80" i="4"/>
  <c r="BA80" i="4"/>
  <c r="AZ80" i="4"/>
  <c r="AY80" i="4"/>
  <c r="AF56" i="7"/>
  <c r="S56" i="7"/>
  <c r="BT122" i="6" l="1"/>
  <c r="BT114" i="6"/>
  <c r="BP114" i="6" s="1"/>
  <c r="BT106" i="6"/>
  <c r="BP106" i="6" s="1"/>
  <c r="BT125" i="6"/>
  <c r="BP125" i="6" s="1"/>
  <c r="BT117" i="6"/>
  <c r="BP117" i="6" s="1"/>
  <c r="BT109" i="6"/>
  <c r="BP109" i="6" s="1"/>
  <c r="BT124" i="6"/>
  <c r="BT113" i="6"/>
  <c r="BP113" i="6" s="1"/>
  <c r="BT123" i="6"/>
  <c r="BP123" i="6" s="1"/>
  <c r="BT112" i="6"/>
  <c r="BP112" i="6" s="1"/>
  <c r="BT121" i="6"/>
  <c r="BP121" i="6" s="1"/>
  <c r="BT111" i="6"/>
  <c r="BP111" i="6" s="1"/>
  <c r="BT127" i="6"/>
  <c r="BP127" i="6" s="1"/>
  <c r="BT116" i="6"/>
  <c r="BP116" i="6" s="1"/>
  <c r="BT118" i="6"/>
  <c r="BP118" i="6" s="1"/>
  <c r="BT115" i="6"/>
  <c r="BP115" i="6" s="1"/>
  <c r="BT129" i="6"/>
  <c r="BP129" i="6" s="1"/>
  <c r="BT108" i="6"/>
  <c r="BT110" i="6"/>
  <c r="BP110" i="6" s="1"/>
  <c r="BT120" i="6"/>
  <c r="BP120" i="6" s="1"/>
  <c r="BT119" i="6"/>
  <c r="BP119" i="6" s="1"/>
  <c r="BT128" i="6"/>
  <c r="BP128" i="6" s="1"/>
  <c r="BT107" i="6"/>
  <c r="BP107" i="6" s="1"/>
  <c r="BT126" i="6"/>
  <c r="BP126" i="6" s="1"/>
  <c r="BP122" i="6"/>
  <c r="BP108" i="6"/>
  <c r="BP124" i="6"/>
  <c r="AG56" i="7"/>
  <c r="AG65" i="7" s="1"/>
  <c r="AF65" i="7"/>
  <c r="T56" i="7"/>
  <c r="T65" i="7" s="1"/>
  <c r="S65" i="7"/>
  <c r="BW28" i="9"/>
  <c r="BW30" i="9" s="1"/>
  <c r="BN103" i="9"/>
  <c r="BN104" i="9"/>
  <c r="BW49" i="9"/>
  <c r="BW47" i="9"/>
  <c r="BW46" i="9"/>
  <c r="BW45" i="9"/>
  <c r="BW44" i="9"/>
  <c r="BW43" i="9"/>
  <c r="BW42" i="9"/>
  <c r="BT48" i="9"/>
  <c r="BT86" i="6"/>
  <c r="BP86" i="6" s="1"/>
  <c r="BT104" i="6"/>
  <c r="BP104" i="6" s="1"/>
  <c r="BT102" i="6"/>
  <c r="BP102" i="6" s="1"/>
  <c r="BT101" i="6"/>
  <c r="BP101" i="6" s="1"/>
  <c r="BT99" i="6"/>
  <c r="BP99" i="6" s="1"/>
  <c r="BT97" i="6"/>
  <c r="BP97" i="6" s="1"/>
  <c r="BT95" i="6"/>
  <c r="BP95" i="6" s="1"/>
  <c r="BT93" i="6"/>
  <c r="BP93" i="6" s="1"/>
  <c r="BT91" i="6"/>
  <c r="BP91" i="6" s="1"/>
  <c r="BT89" i="6"/>
  <c r="BP89" i="6" s="1"/>
  <c r="BT84" i="6"/>
  <c r="BT105" i="6"/>
  <c r="BP105" i="6" s="1"/>
  <c r="BT103" i="6"/>
  <c r="BP103" i="6" s="1"/>
  <c r="BT100" i="6"/>
  <c r="BP100" i="6" s="1"/>
  <c r="BT98" i="6"/>
  <c r="BP98" i="6" s="1"/>
  <c r="BT96" i="6"/>
  <c r="BP96" i="6" s="1"/>
  <c r="BT94" i="6"/>
  <c r="BP94" i="6" s="1"/>
  <c r="BT92" i="6"/>
  <c r="BP92" i="6" s="1"/>
  <c r="BT90" i="6"/>
  <c r="BP90" i="6" s="1"/>
  <c r="BT88" i="6"/>
  <c r="BP88" i="6" s="1"/>
  <c r="BT87" i="6"/>
  <c r="BP87" i="6" s="1"/>
  <c r="BT85" i="6"/>
  <c r="BP85" i="6" s="1"/>
  <c r="BS132" i="6"/>
  <c r="BS31" i="9" s="1"/>
  <c r="BS101" i="9" s="1"/>
  <c r="BS131" i="6"/>
  <c r="BS6" i="6" s="1"/>
  <c r="BS9" i="6" s="1"/>
  <c r="BX25" i="9"/>
  <c r="D30" i="12"/>
  <c r="D17" i="12" s="1"/>
  <c r="BV49" i="9"/>
  <c r="BQ102" i="9"/>
  <c r="BQ104" i="9" s="1"/>
  <c r="BH80" i="4"/>
  <c r="BG80" i="4"/>
  <c r="S12" i="9"/>
  <c r="T12" i="9" s="1"/>
  <c r="AT67" i="11"/>
  <c r="AT69" i="11"/>
  <c r="AT72" i="11"/>
  <c r="AT73" i="11"/>
  <c r="BE80" i="4"/>
  <c r="BB80" i="4"/>
  <c r="BF80" i="4"/>
  <c r="AB77" i="9"/>
  <c r="AB65" i="11" s="1"/>
  <c r="K74" i="11"/>
  <c r="K67" i="11"/>
  <c r="K72" i="11"/>
  <c r="K66" i="11"/>
  <c r="K76" i="11"/>
  <c r="K70" i="11"/>
  <c r="K75" i="11"/>
  <c r="K71" i="11"/>
  <c r="K69" i="11"/>
  <c r="K68" i="11"/>
  <c r="K73" i="11"/>
  <c r="BD80" i="4"/>
  <c r="AX80" i="4"/>
  <c r="G27" i="12"/>
  <c r="F14" i="14"/>
  <c r="G14" i="14"/>
  <c r="H14" i="12"/>
  <c r="H14" i="14" s="1"/>
  <c r="F27" i="14"/>
  <c r="I71" i="6"/>
  <c r="AP53" i="9"/>
  <c r="BK53" i="9" s="1"/>
  <c r="BL53" i="9" s="1"/>
  <c r="AG11" i="13"/>
  <c r="K11" i="13"/>
  <c r="F1" i="8"/>
  <c r="G1" i="8" s="1"/>
  <c r="H1" i="8" s="1"/>
  <c r="I1" i="8" s="1"/>
  <c r="J1" i="8" s="1"/>
  <c r="K1" i="8" s="1"/>
  <c r="L1" i="8" s="1"/>
  <c r="M1" i="8" s="1"/>
  <c r="N1" i="8" s="1"/>
  <c r="O1" i="8" s="1"/>
  <c r="P1" i="8" s="1"/>
  <c r="R1" i="8" s="1"/>
  <c r="S1" i="8" s="1"/>
  <c r="T1" i="8" s="1"/>
  <c r="U1" i="8" s="1"/>
  <c r="V1" i="8" s="1"/>
  <c r="W1" i="8" s="1"/>
  <c r="X1" i="8" s="1"/>
  <c r="Y1" i="8" s="1"/>
  <c r="Z1" i="8" s="1"/>
  <c r="AA1" i="8" s="1"/>
  <c r="AB1" i="8" s="1"/>
  <c r="AC1" i="8" s="1"/>
  <c r="AE1" i="8" s="1"/>
  <c r="AF1" i="8" s="1"/>
  <c r="AG1" i="8" s="1"/>
  <c r="AH1" i="8" s="1"/>
  <c r="AI1" i="8" s="1"/>
  <c r="AJ1" i="8" s="1"/>
  <c r="AK1" i="8" s="1"/>
  <c r="AL1" i="8" s="1"/>
  <c r="AM1" i="8" s="1"/>
  <c r="AN1" i="8" s="1"/>
  <c r="AO1" i="8" s="1"/>
  <c r="AP1" i="8" s="1"/>
  <c r="AH56" i="7" l="1"/>
  <c r="AI56" i="7" s="1"/>
  <c r="U56" i="7"/>
  <c r="V56" i="7" s="1"/>
  <c r="U65" i="7"/>
  <c r="BX28" i="9"/>
  <c r="BX30" i="9" s="1"/>
  <c r="BX49" i="9"/>
  <c r="BW48" i="9"/>
  <c r="BX47" i="9"/>
  <c r="BX46" i="9"/>
  <c r="BX45" i="9"/>
  <c r="BX44" i="9"/>
  <c r="BX43" i="9"/>
  <c r="BX42" i="9"/>
  <c r="BT132" i="6"/>
  <c r="BT31" i="9" s="1"/>
  <c r="BT101" i="9" s="1"/>
  <c r="BP101" i="9" s="1"/>
  <c r="BT131" i="6"/>
  <c r="BT6" i="6" s="1"/>
  <c r="BP84" i="6"/>
  <c r="BP131" i="6" s="1"/>
  <c r="BW133" i="6"/>
  <c r="BY25" i="9"/>
  <c r="BM53" i="9"/>
  <c r="BL54" i="9"/>
  <c r="BQ103" i="9"/>
  <c r="BW102" i="9"/>
  <c r="BR102" i="9"/>
  <c r="AT78" i="11"/>
  <c r="AB76" i="11"/>
  <c r="AB70" i="11"/>
  <c r="AB75" i="11"/>
  <c r="AB72" i="11"/>
  <c r="AB68" i="11"/>
  <c r="AB74" i="11"/>
  <c r="AB69" i="11"/>
  <c r="AB67" i="11"/>
  <c r="AB73" i="11"/>
  <c r="AB66" i="11"/>
  <c r="AB71" i="11"/>
  <c r="AC77" i="9"/>
  <c r="L75" i="11"/>
  <c r="L69" i="11"/>
  <c r="L74" i="11"/>
  <c r="L73" i="11"/>
  <c r="L67" i="11"/>
  <c r="L66" i="11"/>
  <c r="L68" i="11"/>
  <c r="L76" i="11"/>
  <c r="L70" i="11"/>
  <c r="L72" i="11"/>
  <c r="L71" i="11"/>
  <c r="G25" i="14"/>
  <c r="H27" i="12"/>
  <c r="I14" i="12"/>
  <c r="I14" i="14" s="1"/>
  <c r="AS14" i="14"/>
  <c r="J71" i="6"/>
  <c r="U12" i="9"/>
  <c r="V12" i="9" s="1"/>
  <c r="W12" i="9" s="1"/>
  <c r="AO11" i="13"/>
  <c r="AH11" i="13"/>
  <c r="L11" i="13"/>
  <c r="AP59" i="8"/>
  <c r="AO59" i="8"/>
  <c r="AI59" i="8"/>
  <c r="AH59" i="8"/>
  <c r="AG59" i="8"/>
  <c r="Z59" i="8"/>
  <c r="Y59" i="8"/>
  <c r="X59" i="8"/>
  <c r="R59" i="8"/>
  <c r="E68" i="8"/>
  <c r="E67" i="8"/>
  <c r="F67" i="8" s="1"/>
  <c r="G67" i="8" s="1"/>
  <c r="E66" i="8"/>
  <c r="E65" i="8"/>
  <c r="E63" i="8"/>
  <c r="AP197" i="5"/>
  <c r="AP20" i="5" s="1"/>
  <c r="AO197" i="5"/>
  <c r="AO20" i="5" s="1"/>
  <c r="AN197" i="5"/>
  <c r="AN20" i="5" s="1"/>
  <c r="AM197" i="5"/>
  <c r="AM20" i="5" s="1"/>
  <c r="AL197" i="5"/>
  <c r="AL20" i="5" s="1"/>
  <c r="AK197" i="5"/>
  <c r="AK20" i="5" s="1"/>
  <c r="AJ197" i="5"/>
  <c r="AJ20" i="5" s="1"/>
  <c r="AI197" i="5"/>
  <c r="AI20" i="5" s="1"/>
  <c r="AH197" i="5"/>
  <c r="AH20" i="5" s="1"/>
  <c r="AG197" i="5"/>
  <c r="AG20" i="5" s="1"/>
  <c r="AF197" i="5"/>
  <c r="AF20" i="5" s="1"/>
  <c r="AE197" i="5"/>
  <c r="AE20" i="5" s="1"/>
  <c r="AC197" i="5"/>
  <c r="AC20" i="5" s="1"/>
  <c r="AB197" i="5"/>
  <c r="AB20" i="5" s="1"/>
  <c r="AA197" i="5"/>
  <c r="AA20" i="5" s="1"/>
  <c r="Z197" i="5"/>
  <c r="Z20" i="5" s="1"/>
  <c r="Y197" i="5"/>
  <c r="Y20" i="5" s="1"/>
  <c r="X197" i="5"/>
  <c r="X20" i="5" s="1"/>
  <c r="W197" i="5"/>
  <c r="W20" i="5" s="1"/>
  <c r="V197" i="5"/>
  <c r="V20" i="5" s="1"/>
  <c r="U197" i="5"/>
  <c r="U20" i="5" s="1"/>
  <c r="T197" i="5"/>
  <c r="T20" i="5" s="1"/>
  <c r="S197" i="5"/>
  <c r="S20" i="5" s="1"/>
  <c r="R197" i="5"/>
  <c r="R20" i="5" s="1"/>
  <c r="P197" i="5"/>
  <c r="P20" i="5" s="1"/>
  <c r="O197" i="5"/>
  <c r="O20" i="5" s="1"/>
  <c r="N197" i="5"/>
  <c r="N20" i="5" s="1"/>
  <c r="M197" i="5"/>
  <c r="M20" i="5" s="1"/>
  <c r="L197" i="5"/>
  <c r="L20" i="5" s="1"/>
  <c r="K197" i="5"/>
  <c r="K20" i="5" s="1"/>
  <c r="J197" i="5"/>
  <c r="J20" i="5" s="1"/>
  <c r="I197" i="5"/>
  <c r="I20" i="5" s="1"/>
  <c r="H197" i="5"/>
  <c r="H20" i="5" s="1"/>
  <c r="G197" i="5"/>
  <c r="G20" i="5" s="1"/>
  <c r="F197" i="5"/>
  <c r="F20" i="5" s="1"/>
  <c r="E197" i="5"/>
  <c r="E20" i="5" s="1"/>
  <c r="N92" i="11"/>
  <c r="I92" i="11"/>
  <c r="F92" i="11"/>
  <c r="M91" i="11"/>
  <c r="J91" i="11"/>
  <c r="E91" i="11"/>
  <c r="N90" i="11"/>
  <c r="I90" i="11"/>
  <c r="F90" i="11"/>
  <c r="M89" i="11"/>
  <c r="J89" i="11"/>
  <c r="E89" i="11"/>
  <c r="N88" i="11"/>
  <c r="I88" i="11"/>
  <c r="F88" i="11"/>
  <c r="M87" i="11"/>
  <c r="J87" i="11"/>
  <c r="E87" i="11"/>
  <c r="N86" i="11"/>
  <c r="I86" i="11"/>
  <c r="F86" i="11"/>
  <c r="M85" i="11"/>
  <c r="J85" i="11"/>
  <c r="E85" i="11"/>
  <c r="N84" i="11"/>
  <c r="I84" i="11"/>
  <c r="F84" i="11"/>
  <c r="P83" i="11"/>
  <c r="O83" i="11"/>
  <c r="N83" i="11"/>
  <c r="M83" i="11"/>
  <c r="L83" i="11"/>
  <c r="K83" i="11"/>
  <c r="J83" i="11"/>
  <c r="I83" i="11"/>
  <c r="H83" i="11"/>
  <c r="G83" i="11"/>
  <c r="F83" i="11"/>
  <c r="E83" i="11"/>
  <c r="B75" i="11"/>
  <c r="B74" i="11"/>
  <c r="B73" i="11"/>
  <c r="B72" i="11"/>
  <c r="B71" i="11"/>
  <c r="B70" i="11"/>
  <c r="B69" i="11"/>
  <c r="B68" i="11"/>
  <c r="B67" i="11"/>
  <c r="B66" i="11"/>
  <c r="P58" i="11"/>
  <c r="O58" i="11"/>
  <c r="N58" i="11"/>
  <c r="M58" i="11"/>
  <c r="L58" i="11"/>
  <c r="K58" i="11"/>
  <c r="J58" i="11"/>
  <c r="I58" i="11"/>
  <c r="H58" i="11"/>
  <c r="G58" i="11"/>
  <c r="F58" i="11"/>
  <c r="E58" i="11"/>
  <c r="P57" i="11"/>
  <c r="O57" i="11"/>
  <c r="N57" i="11"/>
  <c r="M57" i="11"/>
  <c r="L57" i="11"/>
  <c r="K57" i="11"/>
  <c r="J57" i="11"/>
  <c r="I57" i="11"/>
  <c r="H57" i="11"/>
  <c r="G57" i="11"/>
  <c r="F57" i="11"/>
  <c r="E57" i="11"/>
  <c r="P56" i="11"/>
  <c r="O56" i="11"/>
  <c r="N56" i="11"/>
  <c r="M56" i="11"/>
  <c r="L56" i="11"/>
  <c r="K56" i="11"/>
  <c r="J56" i="11"/>
  <c r="I56" i="11"/>
  <c r="H56" i="11"/>
  <c r="G56" i="11"/>
  <c r="F56" i="11"/>
  <c r="E56" i="11"/>
  <c r="P55" i="11"/>
  <c r="O55" i="11"/>
  <c r="N55" i="11"/>
  <c r="M55" i="11"/>
  <c r="L55" i="11"/>
  <c r="K55" i="11"/>
  <c r="J55" i="11"/>
  <c r="I55" i="11"/>
  <c r="H55" i="11"/>
  <c r="G55" i="11"/>
  <c r="F55" i="11"/>
  <c r="E55" i="11"/>
  <c r="P54" i="11"/>
  <c r="O54" i="11"/>
  <c r="N54" i="11"/>
  <c r="M54" i="11"/>
  <c r="L54" i="11"/>
  <c r="K54" i="11"/>
  <c r="J54" i="11"/>
  <c r="I54" i="11"/>
  <c r="H54" i="11"/>
  <c r="G54" i="11"/>
  <c r="F54" i="11"/>
  <c r="E54" i="11"/>
  <c r="P53" i="11"/>
  <c r="O53" i="11"/>
  <c r="N53" i="11"/>
  <c r="M53" i="11"/>
  <c r="L53" i="11"/>
  <c r="K53" i="11"/>
  <c r="J53" i="11"/>
  <c r="I53" i="11"/>
  <c r="H53" i="11"/>
  <c r="G53" i="11"/>
  <c r="F53" i="11"/>
  <c r="E53" i="11"/>
  <c r="P52" i="11"/>
  <c r="O52" i="11"/>
  <c r="N52" i="11"/>
  <c r="M52" i="11"/>
  <c r="L52" i="11"/>
  <c r="K52" i="11"/>
  <c r="J52" i="11"/>
  <c r="I52" i="11"/>
  <c r="H52" i="11"/>
  <c r="G52" i="11"/>
  <c r="F52" i="11"/>
  <c r="E52" i="11"/>
  <c r="P51" i="11"/>
  <c r="O51" i="11"/>
  <c r="N51" i="11"/>
  <c r="M51" i="11"/>
  <c r="L51" i="11"/>
  <c r="K51" i="11"/>
  <c r="J51" i="11"/>
  <c r="I51" i="11"/>
  <c r="H51" i="11"/>
  <c r="G51" i="11"/>
  <c r="F51" i="11"/>
  <c r="E51" i="11"/>
  <c r="P49" i="11"/>
  <c r="O49" i="11"/>
  <c r="N49" i="11"/>
  <c r="M49" i="11"/>
  <c r="L49" i="11"/>
  <c r="K49" i="11"/>
  <c r="J49" i="11"/>
  <c r="I49" i="11"/>
  <c r="H49" i="11"/>
  <c r="G49" i="11"/>
  <c r="F49" i="11"/>
  <c r="E49" i="11"/>
  <c r="P44" i="11"/>
  <c r="O44" i="11"/>
  <c r="N44" i="11"/>
  <c r="M44" i="11"/>
  <c r="L44" i="11"/>
  <c r="K44" i="11"/>
  <c r="J44" i="11"/>
  <c r="I44" i="11"/>
  <c r="H44" i="11"/>
  <c r="G44" i="11"/>
  <c r="F44" i="11"/>
  <c r="E44" i="11"/>
  <c r="P43" i="11"/>
  <c r="O43" i="11"/>
  <c r="N43" i="11"/>
  <c r="M43" i="11"/>
  <c r="L43" i="11"/>
  <c r="K43" i="11"/>
  <c r="J43" i="11"/>
  <c r="I43" i="11"/>
  <c r="H43" i="11"/>
  <c r="G43" i="11"/>
  <c r="F43" i="11"/>
  <c r="E43" i="11"/>
  <c r="P42" i="11"/>
  <c r="O42" i="11"/>
  <c r="N42" i="11"/>
  <c r="M42" i="11"/>
  <c r="L42" i="11"/>
  <c r="K42" i="11"/>
  <c r="J42" i="11"/>
  <c r="I42" i="11"/>
  <c r="H42" i="11"/>
  <c r="G42" i="11"/>
  <c r="F42" i="11"/>
  <c r="E42" i="11"/>
  <c r="P41" i="11"/>
  <c r="O41" i="11"/>
  <c r="N41" i="11"/>
  <c r="M41" i="11"/>
  <c r="L41" i="11"/>
  <c r="K41" i="11"/>
  <c r="J41" i="11"/>
  <c r="I41" i="11"/>
  <c r="H41" i="11"/>
  <c r="G41" i="11"/>
  <c r="F41" i="11"/>
  <c r="E41" i="11"/>
  <c r="P40" i="11"/>
  <c r="O40" i="11"/>
  <c r="N40" i="11"/>
  <c r="M40" i="11"/>
  <c r="L40" i="11"/>
  <c r="K40" i="11"/>
  <c r="J40" i="11"/>
  <c r="I40" i="11"/>
  <c r="H40" i="11"/>
  <c r="G40" i="11"/>
  <c r="F40" i="11"/>
  <c r="E40" i="11"/>
  <c r="P39" i="11"/>
  <c r="O39" i="11"/>
  <c r="N39" i="11"/>
  <c r="M39" i="11"/>
  <c r="L39" i="11"/>
  <c r="K39" i="11"/>
  <c r="J39" i="11"/>
  <c r="I39" i="11"/>
  <c r="H39" i="11"/>
  <c r="G39" i="11"/>
  <c r="F39" i="11"/>
  <c r="E39" i="11"/>
  <c r="P38" i="11"/>
  <c r="O38" i="11"/>
  <c r="N38" i="11"/>
  <c r="M38" i="11"/>
  <c r="L38" i="11"/>
  <c r="K38" i="11"/>
  <c r="J38" i="11"/>
  <c r="I38" i="11"/>
  <c r="H38" i="11"/>
  <c r="G38" i="11"/>
  <c r="F38" i="11"/>
  <c r="E38" i="11"/>
  <c r="P37" i="11"/>
  <c r="O37" i="11"/>
  <c r="N37" i="11"/>
  <c r="M37" i="11"/>
  <c r="L37" i="11"/>
  <c r="K37" i="11"/>
  <c r="J37" i="11"/>
  <c r="I37" i="11"/>
  <c r="H37" i="11"/>
  <c r="G37" i="11"/>
  <c r="F37" i="11"/>
  <c r="E37" i="11"/>
  <c r="P36" i="11"/>
  <c r="O36" i="11"/>
  <c r="N36" i="11"/>
  <c r="M36" i="11"/>
  <c r="L36" i="11"/>
  <c r="K36" i="11"/>
  <c r="J36" i="11"/>
  <c r="I36" i="11"/>
  <c r="H36" i="11"/>
  <c r="G36" i="11"/>
  <c r="F36" i="11"/>
  <c r="E36" i="11"/>
  <c r="P35" i="11"/>
  <c r="O35" i="11"/>
  <c r="N35" i="11"/>
  <c r="M35" i="11"/>
  <c r="L35" i="11"/>
  <c r="K35" i="11"/>
  <c r="J35" i="11"/>
  <c r="I35" i="11"/>
  <c r="H35" i="11"/>
  <c r="G35" i="11"/>
  <c r="F35" i="11"/>
  <c r="E35" i="11"/>
  <c r="P32" i="11"/>
  <c r="P19" i="9" s="1"/>
  <c r="O20" i="9" s="1"/>
  <c r="O32" i="11"/>
  <c r="O19" i="9" s="1"/>
  <c r="N20" i="9" s="1"/>
  <c r="N32" i="11"/>
  <c r="N19" i="9" s="1"/>
  <c r="M32" i="11"/>
  <c r="M19" i="9" s="1"/>
  <c r="L20" i="9" s="1"/>
  <c r="L32" i="11"/>
  <c r="L19" i="9" s="1"/>
  <c r="K20" i="9" s="1"/>
  <c r="K32" i="11"/>
  <c r="K19" i="9" s="1"/>
  <c r="J32" i="11"/>
  <c r="J19" i="9" s="1"/>
  <c r="I32" i="11"/>
  <c r="I19" i="9" s="1"/>
  <c r="H32" i="11"/>
  <c r="H19" i="9" s="1"/>
  <c r="G32" i="11"/>
  <c r="G19" i="9" s="1"/>
  <c r="F20" i="9" s="1"/>
  <c r="F32" i="11"/>
  <c r="F19" i="9" s="1"/>
  <c r="E20" i="9" s="1"/>
  <c r="E32" i="11"/>
  <c r="E19" i="9" s="1"/>
  <c r="P18" i="11"/>
  <c r="P10" i="9" s="1"/>
  <c r="O18" i="11"/>
  <c r="O10" i="9" s="1"/>
  <c r="N18" i="11"/>
  <c r="N10" i="9" s="1"/>
  <c r="M18" i="11"/>
  <c r="M10" i="9" s="1"/>
  <c r="L11" i="9" s="1"/>
  <c r="L18" i="11"/>
  <c r="L10" i="9" s="1"/>
  <c r="K11" i="9" s="1"/>
  <c r="K18" i="11"/>
  <c r="K10" i="9" s="1"/>
  <c r="J11" i="9" s="1"/>
  <c r="J18" i="11"/>
  <c r="J10" i="9" s="1"/>
  <c r="I18" i="11"/>
  <c r="I10" i="9" s="1"/>
  <c r="H18" i="11"/>
  <c r="H10" i="9" s="1"/>
  <c r="G18" i="11"/>
  <c r="G10" i="9" s="1"/>
  <c r="F11" i="9" s="1"/>
  <c r="F18" i="11"/>
  <c r="F10" i="9" s="1"/>
  <c r="E11" i="9" s="1"/>
  <c r="E18" i="11"/>
  <c r="E10" i="9" s="1"/>
  <c r="AH65" i="7" l="1"/>
  <c r="I46" i="11"/>
  <c r="BW122" i="6"/>
  <c r="BW114" i="6"/>
  <c r="BW106" i="6"/>
  <c r="BW125" i="6"/>
  <c r="BW117" i="6"/>
  <c r="BW109" i="6"/>
  <c r="BW121" i="6"/>
  <c r="BW111" i="6"/>
  <c r="BW120" i="6"/>
  <c r="BW110" i="6"/>
  <c r="BW129" i="6"/>
  <c r="BW119" i="6"/>
  <c r="BW108" i="6"/>
  <c r="BW124" i="6"/>
  <c r="BW113" i="6"/>
  <c r="BW115" i="6"/>
  <c r="BW112" i="6"/>
  <c r="BW127" i="6"/>
  <c r="BW128" i="6"/>
  <c r="BW107" i="6"/>
  <c r="BW118" i="6"/>
  <c r="BW116" i="6"/>
  <c r="BW126" i="6"/>
  <c r="BW123" i="6"/>
  <c r="P46" i="11"/>
  <c r="AU37" i="11"/>
  <c r="AU39" i="11"/>
  <c r="AU41" i="11"/>
  <c r="AU43" i="11"/>
  <c r="AU54" i="11"/>
  <c r="AU56" i="11"/>
  <c r="AU58" i="11"/>
  <c r="AU52" i="11"/>
  <c r="AT37" i="11"/>
  <c r="AU49" i="11"/>
  <c r="AJ56" i="7"/>
  <c r="BF56" i="7" s="1"/>
  <c r="AI65" i="7"/>
  <c r="W56" i="7"/>
  <c r="V65" i="7"/>
  <c r="AT39" i="11"/>
  <c r="AT41" i="11"/>
  <c r="AT43" i="11"/>
  <c r="AT49" i="11"/>
  <c r="BY28" i="9"/>
  <c r="BY30" i="9" s="1"/>
  <c r="BR103" i="9"/>
  <c r="BR104" i="9"/>
  <c r="AT52" i="11"/>
  <c r="AT54" i="11"/>
  <c r="AT56" i="11"/>
  <c r="AT58" i="11"/>
  <c r="BY49" i="9"/>
  <c r="BX48" i="9"/>
  <c r="BY47" i="9"/>
  <c r="BY46" i="9"/>
  <c r="BY45" i="9"/>
  <c r="BY44" i="9"/>
  <c r="BY43" i="9"/>
  <c r="BY42" i="9"/>
  <c r="BW105" i="6"/>
  <c r="BW103" i="6"/>
  <c r="BW100" i="6"/>
  <c r="BW98" i="6"/>
  <c r="BW96" i="6"/>
  <c r="BW94" i="6"/>
  <c r="BW92" i="6"/>
  <c r="BW90" i="6"/>
  <c r="BW88" i="6"/>
  <c r="BW87" i="6"/>
  <c r="BW85" i="6"/>
  <c r="BW99" i="6"/>
  <c r="BW95" i="6"/>
  <c r="BW93" i="6"/>
  <c r="BW89" i="6"/>
  <c r="BW86" i="6"/>
  <c r="BW104" i="6"/>
  <c r="BW102" i="6"/>
  <c r="BW101" i="6"/>
  <c r="BW97" i="6"/>
  <c r="BW91" i="6"/>
  <c r="BW84" i="6"/>
  <c r="BT9" i="6"/>
  <c r="BP6" i="6"/>
  <c r="BP9" i="6" s="1"/>
  <c r="BP132" i="6"/>
  <c r="BP154" i="6" s="1"/>
  <c r="BQ50" i="9" s="1"/>
  <c r="BP157" i="6"/>
  <c r="BX133" i="6"/>
  <c r="BZ25" i="9"/>
  <c r="AU83" i="11"/>
  <c r="AJ59" i="8"/>
  <c r="AA59" i="8"/>
  <c r="S59" i="8"/>
  <c r="F46" i="11"/>
  <c r="F6" i="10" s="1"/>
  <c r="V59" i="8"/>
  <c r="AE59" i="8"/>
  <c r="AM59" i="8"/>
  <c r="AS40" i="11"/>
  <c r="AR40" i="11"/>
  <c r="AS42" i="11"/>
  <c r="AR42" i="11"/>
  <c r="AR53" i="11"/>
  <c r="AS53" i="11"/>
  <c r="BX102" i="9"/>
  <c r="J46" i="11"/>
  <c r="J79" i="11" s="1"/>
  <c r="AV36" i="11"/>
  <c r="AV38" i="11"/>
  <c r="AV40" i="11"/>
  <c r="AV42" i="11"/>
  <c r="AV44" i="11"/>
  <c r="AV51" i="11"/>
  <c r="AV53" i="11"/>
  <c r="AV55" i="11"/>
  <c r="AV57" i="11"/>
  <c r="AS44" i="11"/>
  <c r="AR44" i="11"/>
  <c r="AS51" i="11"/>
  <c r="AR51" i="11"/>
  <c r="AS55" i="11"/>
  <c r="AR55" i="11"/>
  <c r="K46" i="11"/>
  <c r="K6" i="10" s="1"/>
  <c r="AU35" i="11"/>
  <c r="L46" i="11"/>
  <c r="L6" i="10" s="1"/>
  <c r="AT36" i="11"/>
  <c r="AT38" i="11"/>
  <c r="AT40" i="11"/>
  <c r="AT42" i="11"/>
  <c r="AT44" i="11"/>
  <c r="AT51" i="11"/>
  <c r="AT53" i="11"/>
  <c r="AT55" i="11"/>
  <c r="AT57" i="11"/>
  <c r="AV83" i="11"/>
  <c r="T59" i="8"/>
  <c r="AB59" i="8"/>
  <c r="AK59" i="8"/>
  <c r="H46" i="11"/>
  <c r="H6" i="10" s="1"/>
  <c r="AT35" i="11"/>
  <c r="AS38" i="11"/>
  <c r="AR38" i="11"/>
  <c r="M46" i="11"/>
  <c r="M79" i="11" s="1"/>
  <c r="AR37" i="11"/>
  <c r="AS37" i="11"/>
  <c r="AR41" i="11"/>
  <c r="AS41" i="11"/>
  <c r="AR49" i="11"/>
  <c r="AS49" i="11"/>
  <c r="AS54" i="11"/>
  <c r="AR54" i="11"/>
  <c r="AS58" i="11"/>
  <c r="AR58" i="11"/>
  <c r="AC59" i="8"/>
  <c r="N46" i="11"/>
  <c r="N79" i="11" s="1"/>
  <c r="AV35" i="11"/>
  <c r="AV37" i="11"/>
  <c r="AV39" i="11"/>
  <c r="AV41" i="11"/>
  <c r="AV43" i="11"/>
  <c r="AV49" i="11"/>
  <c r="AV52" i="11"/>
  <c r="AV54" i="11"/>
  <c r="AV56" i="11"/>
  <c r="AV58" i="11"/>
  <c r="AT83" i="11"/>
  <c r="BS102" i="9"/>
  <c r="AR36" i="11"/>
  <c r="AS36" i="11"/>
  <c r="AR57" i="11"/>
  <c r="AS57" i="11"/>
  <c r="AS83" i="11"/>
  <c r="AR83" i="11"/>
  <c r="E46" i="11"/>
  <c r="E79" i="11" s="1"/>
  <c r="AS35" i="11"/>
  <c r="AR35" i="11"/>
  <c r="AS39" i="11"/>
  <c r="AR39" i="11"/>
  <c r="AS43" i="11"/>
  <c r="AR43" i="11"/>
  <c r="AS52" i="11"/>
  <c r="AR52" i="11"/>
  <c r="AS56" i="11"/>
  <c r="AR56" i="11"/>
  <c r="U59" i="8"/>
  <c r="AL59" i="8"/>
  <c r="G46" i="11"/>
  <c r="G6" i="10" s="1"/>
  <c r="O46" i="11"/>
  <c r="O6" i="10" s="1"/>
  <c r="AU36" i="11"/>
  <c r="AU38" i="11"/>
  <c r="AU40" i="11"/>
  <c r="AU42" i="11"/>
  <c r="AU44" i="11"/>
  <c r="AU51" i="11"/>
  <c r="AU53" i="11"/>
  <c r="AU55" i="11"/>
  <c r="AU57" i="11"/>
  <c r="W59" i="8"/>
  <c r="AF59" i="8"/>
  <c r="AN59" i="8"/>
  <c r="BN53" i="9"/>
  <c r="BM54" i="9"/>
  <c r="J20" i="9"/>
  <c r="I20" i="9" s="1"/>
  <c r="AU19" i="9"/>
  <c r="AR19" i="9"/>
  <c r="AS19" i="9"/>
  <c r="AR10" i="9"/>
  <c r="G20" i="9"/>
  <c r="G18" i="9" s="1"/>
  <c r="AT19" i="9"/>
  <c r="M20" i="9"/>
  <c r="M18" i="9" s="1"/>
  <c r="AV19" i="9"/>
  <c r="F7" i="9"/>
  <c r="E9" i="9"/>
  <c r="E8" i="9" s="1"/>
  <c r="E82" i="9"/>
  <c r="F78" i="9" s="1"/>
  <c r="H9" i="9"/>
  <c r="G11" i="9"/>
  <c r="K82" i="9"/>
  <c r="L78" i="9" s="1"/>
  <c r="K9" i="9"/>
  <c r="L7" i="9"/>
  <c r="E90" i="9"/>
  <c r="F82" i="11" s="1"/>
  <c r="F16" i="9"/>
  <c r="E18" i="9"/>
  <c r="E17" i="9" s="1"/>
  <c r="K90" i="9"/>
  <c r="L82" i="11" s="1"/>
  <c r="L16" i="9"/>
  <c r="K18" i="9"/>
  <c r="O90" i="9"/>
  <c r="P82" i="11" s="1"/>
  <c r="O18" i="9"/>
  <c r="P16" i="9"/>
  <c r="G7" i="9"/>
  <c r="F9" i="9"/>
  <c r="F82" i="9"/>
  <c r="G78" i="9" s="1"/>
  <c r="I11" i="9"/>
  <c r="K7" i="9"/>
  <c r="J9" i="9"/>
  <c r="J82" i="9"/>
  <c r="K78" i="9" s="1"/>
  <c r="L9" i="9"/>
  <c r="L82" i="9"/>
  <c r="M78" i="9" s="1"/>
  <c r="M7" i="9"/>
  <c r="F90" i="9"/>
  <c r="G82" i="11" s="1"/>
  <c r="F18" i="9"/>
  <c r="G16" i="9"/>
  <c r="L90" i="9"/>
  <c r="M82" i="11" s="1"/>
  <c r="M16" i="9"/>
  <c r="L18" i="9"/>
  <c r="N90" i="9"/>
  <c r="O82" i="11" s="1"/>
  <c r="N18" i="9"/>
  <c r="O16" i="9"/>
  <c r="AE77" i="9"/>
  <c r="AC65" i="11"/>
  <c r="J6" i="10"/>
  <c r="I6" i="10"/>
  <c r="I79" i="11"/>
  <c r="E6" i="10"/>
  <c r="P6" i="10"/>
  <c r="P79" i="11"/>
  <c r="M76" i="11"/>
  <c r="AU76" i="11" s="1"/>
  <c r="M66" i="11"/>
  <c r="AU66" i="11" s="1"/>
  <c r="M71" i="11"/>
  <c r="AU71" i="11" s="1"/>
  <c r="M70" i="11"/>
  <c r="AU70" i="11" s="1"/>
  <c r="M75" i="11"/>
  <c r="AU75" i="11" s="1"/>
  <c r="M74" i="11"/>
  <c r="AU74" i="11" s="1"/>
  <c r="M68" i="11"/>
  <c r="AU68" i="11" s="1"/>
  <c r="M73" i="11"/>
  <c r="AU73" i="11" s="1"/>
  <c r="M67" i="11"/>
  <c r="AU67" i="11" s="1"/>
  <c r="M72" i="11"/>
  <c r="AU72" i="11" s="1"/>
  <c r="M69" i="11"/>
  <c r="AU69" i="11" s="1"/>
  <c r="J14" i="12"/>
  <c r="J14" i="14" s="1"/>
  <c r="K71" i="6"/>
  <c r="I27" i="12"/>
  <c r="H25" i="14"/>
  <c r="G27" i="14"/>
  <c r="AS25" i="14"/>
  <c r="AS27" i="14" s="1"/>
  <c r="F68" i="8"/>
  <c r="G68" i="8" s="1"/>
  <c r="H68" i="8" s="1"/>
  <c r="I68" i="8" s="1"/>
  <c r="J68" i="8" s="1"/>
  <c r="K68" i="8" s="1"/>
  <c r="L68" i="8" s="1"/>
  <c r="M68" i="8" s="1"/>
  <c r="N68" i="8" s="1"/>
  <c r="O68" i="8" s="1"/>
  <c r="P68" i="8" s="1"/>
  <c r="R68" i="8" s="1"/>
  <c r="S68" i="8" s="1"/>
  <c r="T68" i="8" s="1"/>
  <c r="U68" i="8" s="1"/>
  <c r="V68" i="8" s="1"/>
  <c r="W68" i="8" s="1"/>
  <c r="X68" i="8" s="1"/>
  <c r="Y68" i="8" s="1"/>
  <c r="Z68" i="8" s="1"/>
  <c r="AA68" i="8" s="1"/>
  <c r="AB68" i="8" s="1"/>
  <c r="AC68" i="8" s="1"/>
  <c r="AE68" i="8" s="1"/>
  <c r="AF68" i="8" s="1"/>
  <c r="AG68" i="8" s="1"/>
  <c r="AH68" i="8" s="1"/>
  <c r="AI68" i="8" s="1"/>
  <c r="AJ68" i="8" s="1"/>
  <c r="AK68" i="8" s="1"/>
  <c r="AL68" i="8" s="1"/>
  <c r="AM68" i="8" s="1"/>
  <c r="AN68" i="8" s="1"/>
  <c r="AO68" i="8" s="1"/>
  <c r="AP68" i="8" s="1"/>
  <c r="BK68" i="8" s="1"/>
  <c r="BL68" i="8" s="1"/>
  <c r="BM68" i="8" s="1"/>
  <c r="BN68" i="8" s="1"/>
  <c r="BQ68" i="8" s="1"/>
  <c r="BR68" i="8" s="1"/>
  <c r="BS68" i="8" s="1"/>
  <c r="BT68" i="8" s="1"/>
  <c r="H67" i="8"/>
  <c r="I67" i="8" s="1"/>
  <c r="J67" i="8" s="1"/>
  <c r="K67" i="8" s="1"/>
  <c r="L67" i="8" s="1"/>
  <c r="M67" i="8" s="1"/>
  <c r="N67" i="8" s="1"/>
  <c r="O67" i="8" s="1"/>
  <c r="P67" i="8" s="1"/>
  <c r="R67" i="8" s="1"/>
  <c r="S67" i="8" s="1"/>
  <c r="T67" i="8" s="1"/>
  <c r="U67" i="8" s="1"/>
  <c r="V67" i="8" s="1"/>
  <c r="W67" i="8" s="1"/>
  <c r="X67" i="8" s="1"/>
  <c r="Y67" i="8" s="1"/>
  <c r="Z67" i="8" s="1"/>
  <c r="AA67" i="8" s="1"/>
  <c r="AB67" i="8" s="1"/>
  <c r="AC67" i="8" s="1"/>
  <c r="AE67" i="8" s="1"/>
  <c r="AF67" i="8" s="1"/>
  <c r="AG67" i="8" s="1"/>
  <c r="AH67" i="8" s="1"/>
  <c r="AI67" i="8" s="1"/>
  <c r="AJ67" i="8" s="1"/>
  <c r="AK67" i="8" s="1"/>
  <c r="AL67" i="8" s="1"/>
  <c r="AM67" i="8" s="1"/>
  <c r="AN67" i="8" s="1"/>
  <c r="AO67" i="8" s="1"/>
  <c r="AP67" i="8" s="1"/>
  <c r="BK67" i="8" s="1"/>
  <c r="BL67" i="8" s="1"/>
  <c r="BM67" i="8" s="1"/>
  <c r="BN67" i="8" s="1"/>
  <c r="BQ67" i="8" s="1"/>
  <c r="BR67" i="8" s="1"/>
  <c r="BS67" i="8" s="1"/>
  <c r="BT67" i="8" s="1"/>
  <c r="G59" i="8"/>
  <c r="K59" i="8"/>
  <c r="O59" i="8"/>
  <c r="E72" i="8"/>
  <c r="X12" i="9"/>
  <c r="AP11" i="13"/>
  <c r="AI11" i="13"/>
  <c r="M11" i="13"/>
  <c r="F63" i="8"/>
  <c r="E71" i="7"/>
  <c r="H59" i="8"/>
  <c r="L59" i="8"/>
  <c r="F65" i="8"/>
  <c r="E71" i="5"/>
  <c r="E59" i="8"/>
  <c r="P59" i="8"/>
  <c r="J84" i="11"/>
  <c r="F85" i="11"/>
  <c r="N85" i="11"/>
  <c r="J86" i="11"/>
  <c r="F87" i="11"/>
  <c r="N87" i="11"/>
  <c r="J88" i="11"/>
  <c r="F89" i="11"/>
  <c r="N89" i="11"/>
  <c r="J90" i="11"/>
  <c r="F91" i="11"/>
  <c r="N91" i="11"/>
  <c r="J92" i="11"/>
  <c r="F66" i="8"/>
  <c r="G66" i="8" s="1"/>
  <c r="H66" i="8" s="1"/>
  <c r="I66" i="8" s="1"/>
  <c r="J66" i="8" s="1"/>
  <c r="K66" i="8" s="1"/>
  <c r="L66" i="8" s="1"/>
  <c r="M66" i="8" s="1"/>
  <c r="N66" i="8" s="1"/>
  <c r="O66" i="8" s="1"/>
  <c r="P66" i="8" s="1"/>
  <c r="R66" i="8" s="1"/>
  <c r="S66" i="8" s="1"/>
  <c r="T66" i="8" s="1"/>
  <c r="U66" i="8" s="1"/>
  <c r="V66" i="8" s="1"/>
  <c r="W66" i="8" s="1"/>
  <c r="X66" i="8" s="1"/>
  <c r="Y66" i="8" s="1"/>
  <c r="Z66" i="8" s="1"/>
  <c r="AA66" i="8" s="1"/>
  <c r="AB66" i="8" s="1"/>
  <c r="AC66" i="8" s="1"/>
  <c r="AE66" i="8" s="1"/>
  <c r="AF66" i="8" s="1"/>
  <c r="AG66" i="8" s="1"/>
  <c r="AH66" i="8" s="1"/>
  <c r="AI66" i="8" s="1"/>
  <c r="AJ66" i="8" s="1"/>
  <c r="AK66" i="8" s="1"/>
  <c r="AL66" i="8" s="1"/>
  <c r="AM66" i="8" s="1"/>
  <c r="AN66" i="8" s="1"/>
  <c r="AO66" i="8" s="1"/>
  <c r="AP66" i="8" s="1"/>
  <c r="I59" i="8"/>
  <c r="M59" i="8"/>
  <c r="E84" i="11"/>
  <c r="M84" i="11"/>
  <c r="I85" i="11"/>
  <c r="E86" i="11"/>
  <c r="M86" i="11"/>
  <c r="I87" i="11"/>
  <c r="E88" i="11"/>
  <c r="M88" i="11"/>
  <c r="I89" i="11"/>
  <c r="E90" i="11"/>
  <c r="M90" i="11"/>
  <c r="I91" i="11"/>
  <c r="E92" i="11"/>
  <c r="M92" i="11"/>
  <c r="F59" i="8"/>
  <c r="J59" i="8"/>
  <c r="N59" i="8"/>
  <c r="H84" i="11"/>
  <c r="L84" i="11"/>
  <c r="P84" i="11"/>
  <c r="H85" i="11"/>
  <c r="L85" i="11"/>
  <c r="P85" i="11"/>
  <c r="H86" i="11"/>
  <c r="L86" i="11"/>
  <c r="P86" i="11"/>
  <c r="H87" i="11"/>
  <c r="L87" i="11"/>
  <c r="P87" i="11"/>
  <c r="H88" i="11"/>
  <c r="L88" i="11"/>
  <c r="P88" i="11"/>
  <c r="H89" i="11"/>
  <c r="AT89" i="11" s="1"/>
  <c r="L89" i="11"/>
  <c r="P89" i="11"/>
  <c r="H90" i="11"/>
  <c r="L90" i="11"/>
  <c r="P90" i="11"/>
  <c r="H91" i="11"/>
  <c r="L91" i="11"/>
  <c r="P91" i="11"/>
  <c r="H92" i="11"/>
  <c r="L92" i="11"/>
  <c r="P92" i="11"/>
  <c r="G84" i="11"/>
  <c r="K84" i="11"/>
  <c r="O84" i="11"/>
  <c r="G85" i="11"/>
  <c r="K85" i="11"/>
  <c r="O85" i="11"/>
  <c r="G86" i="11"/>
  <c r="K86" i="11"/>
  <c r="O86" i="11"/>
  <c r="G87" i="11"/>
  <c r="K87" i="11"/>
  <c r="O87" i="11"/>
  <c r="G88" i="11"/>
  <c r="K88" i="11"/>
  <c r="O88" i="11"/>
  <c r="G89" i="11"/>
  <c r="K89" i="11"/>
  <c r="O89" i="11"/>
  <c r="G90" i="11"/>
  <c r="K90" i="11"/>
  <c r="O90" i="11"/>
  <c r="G91" i="11"/>
  <c r="K91" i="11"/>
  <c r="O91" i="11"/>
  <c r="G92" i="11"/>
  <c r="K92" i="11"/>
  <c r="O92" i="11"/>
  <c r="AF50" i="11"/>
  <c r="AO58" i="11"/>
  <c r="AO57" i="11"/>
  <c r="AO56" i="11"/>
  <c r="AO55" i="11"/>
  <c r="AO54" i="11"/>
  <c r="AO53" i="11"/>
  <c r="AO52" i="11"/>
  <c r="AO51" i="11"/>
  <c r="AO49" i="11"/>
  <c r="AO44" i="11"/>
  <c r="AO43" i="11"/>
  <c r="AO42" i="11"/>
  <c r="AO41" i="11"/>
  <c r="AO40" i="11"/>
  <c r="AO39" i="11"/>
  <c r="AO38" i="11"/>
  <c r="AO37" i="11"/>
  <c r="AO35" i="11"/>
  <c r="AO32" i="11"/>
  <c r="AO19" i="9" s="1"/>
  <c r="AO18" i="11"/>
  <c r="AO10" i="9" s="1"/>
  <c r="AP58" i="11"/>
  <c r="AN58" i="11"/>
  <c r="AM58" i="11"/>
  <c r="AL58" i="11"/>
  <c r="AK58" i="11"/>
  <c r="AJ58" i="11"/>
  <c r="AI58" i="11"/>
  <c r="AH58" i="11"/>
  <c r="AG58" i="11"/>
  <c r="AF58" i="11"/>
  <c r="AE58" i="11"/>
  <c r="AP57" i="11"/>
  <c r="AN57" i="11"/>
  <c r="AM57" i="11"/>
  <c r="AL57" i="11"/>
  <c r="AK57" i="11"/>
  <c r="AJ57" i="11"/>
  <c r="AI57" i="11"/>
  <c r="AH57" i="11"/>
  <c r="AG57" i="11"/>
  <c r="AF57" i="11"/>
  <c r="AE57" i="11"/>
  <c r="AP56" i="11"/>
  <c r="AN56" i="11"/>
  <c r="BH56" i="11" s="1"/>
  <c r="AM56" i="11"/>
  <c r="AL56" i="11"/>
  <c r="AK56" i="11"/>
  <c r="AJ56" i="11"/>
  <c r="AI56" i="11"/>
  <c r="AH56" i="11"/>
  <c r="AG56" i="11"/>
  <c r="AF56" i="11"/>
  <c r="AE56" i="11"/>
  <c r="AP55" i="11"/>
  <c r="AN55" i="11"/>
  <c r="AM55" i="11"/>
  <c r="AL55" i="11"/>
  <c r="AK55" i="11"/>
  <c r="AJ55" i="11"/>
  <c r="AI55" i="11"/>
  <c r="AH55" i="11"/>
  <c r="AG55" i="11"/>
  <c r="AF55" i="11"/>
  <c r="AE55" i="11"/>
  <c r="AP54" i="11"/>
  <c r="AN54" i="11"/>
  <c r="AM54" i="11"/>
  <c r="AL54" i="11"/>
  <c r="AK54" i="11"/>
  <c r="AJ54" i="11"/>
  <c r="AI54" i="11"/>
  <c r="AH54" i="11"/>
  <c r="AG54" i="11"/>
  <c r="AF54" i="11"/>
  <c r="AE54" i="11"/>
  <c r="AP53" i="11"/>
  <c r="AN53" i="11"/>
  <c r="AM53" i="11"/>
  <c r="AL53" i="11"/>
  <c r="AK53" i="11"/>
  <c r="AJ53" i="11"/>
  <c r="AI53" i="11"/>
  <c r="AH53" i="11"/>
  <c r="AG53" i="11"/>
  <c r="AF53" i="11"/>
  <c r="AE53" i="11"/>
  <c r="AP52" i="11"/>
  <c r="AN52" i="11"/>
  <c r="AM52" i="11"/>
  <c r="AL52" i="11"/>
  <c r="AK52" i="11"/>
  <c r="AJ52" i="11"/>
  <c r="AI52" i="11"/>
  <c r="AH52" i="11"/>
  <c r="AG52" i="11"/>
  <c r="AF52" i="11"/>
  <c r="AE52" i="11"/>
  <c r="AP51" i="11"/>
  <c r="AN51" i="11"/>
  <c r="AM51" i="11"/>
  <c r="AL51" i="11"/>
  <c r="AK51" i="11"/>
  <c r="AJ51" i="11"/>
  <c r="AI51" i="11"/>
  <c r="AH51" i="11"/>
  <c r="AG51" i="11"/>
  <c r="AF51" i="11"/>
  <c r="AE51" i="11"/>
  <c r="AP49" i="11"/>
  <c r="AN49" i="11"/>
  <c r="AM49" i="11"/>
  <c r="AL49" i="11"/>
  <c r="AK49" i="11"/>
  <c r="AJ49" i="11"/>
  <c r="AI49" i="11"/>
  <c r="AH49" i="11"/>
  <c r="AG49" i="11"/>
  <c r="AF49" i="11"/>
  <c r="AE49" i="11"/>
  <c r="AP44" i="11"/>
  <c r="AN44" i="11"/>
  <c r="AM44" i="11"/>
  <c r="AL44" i="11"/>
  <c r="AK44" i="11"/>
  <c r="AJ44" i="11"/>
  <c r="AI44" i="11"/>
  <c r="AH44" i="11"/>
  <c r="AG44" i="11"/>
  <c r="AF44" i="11"/>
  <c r="AE44" i="11"/>
  <c r="AP43" i="11"/>
  <c r="AN43" i="11"/>
  <c r="AM43" i="11"/>
  <c r="AL43" i="11"/>
  <c r="AK43" i="11"/>
  <c r="AJ43" i="11"/>
  <c r="AI43" i="11"/>
  <c r="AH43" i="11"/>
  <c r="AG43" i="11"/>
  <c r="AF43" i="11"/>
  <c r="AE43" i="11"/>
  <c r="AP42" i="11"/>
  <c r="AN42" i="11"/>
  <c r="AM42" i="11"/>
  <c r="AL42" i="11"/>
  <c r="AK42" i="11"/>
  <c r="AJ42" i="11"/>
  <c r="AI42" i="11"/>
  <c r="AH42" i="11"/>
  <c r="AG42" i="11"/>
  <c r="AF42" i="11"/>
  <c r="AE42" i="11"/>
  <c r="AP41" i="11"/>
  <c r="AN41" i="11"/>
  <c r="AM41" i="11"/>
  <c r="AL41" i="11"/>
  <c r="AK41" i="11"/>
  <c r="AJ41" i="11"/>
  <c r="AI41" i="11"/>
  <c r="AH41" i="11"/>
  <c r="AG41" i="11"/>
  <c r="AF41" i="11"/>
  <c r="AE41" i="11"/>
  <c r="AP40" i="11"/>
  <c r="AN40" i="11"/>
  <c r="AM40" i="11"/>
  <c r="AL40" i="11"/>
  <c r="AK40" i="11"/>
  <c r="AJ40" i="11"/>
  <c r="AI40" i="11"/>
  <c r="AH40" i="11"/>
  <c r="AG40" i="11"/>
  <c r="AF40" i="11"/>
  <c r="AE40" i="11"/>
  <c r="AP39" i="11"/>
  <c r="AN39" i="11"/>
  <c r="AM39" i="11"/>
  <c r="AL39" i="11"/>
  <c r="AK39" i="11"/>
  <c r="AJ39" i="11"/>
  <c r="AI39" i="11"/>
  <c r="AH39" i="11"/>
  <c r="AG39" i="11"/>
  <c r="AF39" i="11"/>
  <c r="AE39" i="11"/>
  <c r="AP38" i="11"/>
  <c r="AN38" i="11"/>
  <c r="AM38" i="11"/>
  <c r="AL38" i="11"/>
  <c r="AK38" i="11"/>
  <c r="AJ38" i="11"/>
  <c r="AI38" i="11"/>
  <c r="AH38" i="11"/>
  <c r="AG38" i="11"/>
  <c r="AF38" i="11"/>
  <c r="AE38" i="11"/>
  <c r="AP37" i="11"/>
  <c r="AN37" i="11"/>
  <c r="AM37" i="11"/>
  <c r="AL37" i="11"/>
  <c r="AK37" i="11"/>
  <c r="AJ37" i="11"/>
  <c r="AI37" i="11"/>
  <c r="AH37" i="11"/>
  <c r="AG37" i="11"/>
  <c r="AF37" i="11"/>
  <c r="AE37" i="11"/>
  <c r="AH36" i="11"/>
  <c r="BF36" i="11" s="1"/>
  <c r="AG36" i="11"/>
  <c r="AF36" i="11"/>
  <c r="AE36" i="11"/>
  <c r="AP35" i="11"/>
  <c r="AN35" i="11"/>
  <c r="AM35" i="11"/>
  <c r="AL35" i="11"/>
  <c r="AK35" i="11"/>
  <c r="AJ35" i="11"/>
  <c r="AI35" i="11"/>
  <c r="AH35" i="11"/>
  <c r="AG35" i="11"/>
  <c r="AF35" i="11"/>
  <c r="AE35" i="11"/>
  <c r="AP32" i="11"/>
  <c r="AP19" i="9" s="1"/>
  <c r="AN32" i="11"/>
  <c r="AN19" i="9" s="1"/>
  <c r="AM32" i="11"/>
  <c r="AM19" i="9" s="1"/>
  <c r="AL32" i="11"/>
  <c r="AL19" i="9" s="1"/>
  <c r="AK32" i="11"/>
  <c r="AK19" i="9" s="1"/>
  <c r="AJ32" i="11"/>
  <c r="AJ19" i="9" s="1"/>
  <c r="AI32" i="11"/>
  <c r="AI19" i="9" s="1"/>
  <c r="AH32" i="11"/>
  <c r="AH19" i="9" s="1"/>
  <c r="AG32" i="11"/>
  <c r="AG19" i="9" s="1"/>
  <c r="AF32" i="11"/>
  <c r="AF19" i="9" s="1"/>
  <c r="AE32" i="11"/>
  <c r="AE19" i="9" s="1"/>
  <c r="AP18" i="11"/>
  <c r="AP10" i="9" s="1"/>
  <c r="AN18" i="11"/>
  <c r="AN10" i="9" s="1"/>
  <c r="AM18" i="11"/>
  <c r="AM10" i="9" s="1"/>
  <c r="AL18" i="11"/>
  <c r="AL10" i="9" s="1"/>
  <c r="AK18" i="11"/>
  <c r="AK10" i="9" s="1"/>
  <c r="AJ18" i="11"/>
  <c r="AJ10" i="9" s="1"/>
  <c r="AI18" i="11"/>
  <c r="AI10" i="9" s="1"/>
  <c r="AH18" i="11"/>
  <c r="AH10" i="9" s="1"/>
  <c r="AG18" i="11"/>
  <c r="AG10" i="9" s="1"/>
  <c r="AF18" i="11"/>
  <c r="AF10" i="9" s="1"/>
  <c r="AE18" i="11"/>
  <c r="AE10" i="9" s="1"/>
  <c r="AC58" i="11"/>
  <c r="AB58" i="11"/>
  <c r="AA58" i="11"/>
  <c r="Z58" i="11"/>
  <c r="Y58" i="11"/>
  <c r="X58" i="11"/>
  <c r="W58" i="11"/>
  <c r="V58" i="11"/>
  <c r="U58" i="11"/>
  <c r="T58" i="11"/>
  <c r="S58" i="11"/>
  <c r="AC57" i="11"/>
  <c r="AB57" i="11"/>
  <c r="AA57" i="11"/>
  <c r="Z57" i="11"/>
  <c r="Y57" i="11"/>
  <c r="X57" i="11"/>
  <c r="W57" i="11"/>
  <c r="V57" i="11"/>
  <c r="U57" i="11"/>
  <c r="T57" i="11"/>
  <c r="S57" i="11"/>
  <c r="AC56" i="11"/>
  <c r="AB56" i="11"/>
  <c r="AA56" i="11"/>
  <c r="Z56" i="11"/>
  <c r="Y56" i="11"/>
  <c r="X56" i="11"/>
  <c r="W56" i="11"/>
  <c r="V56" i="11"/>
  <c r="U56" i="11"/>
  <c r="T56" i="11"/>
  <c r="S56" i="11"/>
  <c r="AC55" i="11"/>
  <c r="AB55" i="11"/>
  <c r="AA55" i="11"/>
  <c r="Z55" i="11"/>
  <c r="Y55" i="11"/>
  <c r="X55" i="11"/>
  <c r="W55" i="11"/>
  <c r="V55" i="11"/>
  <c r="U55" i="11"/>
  <c r="T55" i="11"/>
  <c r="S55" i="11"/>
  <c r="AC54" i="11"/>
  <c r="AB54" i="11"/>
  <c r="AA54" i="11"/>
  <c r="Z54" i="11"/>
  <c r="Y54" i="11"/>
  <c r="X54" i="11"/>
  <c r="W54" i="11"/>
  <c r="V54" i="11"/>
  <c r="U54" i="11"/>
  <c r="T54" i="11"/>
  <c r="S54" i="11"/>
  <c r="AC53" i="11"/>
  <c r="AB53" i="11"/>
  <c r="AA53" i="11"/>
  <c r="Z53" i="11"/>
  <c r="Y53" i="11"/>
  <c r="X53" i="11"/>
  <c r="W53" i="11"/>
  <c r="V53" i="11"/>
  <c r="U53" i="11"/>
  <c r="T53" i="11"/>
  <c r="S53" i="11"/>
  <c r="AC52" i="11"/>
  <c r="AB52" i="11"/>
  <c r="AA52" i="11"/>
  <c r="Z52" i="11"/>
  <c r="Y52" i="11"/>
  <c r="X52" i="11"/>
  <c r="W52" i="11"/>
  <c r="V52" i="11"/>
  <c r="U52" i="11"/>
  <c r="T52" i="11"/>
  <c r="S52" i="11"/>
  <c r="AC51" i="11"/>
  <c r="AB51" i="11"/>
  <c r="AA51" i="11"/>
  <c r="Z51" i="11"/>
  <c r="Y51" i="11"/>
  <c r="X51" i="11"/>
  <c r="W51" i="11"/>
  <c r="V51" i="11"/>
  <c r="U51" i="11"/>
  <c r="T51" i="11"/>
  <c r="S51" i="11"/>
  <c r="AA50" i="11"/>
  <c r="W50" i="11"/>
  <c r="V50" i="11"/>
  <c r="S50" i="11"/>
  <c r="AC49" i="11"/>
  <c r="AB49" i="11"/>
  <c r="AA49" i="11"/>
  <c r="Z49" i="11"/>
  <c r="Y49" i="11"/>
  <c r="X49" i="11"/>
  <c r="W49" i="11"/>
  <c r="V49" i="11"/>
  <c r="U49" i="11"/>
  <c r="T49" i="11"/>
  <c r="S49" i="11"/>
  <c r="AC44" i="11"/>
  <c r="AB44" i="11"/>
  <c r="AA44" i="11"/>
  <c r="Z44" i="11"/>
  <c r="Y44" i="11"/>
  <c r="X44" i="11"/>
  <c r="V44" i="11"/>
  <c r="U44" i="11"/>
  <c r="T44" i="11"/>
  <c r="S44" i="11"/>
  <c r="AC43" i="11"/>
  <c r="AB43" i="11"/>
  <c r="Z43" i="11"/>
  <c r="Y43" i="11"/>
  <c r="V43" i="11"/>
  <c r="U43" i="11"/>
  <c r="T43" i="11"/>
  <c r="S43" i="11"/>
  <c r="AC42" i="11"/>
  <c r="AB42" i="11"/>
  <c r="Z42" i="11"/>
  <c r="Y42" i="11"/>
  <c r="U42" i="11"/>
  <c r="T42" i="11"/>
  <c r="S42" i="11"/>
  <c r="AC41" i="11"/>
  <c r="AB41" i="11"/>
  <c r="Z41" i="11"/>
  <c r="Y41" i="11"/>
  <c r="U41" i="11"/>
  <c r="T41" i="11"/>
  <c r="S41" i="11"/>
  <c r="AC40" i="11"/>
  <c r="AB40" i="11"/>
  <c r="Z40" i="11"/>
  <c r="Y40" i="11"/>
  <c r="U40" i="11"/>
  <c r="T40" i="11"/>
  <c r="S40" i="11"/>
  <c r="AC39" i="11"/>
  <c r="AB39" i="11"/>
  <c r="Z39" i="11"/>
  <c r="Y39" i="11"/>
  <c r="U39" i="11"/>
  <c r="T39" i="11"/>
  <c r="S39" i="11"/>
  <c r="AC38" i="11"/>
  <c r="AB38" i="11"/>
  <c r="Z38" i="11"/>
  <c r="Y38" i="11"/>
  <c r="U38" i="11"/>
  <c r="T38" i="11"/>
  <c r="S38" i="11"/>
  <c r="AC37" i="11"/>
  <c r="AB37" i="11"/>
  <c r="Z37" i="11"/>
  <c r="Y37" i="11"/>
  <c r="V37" i="11"/>
  <c r="U37" i="11"/>
  <c r="T37" i="11"/>
  <c r="S37" i="11"/>
  <c r="AC36" i="11"/>
  <c r="AB36" i="11"/>
  <c r="Z36" i="11"/>
  <c r="Y36" i="11"/>
  <c r="V36" i="11"/>
  <c r="U36" i="11"/>
  <c r="T36" i="11"/>
  <c r="S36" i="11"/>
  <c r="AC35" i="11"/>
  <c r="AB35" i="11"/>
  <c r="AA35" i="11"/>
  <c r="Z35" i="11"/>
  <c r="Y35" i="11"/>
  <c r="W35" i="11"/>
  <c r="V35" i="11"/>
  <c r="U35" i="11"/>
  <c r="T35" i="11"/>
  <c r="S35" i="11"/>
  <c r="AC32" i="11"/>
  <c r="AC19" i="9" s="1"/>
  <c r="AB32" i="11"/>
  <c r="AB19" i="9" s="1"/>
  <c r="AA32" i="11"/>
  <c r="AA19" i="9" s="1"/>
  <c r="Z32" i="11"/>
  <c r="Z19" i="9" s="1"/>
  <c r="Y32" i="11"/>
  <c r="Y19" i="9" s="1"/>
  <c r="X32" i="11"/>
  <c r="X19" i="9" s="1"/>
  <c r="W32" i="11"/>
  <c r="W19" i="9" s="1"/>
  <c r="V32" i="11"/>
  <c r="V19" i="9" s="1"/>
  <c r="U32" i="11"/>
  <c r="U19" i="9" s="1"/>
  <c r="T32" i="11"/>
  <c r="T19" i="9" s="1"/>
  <c r="S20" i="9" s="1"/>
  <c r="S90" i="9" s="1"/>
  <c r="T82" i="11" s="1"/>
  <c r="S32" i="11"/>
  <c r="S19" i="9" s="1"/>
  <c r="R20" i="9" s="1"/>
  <c r="R90" i="9" s="1"/>
  <c r="AC18" i="11"/>
  <c r="AC10" i="9" s="1"/>
  <c r="AB18" i="11"/>
  <c r="AB10" i="9" s="1"/>
  <c r="AA18" i="11"/>
  <c r="AA10" i="9" s="1"/>
  <c r="Z18" i="11"/>
  <c r="Z10" i="9" s="1"/>
  <c r="Y18" i="11"/>
  <c r="Y10" i="9" s="1"/>
  <c r="X18" i="11"/>
  <c r="X10" i="9" s="1"/>
  <c r="W18" i="11"/>
  <c r="W10" i="9" s="1"/>
  <c r="V18" i="11"/>
  <c r="V10" i="9" s="1"/>
  <c r="U18" i="11"/>
  <c r="U10" i="9" s="1"/>
  <c r="T18" i="11"/>
  <c r="T10" i="9" s="1"/>
  <c r="S11" i="9" s="1"/>
  <c r="S18" i="11"/>
  <c r="S10" i="9" s="1"/>
  <c r="R11" i="9" s="1"/>
  <c r="R58" i="11"/>
  <c r="R57" i="11"/>
  <c r="R56" i="11"/>
  <c r="R55" i="11"/>
  <c r="R54" i="11"/>
  <c r="R53" i="11"/>
  <c r="R52" i="11"/>
  <c r="R51" i="11"/>
  <c r="R49" i="11"/>
  <c r="R44" i="11"/>
  <c r="R43" i="11"/>
  <c r="R42" i="11"/>
  <c r="R41" i="11"/>
  <c r="R40" i="11"/>
  <c r="R39" i="11"/>
  <c r="R38" i="11"/>
  <c r="R37" i="11"/>
  <c r="R36" i="11"/>
  <c r="R35" i="11"/>
  <c r="R32" i="11"/>
  <c r="R19" i="9" s="1"/>
  <c r="R18" i="11"/>
  <c r="R10" i="9" s="1"/>
  <c r="B22" i="11"/>
  <c r="B24" i="11"/>
  <c r="B86" i="11" s="1"/>
  <c r="B25" i="11"/>
  <c r="B87" i="11" s="1"/>
  <c r="B26" i="11"/>
  <c r="B27" i="11"/>
  <c r="B28" i="11"/>
  <c r="B90" i="11" s="1"/>
  <c r="B29" i="11"/>
  <c r="B91" i="11" s="1"/>
  <c r="B30" i="11"/>
  <c r="B92" i="11" s="1"/>
  <c r="B21" i="11"/>
  <c r="BH29" i="10"/>
  <c r="BG29" i="10"/>
  <c r="BF29" i="10"/>
  <c r="BE29" i="10"/>
  <c r="BD29" i="10"/>
  <c r="BB29" i="10"/>
  <c r="BA29" i="10"/>
  <c r="AZ29" i="10"/>
  <c r="AY29" i="10"/>
  <c r="AX29" i="10"/>
  <c r="AV29" i="10"/>
  <c r="AU29" i="10"/>
  <c r="AT29" i="10"/>
  <c r="AS29" i="10"/>
  <c r="AR29" i="10"/>
  <c r="BH28" i="10"/>
  <c r="BG28" i="10"/>
  <c r="BF28" i="10"/>
  <c r="BE28" i="10"/>
  <c r="BD28" i="10"/>
  <c r="BB28" i="10"/>
  <c r="BA28" i="10"/>
  <c r="AZ28" i="10"/>
  <c r="AY28" i="10"/>
  <c r="AX28" i="10"/>
  <c r="AV28" i="10"/>
  <c r="AU28" i="10"/>
  <c r="AT28" i="10"/>
  <c r="AS28" i="10"/>
  <c r="AR28" i="10"/>
  <c r="BH56" i="4"/>
  <c r="BG56" i="4"/>
  <c r="BF56" i="4"/>
  <c r="BE56" i="4"/>
  <c r="BD56" i="4"/>
  <c r="BB56" i="4"/>
  <c r="BA56" i="4"/>
  <c r="AZ56" i="4"/>
  <c r="AY56" i="4"/>
  <c r="AX56" i="4"/>
  <c r="AV56" i="4"/>
  <c r="AU56" i="4"/>
  <c r="AT56" i="4"/>
  <c r="AS56" i="4"/>
  <c r="AR56" i="4"/>
  <c r="BH56" i="5"/>
  <c r="BG56" i="5"/>
  <c r="BF56" i="5"/>
  <c r="BE56" i="5"/>
  <c r="BD56" i="5"/>
  <c r="BB56" i="5"/>
  <c r="BA56" i="5"/>
  <c r="AZ56" i="5"/>
  <c r="AY56" i="5"/>
  <c r="AX56" i="5"/>
  <c r="AV56" i="5"/>
  <c r="AU56" i="5"/>
  <c r="AT56" i="5"/>
  <c r="AS56" i="5"/>
  <c r="AR56" i="5"/>
  <c r="BH56" i="6"/>
  <c r="BG56" i="6"/>
  <c r="BF56" i="6"/>
  <c r="BE56" i="6"/>
  <c r="BD56" i="6"/>
  <c r="BB56" i="6"/>
  <c r="BA56" i="6"/>
  <c r="AZ56" i="6"/>
  <c r="AY56" i="6"/>
  <c r="AX56" i="6"/>
  <c r="AV56" i="6"/>
  <c r="AU56" i="6"/>
  <c r="AT56" i="6"/>
  <c r="AS56" i="6"/>
  <c r="AR56" i="6"/>
  <c r="BE56" i="7"/>
  <c r="AZ56" i="7"/>
  <c r="AY56" i="7"/>
  <c r="AV56" i="7"/>
  <c r="AU56" i="7"/>
  <c r="AT56" i="7"/>
  <c r="AS56" i="7"/>
  <c r="AR56" i="7"/>
  <c r="BH20" i="4"/>
  <c r="BG20" i="4"/>
  <c r="BF20" i="4"/>
  <c r="BE20" i="4"/>
  <c r="BD20" i="4"/>
  <c r="BB20" i="4"/>
  <c r="BA20" i="4"/>
  <c r="AZ20" i="4"/>
  <c r="AY20" i="4"/>
  <c r="AX20" i="4"/>
  <c r="AV20" i="4"/>
  <c r="AU20" i="4"/>
  <c r="AT20" i="4"/>
  <c r="AS20" i="4"/>
  <c r="AR20" i="4"/>
  <c r="BH20" i="5"/>
  <c r="BG20" i="5"/>
  <c r="BF20" i="5"/>
  <c r="BB20" i="5"/>
  <c r="BA20" i="5"/>
  <c r="AZ20" i="5"/>
  <c r="AY20" i="5"/>
  <c r="AX20" i="5"/>
  <c r="AV20" i="5"/>
  <c r="AU20" i="5"/>
  <c r="AT20" i="5"/>
  <c r="AS20" i="5"/>
  <c r="AR20" i="5"/>
  <c r="BH20" i="6"/>
  <c r="BG20" i="6"/>
  <c r="BF20" i="6"/>
  <c r="BE20" i="6"/>
  <c r="BD20" i="6"/>
  <c r="BB20" i="6"/>
  <c r="BA20" i="6"/>
  <c r="AZ20" i="6"/>
  <c r="AY20" i="6"/>
  <c r="AX20" i="6"/>
  <c r="AV20" i="6"/>
  <c r="AU20" i="6"/>
  <c r="AT20" i="6"/>
  <c r="AS20" i="6"/>
  <c r="AR20" i="6"/>
  <c r="BH20" i="7"/>
  <c r="BK20" i="7" s="1"/>
  <c r="BG20" i="7"/>
  <c r="BF20" i="7"/>
  <c r="BE20" i="7"/>
  <c r="BD20" i="7"/>
  <c r="BB20" i="7"/>
  <c r="BA20" i="7"/>
  <c r="AZ20" i="7"/>
  <c r="AY20" i="7"/>
  <c r="AX20" i="7"/>
  <c r="AV20" i="7"/>
  <c r="AU20" i="7"/>
  <c r="AT20" i="7"/>
  <c r="AS20" i="7"/>
  <c r="AR20" i="7"/>
  <c r="BH70" i="7"/>
  <c r="BK70" i="7" s="1"/>
  <c r="BG70" i="7"/>
  <c r="BF70" i="7"/>
  <c r="BE70" i="7"/>
  <c r="BD70" i="7"/>
  <c r="BB70" i="7"/>
  <c r="BA70" i="7"/>
  <c r="AZ70" i="7"/>
  <c r="AY70" i="7"/>
  <c r="AX70" i="7"/>
  <c r="AV70" i="7"/>
  <c r="AU70" i="7"/>
  <c r="AT70" i="7"/>
  <c r="AS70" i="7"/>
  <c r="AR70" i="7"/>
  <c r="BH69" i="7"/>
  <c r="BK69" i="7" s="1"/>
  <c r="BG69" i="7"/>
  <c r="BF69" i="7"/>
  <c r="BH68" i="7"/>
  <c r="BK68" i="7" s="1"/>
  <c r="BG68" i="7"/>
  <c r="BF68" i="7"/>
  <c r="BH67" i="7"/>
  <c r="BK67" i="7" s="1"/>
  <c r="BG67" i="7"/>
  <c r="BF67" i="7"/>
  <c r="BH63" i="7"/>
  <c r="BK63" i="7" s="1"/>
  <c r="BG63" i="7"/>
  <c r="BF63" i="7"/>
  <c r="BE63" i="7"/>
  <c r="BD63" i="7"/>
  <c r="BB63" i="7"/>
  <c r="BA63" i="7"/>
  <c r="AZ63" i="7"/>
  <c r="AY63" i="7"/>
  <c r="AX63" i="7"/>
  <c r="AV63" i="7"/>
  <c r="AU63" i="7"/>
  <c r="AT63" i="7"/>
  <c r="AS63" i="7"/>
  <c r="AR63" i="7"/>
  <c r="BH62" i="7"/>
  <c r="BK62" i="7" s="1"/>
  <c r="BG62" i="7"/>
  <c r="BF62" i="7"/>
  <c r="BE62" i="7"/>
  <c r="BD62" i="7"/>
  <c r="BB62" i="7"/>
  <c r="BA62" i="7"/>
  <c r="AZ62" i="7"/>
  <c r="AY62" i="7"/>
  <c r="AX62" i="7"/>
  <c r="AV62" i="7"/>
  <c r="AU62" i="7"/>
  <c r="AT62" i="7"/>
  <c r="AS62" i="7"/>
  <c r="AR62" i="7"/>
  <c r="BH61" i="7"/>
  <c r="BK61" i="7" s="1"/>
  <c r="BG61" i="7"/>
  <c r="BF61" i="7"/>
  <c r="BE61" i="7"/>
  <c r="BD61" i="7"/>
  <c r="BB61" i="7"/>
  <c r="BA61" i="7"/>
  <c r="AZ61" i="7"/>
  <c r="AY61" i="7"/>
  <c r="AX61" i="7"/>
  <c r="AV61" i="7"/>
  <c r="AU61" i="7"/>
  <c r="AT61" i="7"/>
  <c r="AS61" i="7"/>
  <c r="AR61" i="7"/>
  <c r="BH60" i="7"/>
  <c r="BK60" i="7" s="1"/>
  <c r="BG60" i="7"/>
  <c r="BF60" i="7"/>
  <c r="BE60" i="7"/>
  <c r="BD60" i="7"/>
  <c r="BB60" i="7"/>
  <c r="BA60" i="7"/>
  <c r="AZ60" i="7"/>
  <c r="AY60" i="7"/>
  <c r="AX60" i="7"/>
  <c r="AV60" i="7"/>
  <c r="AU60" i="7"/>
  <c r="AT60" i="7"/>
  <c r="AS60" i="7"/>
  <c r="AR60" i="7"/>
  <c r="BH59" i="7"/>
  <c r="BK59" i="7" s="1"/>
  <c r="BG59" i="7"/>
  <c r="BF59" i="7"/>
  <c r="BE59" i="7"/>
  <c r="BD59" i="7"/>
  <c r="BB59" i="7"/>
  <c r="BA59" i="7"/>
  <c r="AZ59" i="7"/>
  <c r="AY59" i="7"/>
  <c r="AX59" i="7"/>
  <c r="AV59" i="7"/>
  <c r="AU59" i="7"/>
  <c r="AT59" i="7"/>
  <c r="AS59" i="7"/>
  <c r="AR59" i="7"/>
  <c r="BH58" i="7"/>
  <c r="BK58" i="7" s="1"/>
  <c r="BG58" i="7"/>
  <c r="BF58" i="7"/>
  <c r="BE58" i="7"/>
  <c r="BD58" i="7"/>
  <c r="BB58" i="7"/>
  <c r="BA58" i="7"/>
  <c r="AZ58" i="7"/>
  <c r="AY58" i="7"/>
  <c r="AX58" i="7"/>
  <c r="AV58" i="7"/>
  <c r="AU58" i="7"/>
  <c r="AT58" i="7"/>
  <c r="AS58" i="7"/>
  <c r="AR58" i="7"/>
  <c r="BH57" i="7"/>
  <c r="BK57" i="7" s="1"/>
  <c r="BG57" i="7"/>
  <c r="BF57" i="7"/>
  <c r="BE57" i="7"/>
  <c r="BD57" i="7"/>
  <c r="BB57" i="7"/>
  <c r="BA57" i="7"/>
  <c r="AZ57" i="7"/>
  <c r="AY57" i="7"/>
  <c r="AX57" i="7"/>
  <c r="AV57" i="7"/>
  <c r="AU57" i="7"/>
  <c r="AT57" i="7"/>
  <c r="AS57" i="7"/>
  <c r="AR57" i="7"/>
  <c r="BH52" i="7"/>
  <c r="BK52" i="7" s="1"/>
  <c r="BG52" i="7"/>
  <c r="BF52" i="7"/>
  <c r="BE52" i="7"/>
  <c r="BD52" i="7"/>
  <c r="BB52" i="7"/>
  <c r="BA52" i="7"/>
  <c r="AZ52" i="7"/>
  <c r="AY52" i="7"/>
  <c r="AX52" i="7"/>
  <c r="AV52" i="7"/>
  <c r="AU52" i="7"/>
  <c r="AT52" i="7"/>
  <c r="AS52" i="7"/>
  <c r="AR52" i="7"/>
  <c r="BH51" i="7"/>
  <c r="BK51" i="7" s="1"/>
  <c r="BG51" i="7"/>
  <c r="BF51" i="7"/>
  <c r="BE51" i="7"/>
  <c r="BD51" i="7"/>
  <c r="BB51" i="7"/>
  <c r="BA51" i="7"/>
  <c r="AZ51" i="7"/>
  <c r="AY51" i="7"/>
  <c r="AX51" i="7"/>
  <c r="AV51" i="7"/>
  <c r="AU51" i="7"/>
  <c r="AT51" i="7"/>
  <c r="AS51" i="7"/>
  <c r="AR51" i="7"/>
  <c r="BH50" i="7"/>
  <c r="BK50" i="7" s="1"/>
  <c r="BG50" i="7"/>
  <c r="BF50" i="7"/>
  <c r="BE50" i="7"/>
  <c r="BD50" i="7"/>
  <c r="BB50" i="7"/>
  <c r="BA50" i="7"/>
  <c r="AZ50" i="7"/>
  <c r="AY50" i="7"/>
  <c r="AX50" i="7"/>
  <c r="AV50" i="7"/>
  <c r="AU50" i="7"/>
  <c r="AT50" i="7"/>
  <c r="AS50" i="7"/>
  <c r="AR50" i="7"/>
  <c r="BH49" i="7"/>
  <c r="BK49" i="7" s="1"/>
  <c r="BG49" i="7"/>
  <c r="BF49" i="7"/>
  <c r="BE49" i="7"/>
  <c r="BD49" i="7"/>
  <c r="BB49" i="7"/>
  <c r="BA49" i="7"/>
  <c r="AZ49" i="7"/>
  <c r="AY49" i="7"/>
  <c r="AX49" i="7"/>
  <c r="AV49" i="7"/>
  <c r="AU49" i="7"/>
  <c r="AT49" i="7"/>
  <c r="AS49" i="7"/>
  <c r="AR49" i="7"/>
  <c r="BH48" i="7"/>
  <c r="BK48" i="7" s="1"/>
  <c r="BG48" i="7"/>
  <c r="BF48" i="7"/>
  <c r="BE48" i="7"/>
  <c r="BD48" i="7"/>
  <c r="BB48" i="7"/>
  <c r="BA48" i="7"/>
  <c r="AZ48" i="7"/>
  <c r="AY48" i="7"/>
  <c r="AX48" i="7"/>
  <c r="AV48" i="7"/>
  <c r="AU48" i="7"/>
  <c r="AT48" i="7"/>
  <c r="AS48" i="7"/>
  <c r="AR48" i="7"/>
  <c r="BG47" i="7"/>
  <c r="BF47" i="7"/>
  <c r="BE47" i="7"/>
  <c r="BD47" i="7"/>
  <c r="BB47" i="7"/>
  <c r="BA47" i="7"/>
  <c r="AZ47" i="7"/>
  <c r="AY47" i="7"/>
  <c r="AX47" i="7"/>
  <c r="AV47" i="7"/>
  <c r="AU47" i="7"/>
  <c r="AT47" i="7"/>
  <c r="AS47" i="7"/>
  <c r="AR47" i="7"/>
  <c r="BH46" i="7"/>
  <c r="BK46" i="7" s="1"/>
  <c r="BG46" i="7"/>
  <c r="BF46" i="7"/>
  <c r="BE46" i="7"/>
  <c r="BD46" i="7"/>
  <c r="BB46" i="7"/>
  <c r="BA46" i="7"/>
  <c r="AZ46" i="7"/>
  <c r="AY46" i="7"/>
  <c r="AX46" i="7"/>
  <c r="AV46" i="7"/>
  <c r="AU46" i="7"/>
  <c r="AT46" i="7"/>
  <c r="AS46" i="7"/>
  <c r="AR46" i="7"/>
  <c r="BH45" i="7"/>
  <c r="BK45" i="7" s="1"/>
  <c r="BG45" i="7"/>
  <c r="BF45" i="7"/>
  <c r="BE45" i="7"/>
  <c r="BD45" i="7"/>
  <c r="BB45" i="7"/>
  <c r="BA45" i="7"/>
  <c r="AZ45" i="7"/>
  <c r="AY45" i="7"/>
  <c r="AX45" i="7"/>
  <c r="AV45" i="7"/>
  <c r="AU45" i="7"/>
  <c r="AT45" i="7"/>
  <c r="AS45" i="7"/>
  <c r="AR45" i="7"/>
  <c r="BH44" i="7"/>
  <c r="BK44" i="7" s="1"/>
  <c r="BG44" i="7"/>
  <c r="BF44" i="7"/>
  <c r="BE44" i="7"/>
  <c r="BD44" i="7"/>
  <c r="BB44" i="7"/>
  <c r="BA44" i="7"/>
  <c r="AZ44" i="7"/>
  <c r="AY44" i="7"/>
  <c r="AX44" i="7"/>
  <c r="AV44" i="7"/>
  <c r="AU44" i="7"/>
  <c r="AT44" i="7"/>
  <c r="AS44" i="7"/>
  <c r="AR44" i="7"/>
  <c r="BH43" i="7"/>
  <c r="BK43" i="7" s="1"/>
  <c r="BG43" i="7"/>
  <c r="BF43" i="7"/>
  <c r="BE43" i="7"/>
  <c r="BD43" i="7"/>
  <c r="BB43" i="7"/>
  <c r="BA43" i="7"/>
  <c r="AZ43" i="7"/>
  <c r="AY43" i="7"/>
  <c r="AX43" i="7"/>
  <c r="AV43" i="7"/>
  <c r="AU43" i="7"/>
  <c r="AT43" i="7"/>
  <c r="AS43" i="7"/>
  <c r="AR43" i="7"/>
  <c r="BH39" i="7"/>
  <c r="BK39" i="7" s="1"/>
  <c r="BG39" i="7"/>
  <c r="BF39" i="7"/>
  <c r="BE39" i="7"/>
  <c r="BD39" i="7"/>
  <c r="BB39" i="7"/>
  <c r="BA39" i="7"/>
  <c r="AZ39" i="7"/>
  <c r="AY39" i="7"/>
  <c r="AX39" i="7"/>
  <c r="AV39" i="7"/>
  <c r="AU39" i="7"/>
  <c r="AT39" i="7"/>
  <c r="AS39" i="7"/>
  <c r="AR39" i="7"/>
  <c r="BH38" i="7"/>
  <c r="BK38" i="7" s="1"/>
  <c r="BG38" i="7"/>
  <c r="BF38" i="7"/>
  <c r="BE38" i="7"/>
  <c r="BD38" i="7"/>
  <c r="BB38" i="7"/>
  <c r="BA38" i="7"/>
  <c r="AZ38" i="7"/>
  <c r="AY38" i="7"/>
  <c r="AX38" i="7"/>
  <c r="AV38" i="7"/>
  <c r="AU38" i="7"/>
  <c r="AT38" i="7"/>
  <c r="AS38" i="7"/>
  <c r="AR38" i="7"/>
  <c r="BH37" i="7"/>
  <c r="BK37" i="7" s="1"/>
  <c r="BG37" i="7"/>
  <c r="BF37" i="7"/>
  <c r="BE37" i="7"/>
  <c r="BD37" i="7"/>
  <c r="BB37" i="7"/>
  <c r="BA37" i="7"/>
  <c r="AZ37" i="7"/>
  <c r="AY37" i="7"/>
  <c r="AX37" i="7"/>
  <c r="AV37" i="7"/>
  <c r="AU37" i="7"/>
  <c r="AT37" i="7"/>
  <c r="AS37" i="7"/>
  <c r="AR37" i="7"/>
  <c r="BH36" i="7"/>
  <c r="BK36" i="7" s="1"/>
  <c r="BG36" i="7"/>
  <c r="BF36" i="7"/>
  <c r="BE36" i="7"/>
  <c r="BD36" i="7"/>
  <c r="BB36" i="7"/>
  <c r="BA36" i="7"/>
  <c r="AZ36" i="7"/>
  <c r="AY36" i="7"/>
  <c r="AX36" i="7"/>
  <c r="AV36" i="7"/>
  <c r="AU36" i="7"/>
  <c r="AT36" i="7"/>
  <c r="AS36" i="7"/>
  <c r="AR36" i="7"/>
  <c r="BH32" i="7"/>
  <c r="BK32" i="7" s="1"/>
  <c r="BG32" i="7"/>
  <c r="BF32" i="7"/>
  <c r="BE32" i="7"/>
  <c r="BD32" i="7"/>
  <c r="BB32" i="7"/>
  <c r="BA32" i="7"/>
  <c r="AZ32" i="7"/>
  <c r="AY32" i="7"/>
  <c r="AX32" i="7"/>
  <c r="AV32" i="7"/>
  <c r="AU32" i="7"/>
  <c r="AT32" i="7"/>
  <c r="AS32" i="7"/>
  <c r="AR32" i="7"/>
  <c r="BH31" i="7"/>
  <c r="BK31" i="7" s="1"/>
  <c r="BL31" i="7" s="1"/>
  <c r="BM31" i="7" s="1"/>
  <c r="BN31" i="7" s="1"/>
  <c r="BG31" i="7"/>
  <c r="BF31" i="7"/>
  <c r="BE31" i="7"/>
  <c r="BD31" i="7"/>
  <c r="BB31" i="7"/>
  <c r="BA31" i="7"/>
  <c r="AZ31" i="7"/>
  <c r="AY31" i="7"/>
  <c r="AX31" i="7"/>
  <c r="AV31" i="7"/>
  <c r="AU31" i="7"/>
  <c r="AT31" i="7"/>
  <c r="AS31" i="7"/>
  <c r="AR31" i="7"/>
  <c r="BH30" i="7"/>
  <c r="BK30" i="7" s="1"/>
  <c r="BG30" i="7"/>
  <c r="BF30" i="7"/>
  <c r="BE30" i="7"/>
  <c r="BD30" i="7"/>
  <c r="BB30" i="7"/>
  <c r="BA30" i="7"/>
  <c r="AZ30" i="7"/>
  <c r="AY30" i="7"/>
  <c r="AX30" i="7"/>
  <c r="AV30" i="7"/>
  <c r="AU30" i="7"/>
  <c r="AT30" i="7"/>
  <c r="AS30" i="7"/>
  <c r="AR30" i="7"/>
  <c r="BH29" i="7"/>
  <c r="BK29" i="7" s="1"/>
  <c r="BL29" i="7" s="1"/>
  <c r="BM29" i="7" s="1"/>
  <c r="BN29" i="7" s="1"/>
  <c r="BG29" i="7"/>
  <c r="BF29" i="7"/>
  <c r="BE29" i="7"/>
  <c r="BD29" i="7"/>
  <c r="BB29" i="7"/>
  <c r="BA29" i="7"/>
  <c r="AZ29" i="7"/>
  <c r="AY29" i="7"/>
  <c r="AX29" i="7"/>
  <c r="AV29" i="7"/>
  <c r="AU29" i="7"/>
  <c r="AT29" i="7"/>
  <c r="AS29" i="7"/>
  <c r="AR29" i="7"/>
  <c r="BH28" i="7"/>
  <c r="BK28" i="7" s="1"/>
  <c r="BG28" i="7"/>
  <c r="BF28" i="7"/>
  <c r="BE28" i="7"/>
  <c r="BD28" i="7"/>
  <c r="BB28" i="7"/>
  <c r="BA28" i="7"/>
  <c r="AZ28" i="7"/>
  <c r="AY28" i="7"/>
  <c r="AX28" i="7"/>
  <c r="AV28" i="7"/>
  <c r="AU28" i="7"/>
  <c r="AT28" i="7"/>
  <c r="AS28" i="7"/>
  <c r="AR28" i="7"/>
  <c r="BH24" i="7"/>
  <c r="BK24" i="7" s="1"/>
  <c r="BG24" i="7"/>
  <c r="BF24" i="7"/>
  <c r="BE24" i="7"/>
  <c r="BD24" i="7"/>
  <c r="BH23" i="7"/>
  <c r="BK23" i="7" s="1"/>
  <c r="BG23" i="7"/>
  <c r="BF23" i="7"/>
  <c r="BE23" i="7"/>
  <c r="BD23" i="7"/>
  <c r="BB23" i="7"/>
  <c r="BA23" i="7"/>
  <c r="AZ23" i="7"/>
  <c r="AY23" i="7"/>
  <c r="AX23" i="7"/>
  <c r="AV23" i="7"/>
  <c r="AU23" i="7"/>
  <c r="AT23" i="7"/>
  <c r="AS23" i="7"/>
  <c r="AR23" i="7"/>
  <c r="BH22" i="7"/>
  <c r="BK22" i="7" s="1"/>
  <c r="BG22" i="7"/>
  <c r="BF22" i="7"/>
  <c r="BE22" i="7"/>
  <c r="BD22" i="7"/>
  <c r="BB22" i="7"/>
  <c r="BA22" i="7"/>
  <c r="AZ22" i="7"/>
  <c r="AY22" i="7"/>
  <c r="AV22" i="7"/>
  <c r="AU22" i="7"/>
  <c r="AT22" i="7"/>
  <c r="AS22" i="7"/>
  <c r="AR22" i="7"/>
  <c r="BH21" i="7"/>
  <c r="BK21" i="7" s="1"/>
  <c r="BG21" i="7"/>
  <c r="BF21" i="7"/>
  <c r="BH7" i="7"/>
  <c r="BK7" i="7" s="1"/>
  <c r="BG7" i="7"/>
  <c r="BF7" i="7"/>
  <c r="BE7" i="7"/>
  <c r="BD7" i="7"/>
  <c r="BB7" i="7"/>
  <c r="BA7" i="7"/>
  <c r="AZ7" i="7"/>
  <c r="AY7" i="7"/>
  <c r="AX7" i="7"/>
  <c r="AV7" i="7"/>
  <c r="AU7" i="7"/>
  <c r="AT7" i="7"/>
  <c r="AS7" i="7"/>
  <c r="AR7" i="7"/>
  <c r="BH5" i="7"/>
  <c r="BK5" i="7" s="1"/>
  <c r="BG5" i="7"/>
  <c r="BF5" i="7"/>
  <c r="BE5" i="7"/>
  <c r="BD5" i="7"/>
  <c r="BB5" i="7"/>
  <c r="BA5" i="7"/>
  <c r="AZ5" i="7"/>
  <c r="AY5" i="7"/>
  <c r="AX5" i="7"/>
  <c r="AV5" i="7"/>
  <c r="AU5" i="7"/>
  <c r="AT5" i="7"/>
  <c r="AS5" i="7"/>
  <c r="AR5" i="7"/>
  <c r="BH71" i="4"/>
  <c r="BG71" i="4"/>
  <c r="BF71" i="4"/>
  <c r="BE71" i="4"/>
  <c r="BD71" i="4"/>
  <c r="BB71" i="4"/>
  <c r="BA71" i="4"/>
  <c r="AZ71" i="4"/>
  <c r="AY71" i="4"/>
  <c r="AX71" i="4"/>
  <c r="AV71" i="4"/>
  <c r="AU71" i="4"/>
  <c r="AT71" i="4"/>
  <c r="AS71" i="4"/>
  <c r="AR71" i="4"/>
  <c r="BH70" i="4"/>
  <c r="BG70" i="4"/>
  <c r="BF70" i="4"/>
  <c r="BE70" i="4"/>
  <c r="BD70" i="4"/>
  <c r="BB70" i="4"/>
  <c r="BA70" i="4"/>
  <c r="AZ70" i="4"/>
  <c r="AY70" i="4"/>
  <c r="AX70" i="4"/>
  <c r="AV70" i="4"/>
  <c r="AU70" i="4"/>
  <c r="AT70" i="4"/>
  <c r="AS70" i="4"/>
  <c r="AR70" i="4"/>
  <c r="BH69" i="4"/>
  <c r="BG69" i="4"/>
  <c r="BF69" i="4"/>
  <c r="BE69" i="4"/>
  <c r="BD69" i="4"/>
  <c r="BB69" i="4"/>
  <c r="BA69" i="4"/>
  <c r="AZ69" i="4"/>
  <c r="AY69" i="4"/>
  <c r="AX69" i="4"/>
  <c r="AV69" i="4"/>
  <c r="AU69" i="4"/>
  <c r="AT69" i="4"/>
  <c r="AS69" i="4"/>
  <c r="AR69" i="4"/>
  <c r="BH68" i="4"/>
  <c r="BG68" i="4"/>
  <c r="BF68" i="4"/>
  <c r="BE68" i="4"/>
  <c r="BD68" i="4"/>
  <c r="BB68" i="4"/>
  <c r="BA68" i="4"/>
  <c r="AZ68" i="4"/>
  <c r="AY68" i="4"/>
  <c r="AX68" i="4"/>
  <c r="AV68" i="4"/>
  <c r="AU68" i="4"/>
  <c r="AT68" i="4"/>
  <c r="AS68" i="4"/>
  <c r="AR68" i="4"/>
  <c r="BH67" i="4"/>
  <c r="BG67" i="4"/>
  <c r="BF67" i="4"/>
  <c r="BE67" i="4"/>
  <c r="BD67" i="4"/>
  <c r="BB67" i="4"/>
  <c r="BA67" i="4"/>
  <c r="AZ67" i="4"/>
  <c r="AY67" i="4"/>
  <c r="AX67" i="4"/>
  <c r="AV67" i="4"/>
  <c r="AU67" i="4"/>
  <c r="AT67" i="4"/>
  <c r="AS67" i="4"/>
  <c r="AR67" i="4"/>
  <c r="BH63" i="4"/>
  <c r="BG63" i="4"/>
  <c r="BF63" i="4"/>
  <c r="BE63" i="4"/>
  <c r="BD63" i="4"/>
  <c r="BB63" i="4"/>
  <c r="BA63" i="4"/>
  <c r="AZ63" i="4"/>
  <c r="AY63" i="4"/>
  <c r="AX63" i="4"/>
  <c r="AV63" i="4"/>
  <c r="AU63" i="4"/>
  <c r="AT63" i="4"/>
  <c r="AS63" i="4"/>
  <c r="AR63" i="4"/>
  <c r="BH62" i="4"/>
  <c r="BG62" i="4"/>
  <c r="BF62" i="4"/>
  <c r="BE62" i="4"/>
  <c r="BD62" i="4"/>
  <c r="BB62" i="4"/>
  <c r="BA62" i="4"/>
  <c r="AZ62" i="4"/>
  <c r="AY62" i="4"/>
  <c r="AX62" i="4"/>
  <c r="AV62" i="4"/>
  <c r="AU62" i="4"/>
  <c r="AT62" i="4"/>
  <c r="AS62" i="4"/>
  <c r="AR62" i="4"/>
  <c r="BH61" i="4"/>
  <c r="BG61" i="4"/>
  <c r="BF61" i="4"/>
  <c r="BE61" i="4"/>
  <c r="BD61" i="4"/>
  <c r="BB61" i="4"/>
  <c r="BA61" i="4"/>
  <c r="AZ61" i="4"/>
  <c r="AY61" i="4"/>
  <c r="AX61" i="4"/>
  <c r="AV61" i="4"/>
  <c r="AU61" i="4"/>
  <c r="AT61" i="4"/>
  <c r="AS61" i="4"/>
  <c r="AR61" i="4"/>
  <c r="BH60" i="4"/>
  <c r="BG60" i="4"/>
  <c r="BF60" i="4"/>
  <c r="BE60" i="4"/>
  <c r="BD60" i="4"/>
  <c r="BB60" i="4"/>
  <c r="BA60" i="4"/>
  <c r="AZ60" i="4"/>
  <c r="AY60" i="4"/>
  <c r="AX60" i="4"/>
  <c r="AV60" i="4"/>
  <c r="AU60" i="4"/>
  <c r="AT60" i="4"/>
  <c r="AS60" i="4"/>
  <c r="AR60" i="4"/>
  <c r="BH59" i="4"/>
  <c r="BG59" i="4"/>
  <c r="BF59" i="4"/>
  <c r="BE59" i="4"/>
  <c r="BD59" i="4"/>
  <c r="BB59" i="4"/>
  <c r="BA59" i="4"/>
  <c r="AZ59" i="4"/>
  <c r="AY59" i="4"/>
  <c r="AX59" i="4"/>
  <c r="AV59" i="4"/>
  <c r="AU59" i="4"/>
  <c r="AT59" i="4"/>
  <c r="AS59" i="4"/>
  <c r="AR59" i="4"/>
  <c r="BH58" i="4"/>
  <c r="BG58" i="4"/>
  <c r="BF58" i="4"/>
  <c r="BE58" i="4"/>
  <c r="BD58" i="4"/>
  <c r="BB58" i="4"/>
  <c r="BA58" i="4"/>
  <c r="AZ58" i="4"/>
  <c r="AY58" i="4"/>
  <c r="AX58" i="4"/>
  <c r="AV58" i="4"/>
  <c r="AU58" i="4"/>
  <c r="AT58" i="4"/>
  <c r="AS58" i="4"/>
  <c r="AR58" i="4"/>
  <c r="BH57" i="4"/>
  <c r="BG57" i="4"/>
  <c r="BF57" i="4"/>
  <c r="BE57" i="4"/>
  <c r="BD57" i="4"/>
  <c r="BB57" i="4"/>
  <c r="BA57" i="4"/>
  <c r="AZ57" i="4"/>
  <c r="AY57" i="4"/>
  <c r="AX57" i="4"/>
  <c r="AV57" i="4"/>
  <c r="AU57" i="4"/>
  <c r="AT57" i="4"/>
  <c r="AS57" i="4"/>
  <c r="AR57" i="4"/>
  <c r="BH52" i="4"/>
  <c r="BG52" i="4"/>
  <c r="BF52" i="4"/>
  <c r="BE52" i="4"/>
  <c r="BD52" i="4"/>
  <c r="BB52" i="4"/>
  <c r="BA52" i="4"/>
  <c r="AZ52" i="4"/>
  <c r="AY52" i="4"/>
  <c r="AX52" i="4"/>
  <c r="AV52" i="4"/>
  <c r="AU52" i="4"/>
  <c r="AT52" i="4"/>
  <c r="AS52" i="4"/>
  <c r="AR52" i="4"/>
  <c r="BH51" i="4"/>
  <c r="BG51" i="4"/>
  <c r="BF51" i="4"/>
  <c r="BE51" i="4"/>
  <c r="BD51" i="4"/>
  <c r="BB51" i="4"/>
  <c r="BA51" i="4"/>
  <c r="AZ51" i="4"/>
  <c r="AY51" i="4"/>
  <c r="AX51" i="4"/>
  <c r="AV51" i="4"/>
  <c r="AU51" i="4"/>
  <c r="AT51" i="4"/>
  <c r="AS51" i="4"/>
  <c r="AR51" i="4"/>
  <c r="BH50" i="4"/>
  <c r="BG50" i="4"/>
  <c r="BF50" i="4"/>
  <c r="BE50" i="4"/>
  <c r="BD50" i="4"/>
  <c r="BB50" i="4"/>
  <c r="BA50" i="4"/>
  <c r="AZ50" i="4"/>
  <c r="AY50" i="4"/>
  <c r="AX50" i="4"/>
  <c r="AV50" i="4"/>
  <c r="AU50" i="4"/>
  <c r="AT50" i="4"/>
  <c r="AS50" i="4"/>
  <c r="AR50" i="4"/>
  <c r="BH49" i="4"/>
  <c r="BG49" i="4"/>
  <c r="BF49" i="4"/>
  <c r="BE49" i="4"/>
  <c r="BD49" i="4"/>
  <c r="BB49" i="4"/>
  <c r="BA49" i="4"/>
  <c r="AZ49" i="4"/>
  <c r="AY49" i="4"/>
  <c r="AX49" i="4"/>
  <c r="AV49" i="4"/>
  <c r="AU49" i="4"/>
  <c r="AT49" i="4"/>
  <c r="AS49" i="4"/>
  <c r="AR49" i="4"/>
  <c r="BH48" i="4"/>
  <c r="BG48" i="4"/>
  <c r="BF48" i="4"/>
  <c r="BE48" i="4"/>
  <c r="BD48" i="4"/>
  <c r="BB48" i="4"/>
  <c r="BA48" i="4"/>
  <c r="AZ48" i="4"/>
  <c r="AY48" i="4"/>
  <c r="AX48" i="4"/>
  <c r="AV48" i="4"/>
  <c r="AU48" i="4"/>
  <c r="AT48" i="4"/>
  <c r="AS48" i="4"/>
  <c r="AR48" i="4"/>
  <c r="BH47" i="4"/>
  <c r="BG47" i="4"/>
  <c r="BF47" i="4"/>
  <c r="BE47" i="4"/>
  <c r="BD47" i="4"/>
  <c r="BB47" i="4"/>
  <c r="BA47" i="4"/>
  <c r="AZ47" i="4"/>
  <c r="AY47" i="4"/>
  <c r="AX47" i="4"/>
  <c r="AV47" i="4"/>
  <c r="AU47" i="4"/>
  <c r="AT47" i="4"/>
  <c r="AS47" i="4"/>
  <c r="AR47" i="4"/>
  <c r="BH46" i="4"/>
  <c r="BG46" i="4"/>
  <c r="BF46" i="4"/>
  <c r="BE46" i="4"/>
  <c r="BD46" i="4"/>
  <c r="BB46" i="4"/>
  <c r="BA46" i="4"/>
  <c r="AZ46" i="4"/>
  <c r="AY46" i="4"/>
  <c r="AX46" i="4"/>
  <c r="AV46" i="4"/>
  <c r="AU46" i="4"/>
  <c r="AT46" i="4"/>
  <c r="AS46" i="4"/>
  <c r="AR46" i="4"/>
  <c r="BH45" i="4"/>
  <c r="BG45" i="4"/>
  <c r="BF45" i="4"/>
  <c r="BE45" i="4"/>
  <c r="BD45" i="4"/>
  <c r="BB45" i="4"/>
  <c r="BA45" i="4"/>
  <c r="AZ45" i="4"/>
  <c r="AY45" i="4"/>
  <c r="AX45" i="4"/>
  <c r="AV45" i="4"/>
  <c r="AU45" i="4"/>
  <c r="AT45" i="4"/>
  <c r="AS45" i="4"/>
  <c r="AR45" i="4"/>
  <c r="BH44" i="4"/>
  <c r="BG44" i="4"/>
  <c r="BF44" i="4"/>
  <c r="BE44" i="4"/>
  <c r="BD44" i="4"/>
  <c r="BB44" i="4"/>
  <c r="BA44" i="4"/>
  <c r="AZ44" i="4"/>
  <c r="AY44" i="4"/>
  <c r="AX44" i="4"/>
  <c r="AV44" i="4"/>
  <c r="AU44" i="4"/>
  <c r="AT44" i="4"/>
  <c r="AS44" i="4"/>
  <c r="AR44" i="4"/>
  <c r="BH43" i="4"/>
  <c r="BG43" i="4"/>
  <c r="BF43" i="4"/>
  <c r="BE43" i="4"/>
  <c r="BD43" i="4"/>
  <c r="BB43" i="4"/>
  <c r="BA43" i="4"/>
  <c r="AZ43" i="4"/>
  <c r="AY43" i="4"/>
  <c r="AX43" i="4"/>
  <c r="AV43" i="4"/>
  <c r="AU43" i="4"/>
  <c r="AT43" i="4"/>
  <c r="AS43" i="4"/>
  <c r="AR43" i="4"/>
  <c r="BH39" i="4"/>
  <c r="BG39" i="4"/>
  <c r="BF39" i="4"/>
  <c r="BE39" i="4"/>
  <c r="BD39" i="4"/>
  <c r="BB39" i="4"/>
  <c r="BA39" i="4"/>
  <c r="AZ39" i="4"/>
  <c r="AY39" i="4"/>
  <c r="AX39" i="4"/>
  <c r="AV39" i="4"/>
  <c r="AU39" i="4"/>
  <c r="AT39" i="4"/>
  <c r="AS39" i="4"/>
  <c r="AR39" i="4"/>
  <c r="BH38" i="4"/>
  <c r="BG38" i="4"/>
  <c r="BF38" i="4"/>
  <c r="BE38" i="4"/>
  <c r="BD38" i="4"/>
  <c r="BB38" i="4"/>
  <c r="BA38" i="4"/>
  <c r="AZ38" i="4"/>
  <c r="AY38" i="4"/>
  <c r="AX38" i="4"/>
  <c r="AV38" i="4"/>
  <c r="AU38" i="4"/>
  <c r="AT38" i="4"/>
  <c r="AS38" i="4"/>
  <c r="AR38" i="4"/>
  <c r="BH37" i="4"/>
  <c r="BG37" i="4"/>
  <c r="BF37" i="4"/>
  <c r="BE37" i="4"/>
  <c r="BD37" i="4"/>
  <c r="BB37" i="4"/>
  <c r="BA37" i="4"/>
  <c r="AZ37" i="4"/>
  <c r="AY37" i="4"/>
  <c r="AX37" i="4"/>
  <c r="AV37" i="4"/>
  <c r="AU37" i="4"/>
  <c r="AT37" i="4"/>
  <c r="AS37" i="4"/>
  <c r="AR37" i="4"/>
  <c r="BH36" i="4"/>
  <c r="BG36" i="4"/>
  <c r="BF36" i="4"/>
  <c r="BE36" i="4"/>
  <c r="BD36" i="4"/>
  <c r="BB36" i="4"/>
  <c r="BA36" i="4"/>
  <c r="AZ36" i="4"/>
  <c r="AY36" i="4"/>
  <c r="AX36" i="4"/>
  <c r="AV36" i="4"/>
  <c r="AU36" i="4"/>
  <c r="AT36" i="4"/>
  <c r="AS36" i="4"/>
  <c r="AR36" i="4"/>
  <c r="BH32" i="4"/>
  <c r="BG32" i="4"/>
  <c r="BF32" i="4"/>
  <c r="BE32" i="4"/>
  <c r="BD32" i="4"/>
  <c r="BB32" i="4"/>
  <c r="BA32" i="4"/>
  <c r="AZ32" i="4"/>
  <c r="AY32" i="4"/>
  <c r="AX32" i="4"/>
  <c r="AV32" i="4"/>
  <c r="AU32" i="4"/>
  <c r="AT32" i="4"/>
  <c r="AS32" i="4"/>
  <c r="AR32" i="4"/>
  <c r="BH31" i="4"/>
  <c r="BG31" i="4"/>
  <c r="BF31" i="4"/>
  <c r="BE31" i="4"/>
  <c r="BD31" i="4"/>
  <c r="BB31" i="4"/>
  <c r="BA31" i="4"/>
  <c r="AZ31" i="4"/>
  <c r="AY31" i="4"/>
  <c r="AX31" i="4"/>
  <c r="AV31" i="4"/>
  <c r="AU31" i="4"/>
  <c r="AT31" i="4"/>
  <c r="AS31" i="4"/>
  <c r="AR31" i="4"/>
  <c r="BH30" i="4"/>
  <c r="BG30" i="4"/>
  <c r="BF30" i="4"/>
  <c r="BE30" i="4"/>
  <c r="BD30" i="4"/>
  <c r="BB30" i="4"/>
  <c r="BA30" i="4"/>
  <c r="AZ30" i="4"/>
  <c r="AY30" i="4"/>
  <c r="AX30" i="4"/>
  <c r="AV30" i="4"/>
  <c r="AU30" i="4"/>
  <c r="AT30" i="4"/>
  <c r="AS30" i="4"/>
  <c r="AR30" i="4"/>
  <c r="BH29" i="4"/>
  <c r="BG29" i="4"/>
  <c r="BF29" i="4"/>
  <c r="BE29" i="4"/>
  <c r="BD29" i="4"/>
  <c r="BB29" i="4"/>
  <c r="BA29" i="4"/>
  <c r="AZ29" i="4"/>
  <c r="AY29" i="4"/>
  <c r="AX29" i="4"/>
  <c r="AV29" i="4"/>
  <c r="AU29" i="4"/>
  <c r="AT29" i="4"/>
  <c r="AS29" i="4"/>
  <c r="AR29" i="4"/>
  <c r="BH28" i="4"/>
  <c r="BG28" i="4"/>
  <c r="BF28" i="4"/>
  <c r="BE28" i="4"/>
  <c r="BD28" i="4"/>
  <c r="BB28" i="4"/>
  <c r="BA28" i="4"/>
  <c r="AZ28" i="4"/>
  <c r="AY28" i="4"/>
  <c r="AX28" i="4"/>
  <c r="AV28" i="4"/>
  <c r="AU28" i="4"/>
  <c r="AT28" i="4"/>
  <c r="AS28" i="4"/>
  <c r="AR28" i="4"/>
  <c r="BH23" i="4"/>
  <c r="BG23" i="4"/>
  <c r="BF23" i="4"/>
  <c r="BE23" i="4"/>
  <c r="BD23" i="4"/>
  <c r="BB23" i="4"/>
  <c r="BA23" i="4"/>
  <c r="AZ23" i="4"/>
  <c r="AY23" i="4"/>
  <c r="AX23" i="4"/>
  <c r="AV23" i="4"/>
  <c r="AU23" i="4"/>
  <c r="AT23" i="4"/>
  <c r="AS23" i="4"/>
  <c r="AR23" i="4"/>
  <c r="BH22" i="4"/>
  <c r="BG22" i="4"/>
  <c r="BF22" i="4"/>
  <c r="BE22" i="4"/>
  <c r="BD22" i="4"/>
  <c r="BB22" i="4"/>
  <c r="BA22" i="4"/>
  <c r="AZ22" i="4"/>
  <c r="AY22" i="4"/>
  <c r="AX22" i="4"/>
  <c r="AV22" i="4"/>
  <c r="AU22" i="4"/>
  <c r="AT22" i="4"/>
  <c r="AS22" i="4"/>
  <c r="AR22" i="4"/>
  <c r="BH21" i="4"/>
  <c r="BG21" i="4"/>
  <c r="BF21" i="4"/>
  <c r="BE21" i="4"/>
  <c r="BD21" i="4"/>
  <c r="BB21" i="4"/>
  <c r="BA21" i="4"/>
  <c r="AZ21" i="4"/>
  <c r="AY21" i="4"/>
  <c r="AX21" i="4"/>
  <c r="AV21" i="4"/>
  <c r="AU21" i="4"/>
  <c r="AT21" i="4"/>
  <c r="AS21" i="4"/>
  <c r="AR21" i="4"/>
  <c r="BH7" i="4"/>
  <c r="BG7" i="4"/>
  <c r="BF7" i="4"/>
  <c r="BE7" i="4"/>
  <c r="BD7" i="4"/>
  <c r="BB7" i="4"/>
  <c r="BA7" i="4"/>
  <c r="AZ7" i="4"/>
  <c r="AY7" i="4"/>
  <c r="AX7" i="4"/>
  <c r="AV7" i="4"/>
  <c r="AU7" i="4"/>
  <c r="AT7" i="4"/>
  <c r="AS7" i="4"/>
  <c r="AR7" i="4"/>
  <c r="BH5" i="4"/>
  <c r="BG5" i="4"/>
  <c r="BF5" i="4"/>
  <c r="BE5" i="4"/>
  <c r="BD5" i="4"/>
  <c r="BB5" i="4"/>
  <c r="BA5" i="4"/>
  <c r="AZ5" i="4"/>
  <c r="AY5" i="4"/>
  <c r="AX5" i="4"/>
  <c r="AV5" i="4"/>
  <c r="AU5" i="4"/>
  <c r="AT5" i="4"/>
  <c r="AS5" i="4"/>
  <c r="AR5" i="4"/>
  <c r="BH70" i="5"/>
  <c r="BG70" i="5"/>
  <c r="BF70" i="5"/>
  <c r="BH69" i="5"/>
  <c r="BG69" i="5"/>
  <c r="BF69" i="5"/>
  <c r="BE69" i="5"/>
  <c r="BD69" i="5"/>
  <c r="BB69" i="5"/>
  <c r="BA69" i="5"/>
  <c r="AZ69" i="5"/>
  <c r="AY69" i="5"/>
  <c r="AX69" i="5"/>
  <c r="AV69" i="5"/>
  <c r="AU69" i="5"/>
  <c r="AT69" i="5"/>
  <c r="AS69" i="5"/>
  <c r="AR69" i="5"/>
  <c r="BH68" i="5"/>
  <c r="BG68" i="5"/>
  <c r="BF68" i="5"/>
  <c r="BE68" i="5"/>
  <c r="BD68" i="5"/>
  <c r="BB68" i="5"/>
  <c r="BA68" i="5"/>
  <c r="AZ68" i="5"/>
  <c r="AY68" i="5"/>
  <c r="AX68" i="5"/>
  <c r="AV68" i="5"/>
  <c r="AU68" i="5"/>
  <c r="AT68" i="5"/>
  <c r="AS68" i="5"/>
  <c r="AR68" i="5"/>
  <c r="BH67" i="5"/>
  <c r="BG67" i="5"/>
  <c r="BF67" i="5"/>
  <c r="BE67" i="5"/>
  <c r="BD67" i="5"/>
  <c r="BB67" i="5"/>
  <c r="BA67" i="5"/>
  <c r="AZ67" i="5"/>
  <c r="AY67" i="5"/>
  <c r="AX67" i="5"/>
  <c r="AV67" i="5"/>
  <c r="AU67" i="5"/>
  <c r="AT67" i="5"/>
  <c r="AS67" i="5"/>
  <c r="AR67" i="5"/>
  <c r="BH63" i="5"/>
  <c r="BG63" i="5"/>
  <c r="BF63" i="5"/>
  <c r="BE63" i="5"/>
  <c r="BD63" i="5"/>
  <c r="BB63" i="5"/>
  <c r="BA63" i="5"/>
  <c r="AZ63" i="5"/>
  <c r="AY63" i="5"/>
  <c r="AX63" i="5"/>
  <c r="AV63" i="5"/>
  <c r="AU63" i="5"/>
  <c r="AT63" i="5"/>
  <c r="AS63" i="5"/>
  <c r="AR63" i="5"/>
  <c r="BH62" i="5"/>
  <c r="BG62" i="5"/>
  <c r="BF62" i="5"/>
  <c r="BE62" i="5"/>
  <c r="BD62" i="5"/>
  <c r="BB62" i="5"/>
  <c r="BA62" i="5"/>
  <c r="AZ62" i="5"/>
  <c r="AY62" i="5"/>
  <c r="AX62" i="5"/>
  <c r="AV62" i="5"/>
  <c r="AU62" i="5"/>
  <c r="AT62" i="5"/>
  <c r="AS62" i="5"/>
  <c r="AR62" i="5"/>
  <c r="BH61" i="5"/>
  <c r="BG61" i="5"/>
  <c r="BF61" i="5"/>
  <c r="BE61" i="5"/>
  <c r="BD61" i="5"/>
  <c r="BB61" i="5"/>
  <c r="BA61" i="5"/>
  <c r="AZ61" i="5"/>
  <c r="AY61" i="5"/>
  <c r="AX61" i="5"/>
  <c r="AV61" i="5"/>
  <c r="AU61" i="5"/>
  <c r="AT61" i="5"/>
  <c r="AS61" i="5"/>
  <c r="AR61" i="5"/>
  <c r="BH60" i="5"/>
  <c r="BG60" i="5"/>
  <c r="BF60" i="5"/>
  <c r="BE60" i="5"/>
  <c r="BD60" i="5"/>
  <c r="BB60" i="5"/>
  <c r="BA60" i="5"/>
  <c r="AZ60" i="5"/>
  <c r="AY60" i="5"/>
  <c r="AX60" i="5"/>
  <c r="AV60" i="5"/>
  <c r="AU60" i="5"/>
  <c r="AT60" i="5"/>
  <c r="AS60" i="5"/>
  <c r="AR60" i="5"/>
  <c r="BH59" i="5"/>
  <c r="BG59" i="5"/>
  <c r="BF59" i="5"/>
  <c r="BE59" i="5"/>
  <c r="BD59" i="5"/>
  <c r="BB59" i="5"/>
  <c r="BA59" i="5"/>
  <c r="AZ59" i="5"/>
  <c r="AY59" i="5"/>
  <c r="AX59" i="5"/>
  <c r="AV59" i="5"/>
  <c r="AU59" i="5"/>
  <c r="AT59" i="5"/>
  <c r="AS59" i="5"/>
  <c r="AR59" i="5"/>
  <c r="BH58" i="5"/>
  <c r="BG58" i="5"/>
  <c r="BF58" i="5"/>
  <c r="BE58" i="5"/>
  <c r="BD58" i="5"/>
  <c r="BB58" i="5"/>
  <c r="BA58" i="5"/>
  <c r="AZ58" i="5"/>
  <c r="AY58" i="5"/>
  <c r="AX58" i="5"/>
  <c r="AV58" i="5"/>
  <c r="AU58" i="5"/>
  <c r="AT58" i="5"/>
  <c r="AS58" i="5"/>
  <c r="AR58" i="5"/>
  <c r="BH57" i="5"/>
  <c r="BG57" i="5"/>
  <c r="BF57" i="5"/>
  <c r="BE57" i="5"/>
  <c r="BD57" i="5"/>
  <c r="BB57" i="5"/>
  <c r="BA57" i="5"/>
  <c r="AZ57" i="5"/>
  <c r="AY57" i="5"/>
  <c r="AX57" i="5"/>
  <c r="AV57" i="5"/>
  <c r="AU57" i="5"/>
  <c r="AT57" i="5"/>
  <c r="AS57" i="5"/>
  <c r="AR57" i="5"/>
  <c r="BH52" i="5"/>
  <c r="BG52" i="5"/>
  <c r="BF52" i="5"/>
  <c r="BE52" i="5"/>
  <c r="BD52" i="5"/>
  <c r="BB52" i="5"/>
  <c r="BA52" i="5"/>
  <c r="AZ52" i="5"/>
  <c r="AY52" i="5"/>
  <c r="AX52" i="5"/>
  <c r="AV52" i="5"/>
  <c r="AU52" i="5"/>
  <c r="AT52" i="5"/>
  <c r="AS52" i="5"/>
  <c r="AR52" i="5"/>
  <c r="BH50" i="5"/>
  <c r="BG50" i="5"/>
  <c r="BF50" i="5"/>
  <c r="BE50" i="5"/>
  <c r="BD50" i="5"/>
  <c r="BB50" i="5"/>
  <c r="BA50" i="5"/>
  <c r="AZ50" i="5"/>
  <c r="AY50" i="5"/>
  <c r="AX50" i="5"/>
  <c r="AV50" i="5"/>
  <c r="AU50" i="5"/>
  <c r="AT50" i="5"/>
  <c r="AS50" i="5"/>
  <c r="AR50" i="5"/>
  <c r="BH49" i="5"/>
  <c r="BG49" i="5"/>
  <c r="BF49" i="5"/>
  <c r="BE49" i="5"/>
  <c r="BD49" i="5"/>
  <c r="BB49" i="5"/>
  <c r="BA49" i="5"/>
  <c r="AZ49" i="5"/>
  <c r="AY49" i="5"/>
  <c r="AX49" i="5"/>
  <c r="AV49" i="5"/>
  <c r="AU49" i="5"/>
  <c r="AT49" i="5"/>
  <c r="AS49" i="5"/>
  <c r="AR49" i="5"/>
  <c r="BH47" i="5"/>
  <c r="BG47" i="5"/>
  <c r="BF47" i="5"/>
  <c r="BE47" i="5"/>
  <c r="BD47" i="5"/>
  <c r="BB47" i="5"/>
  <c r="BA47" i="5"/>
  <c r="AZ47" i="5"/>
  <c r="AY47" i="5"/>
  <c r="AX47" i="5"/>
  <c r="AV47" i="5"/>
  <c r="AU47" i="5"/>
  <c r="AT47" i="5"/>
  <c r="AS47" i="5"/>
  <c r="AR47" i="5"/>
  <c r="BH46" i="5"/>
  <c r="BG46" i="5"/>
  <c r="BF46" i="5"/>
  <c r="BE46" i="5"/>
  <c r="BD46" i="5"/>
  <c r="BB46" i="5"/>
  <c r="BA46" i="5"/>
  <c r="AZ46" i="5"/>
  <c r="AY46" i="5"/>
  <c r="AX46" i="5"/>
  <c r="AV46" i="5"/>
  <c r="AU46" i="5"/>
  <c r="AT46" i="5"/>
  <c r="AS46" i="5"/>
  <c r="AR46" i="5"/>
  <c r="BH39" i="5"/>
  <c r="BG39" i="5"/>
  <c r="BF39" i="5"/>
  <c r="BE39" i="5"/>
  <c r="BD39" i="5"/>
  <c r="BB39" i="5"/>
  <c r="BA39" i="5"/>
  <c r="AZ39" i="5"/>
  <c r="AY39" i="5"/>
  <c r="AX39" i="5"/>
  <c r="AV39" i="5"/>
  <c r="AU39" i="5"/>
  <c r="AT39" i="5"/>
  <c r="AS39" i="5"/>
  <c r="AR39" i="5"/>
  <c r="BH38" i="5"/>
  <c r="BG38" i="5"/>
  <c r="BF38" i="5"/>
  <c r="BE38" i="5"/>
  <c r="BD38" i="5"/>
  <c r="BB38" i="5"/>
  <c r="BA38" i="5"/>
  <c r="AZ38" i="5"/>
  <c r="AY38" i="5"/>
  <c r="AX38" i="5"/>
  <c r="AV38" i="5"/>
  <c r="AU38" i="5"/>
  <c r="AT38" i="5"/>
  <c r="AS38" i="5"/>
  <c r="AR38" i="5"/>
  <c r="BH37" i="5"/>
  <c r="BG37" i="5"/>
  <c r="BF37" i="5"/>
  <c r="BE37" i="5"/>
  <c r="BD37" i="5"/>
  <c r="BB37" i="5"/>
  <c r="BA37" i="5"/>
  <c r="AZ37" i="5"/>
  <c r="AY37" i="5"/>
  <c r="AX37" i="5"/>
  <c r="AV37" i="5"/>
  <c r="AU37" i="5"/>
  <c r="AT37" i="5"/>
  <c r="AS37" i="5"/>
  <c r="AR37" i="5"/>
  <c r="BH36" i="5"/>
  <c r="BG36" i="5"/>
  <c r="BF36" i="5"/>
  <c r="BE36" i="5"/>
  <c r="BD36" i="5"/>
  <c r="BB36" i="5"/>
  <c r="BA36" i="5"/>
  <c r="AZ36" i="5"/>
  <c r="AY36" i="5"/>
  <c r="AX36" i="5"/>
  <c r="AV36" i="5"/>
  <c r="AU36" i="5"/>
  <c r="AT36" i="5"/>
  <c r="AS36" i="5"/>
  <c r="AR36" i="5"/>
  <c r="BH32" i="5"/>
  <c r="BG32" i="5"/>
  <c r="BF32" i="5"/>
  <c r="BE32" i="5"/>
  <c r="BD32" i="5"/>
  <c r="BB32" i="5"/>
  <c r="BA32" i="5"/>
  <c r="AZ32" i="5"/>
  <c r="AY32" i="5"/>
  <c r="AX32" i="5"/>
  <c r="AV32" i="5"/>
  <c r="AU32" i="5"/>
  <c r="AT32" i="5"/>
  <c r="AS32" i="5"/>
  <c r="AR32" i="5"/>
  <c r="BH31" i="5"/>
  <c r="BG31" i="5"/>
  <c r="BF31" i="5"/>
  <c r="BE31" i="5"/>
  <c r="BD31" i="5"/>
  <c r="BB31" i="5"/>
  <c r="BA31" i="5"/>
  <c r="AZ31" i="5"/>
  <c r="AY31" i="5"/>
  <c r="AX31" i="5"/>
  <c r="AV31" i="5"/>
  <c r="AU31" i="5"/>
  <c r="AT31" i="5"/>
  <c r="AS31" i="5"/>
  <c r="AR31" i="5"/>
  <c r="BH30" i="5"/>
  <c r="BG30" i="5"/>
  <c r="BF30" i="5"/>
  <c r="BE30" i="5"/>
  <c r="BD30" i="5"/>
  <c r="BB30" i="5"/>
  <c r="BA30" i="5"/>
  <c r="AZ30" i="5"/>
  <c r="AY30" i="5"/>
  <c r="AX30" i="5"/>
  <c r="AV30" i="5"/>
  <c r="AU30" i="5"/>
  <c r="AT30" i="5"/>
  <c r="AS30" i="5"/>
  <c r="AR30" i="5"/>
  <c r="BH29" i="5"/>
  <c r="BG29" i="5"/>
  <c r="BF29" i="5"/>
  <c r="BE29" i="5"/>
  <c r="BD29" i="5"/>
  <c r="BB29" i="5"/>
  <c r="BA29" i="5"/>
  <c r="AZ29" i="5"/>
  <c r="AY29" i="5"/>
  <c r="AX29" i="5"/>
  <c r="AV29" i="5"/>
  <c r="AU29" i="5"/>
  <c r="AT29" i="5"/>
  <c r="AS29" i="5"/>
  <c r="AR29" i="5"/>
  <c r="BH28" i="5"/>
  <c r="BG28" i="5"/>
  <c r="BF28" i="5"/>
  <c r="BE28" i="5"/>
  <c r="BD28" i="5"/>
  <c r="BB28" i="5"/>
  <c r="BA28" i="5"/>
  <c r="AZ28" i="5"/>
  <c r="AY28" i="5"/>
  <c r="AX28" i="5"/>
  <c r="AV28" i="5"/>
  <c r="AU28" i="5"/>
  <c r="AT28" i="5"/>
  <c r="AS28" i="5"/>
  <c r="AR28" i="5"/>
  <c r="BH23" i="5"/>
  <c r="BG23" i="5"/>
  <c r="BF23" i="5"/>
  <c r="BE23" i="5"/>
  <c r="BD23" i="5"/>
  <c r="BB23" i="5"/>
  <c r="BA23" i="5"/>
  <c r="AZ23" i="5"/>
  <c r="AY23" i="5"/>
  <c r="AX23" i="5"/>
  <c r="AV23" i="5"/>
  <c r="AU23" i="5"/>
  <c r="AT23" i="5"/>
  <c r="AS23" i="5"/>
  <c r="AR23" i="5"/>
  <c r="BH22" i="5"/>
  <c r="BG22" i="5"/>
  <c r="BF22" i="5"/>
  <c r="BE22" i="5"/>
  <c r="BD22" i="5"/>
  <c r="BB22" i="5"/>
  <c r="BA22" i="5"/>
  <c r="AZ22" i="5"/>
  <c r="AY22" i="5"/>
  <c r="AX22" i="5"/>
  <c r="AV22" i="5"/>
  <c r="AU22" i="5"/>
  <c r="AT22" i="5"/>
  <c r="AS22" i="5"/>
  <c r="AR22" i="5"/>
  <c r="BH21" i="5"/>
  <c r="BG21" i="5"/>
  <c r="BF21" i="5"/>
  <c r="BE21" i="5"/>
  <c r="BD21" i="5"/>
  <c r="BB21" i="5"/>
  <c r="BA21" i="5"/>
  <c r="AZ21" i="5"/>
  <c r="AY21" i="5"/>
  <c r="AX21" i="5"/>
  <c r="AV21" i="5"/>
  <c r="AU21" i="5"/>
  <c r="AT21" i="5"/>
  <c r="AS21" i="5"/>
  <c r="AR21" i="5"/>
  <c r="BH7" i="5"/>
  <c r="BG7" i="5"/>
  <c r="BF7" i="5"/>
  <c r="BE7" i="5"/>
  <c r="BD7" i="5"/>
  <c r="BB7" i="5"/>
  <c r="BA7" i="5"/>
  <c r="AZ7" i="5"/>
  <c r="AY7" i="5"/>
  <c r="AX7" i="5"/>
  <c r="AV7" i="5"/>
  <c r="AU7" i="5"/>
  <c r="AT7" i="5"/>
  <c r="AS7" i="5"/>
  <c r="AR7" i="5"/>
  <c r="BH5" i="5"/>
  <c r="BG5" i="5"/>
  <c r="BF5" i="5"/>
  <c r="BE5" i="5"/>
  <c r="BD5" i="5"/>
  <c r="BB5" i="5"/>
  <c r="BA5" i="5"/>
  <c r="AZ5" i="5"/>
  <c r="AY5" i="5"/>
  <c r="AX5" i="5"/>
  <c r="AV5" i="5"/>
  <c r="AU5" i="5"/>
  <c r="AT5" i="5"/>
  <c r="AS5" i="5"/>
  <c r="AR5" i="5"/>
  <c r="BH150" i="6"/>
  <c r="BG150" i="6"/>
  <c r="BF150" i="6"/>
  <c r="BE150" i="6"/>
  <c r="BD150" i="6"/>
  <c r="BB150" i="6"/>
  <c r="BA150" i="6"/>
  <c r="AZ150" i="6"/>
  <c r="AY150" i="6"/>
  <c r="AX150" i="6"/>
  <c r="AV150" i="6"/>
  <c r="AU150" i="6"/>
  <c r="AT150" i="6"/>
  <c r="AS150" i="6"/>
  <c r="AR150" i="6"/>
  <c r="BH149" i="6"/>
  <c r="BG149" i="6"/>
  <c r="BF149" i="6"/>
  <c r="BE149" i="6"/>
  <c r="BD149" i="6"/>
  <c r="BB149" i="6"/>
  <c r="BA149" i="6"/>
  <c r="AZ149" i="6"/>
  <c r="AY149" i="6"/>
  <c r="AX149" i="6"/>
  <c r="AV149" i="6"/>
  <c r="AU149" i="6"/>
  <c r="AT149" i="6"/>
  <c r="AS149" i="6"/>
  <c r="AR149" i="6"/>
  <c r="BH148" i="6"/>
  <c r="BG148" i="6"/>
  <c r="BF148" i="6"/>
  <c r="BE148" i="6"/>
  <c r="BD148" i="6"/>
  <c r="BB148" i="6"/>
  <c r="BA148" i="6"/>
  <c r="AZ148" i="6"/>
  <c r="AY148" i="6"/>
  <c r="AX148" i="6"/>
  <c r="AV148" i="6"/>
  <c r="AU148" i="6"/>
  <c r="AT148" i="6"/>
  <c r="AS148" i="6"/>
  <c r="AR148" i="6"/>
  <c r="BH147" i="6"/>
  <c r="BG147" i="6"/>
  <c r="BF147" i="6"/>
  <c r="BE147" i="6"/>
  <c r="BD147" i="6"/>
  <c r="BB147" i="6"/>
  <c r="BA147" i="6"/>
  <c r="AZ147" i="6"/>
  <c r="AY147" i="6"/>
  <c r="AX147" i="6"/>
  <c r="AV147" i="6"/>
  <c r="AU147" i="6"/>
  <c r="AT147" i="6"/>
  <c r="AS147" i="6"/>
  <c r="AR147" i="6"/>
  <c r="BH146" i="6"/>
  <c r="BG146" i="6"/>
  <c r="BF146" i="6"/>
  <c r="BE146" i="6"/>
  <c r="BD146" i="6"/>
  <c r="BB146" i="6"/>
  <c r="BA146" i="6"/>
  <c r="AZ146" i="6"/>
  <c r="AY146" i="6"/>
  <c r="AX146" i="6"/>
  <c r="AV146" i="6"/>
  <c r="AU146" i="6"/>
  <c r="AT146" i="6"/>
  <c r="AS146" i="6"/>
  <c r="AR146" i="6"/>
  <c r="BH145" i="6"/>
  <c r="BG145" i="6"/>
  <c r="BF145" i="6"/>
  <c r="BE145" i="6"/>
  <c r="BD145" i="6"/>
  <c r="BB145" i="6"/>
  <c r="BA145" i="6"/>
  <c r="AZ145" i="6"/>
  <c r="AY145" i="6"/>
  <c r="AX145" i="6"/>
  <c r="AV145" i="6"/>
  <c r="AU145" i="6"/>
  <c r="AT145" i="6"/>
  <c r="AS145" i="6"/>
  <c r="AR145" i="6"/>
  <c r="BH144" i="6"/>
  <c r="BG144" i="6"/>
  <c r="BF144" i="6"/>
  <c r="BE144" i="6"/>
  <c r="BD144" i="6"/>
  <c r="BB144" i="6"/>
  <c r="BA144" i="6"/>
  <c r="AZ144" i="6"/>
  <c r="AY144" i="6"/>
  <c r="AX144" i="6"/>
  <c r="AV144" i="6"/>
  <c r="AU144" i="6"/>
  <c r="AT144" i="6"/>
  <c r="AS144" i="6"/>
  <c r="AR144" i="6"/>
  <c r="BH143" i="6"/>
  <c r="BG143" i="6"/>
  <c r="BF143" i="6"/>
  <c r="BE143" i="6"/>
  <c r="BD143" i="6"/>
  <c r="BB143" i="6"/>
  <c r="BA143" i="6"/>
  <c r="AZ143" i="6"/>
  <c r="AY143" i="6"/>
  <c r="AX143" i="6"/>
  <c r="AV143" i="6"/>
  <c r="AU143" i="6"/>
  <c r="AT143" i="6"/>
  <c r="AS143" i="6"/>
  <c r="AR143" i="6"/>
  <c r="BH142" i="6"/>
  <c r="BG142" i="6"/>
  <c r="BF142" i="6"/>
  <c r="BE142" i="6"/>
  <c r="BD142" i="6"/>
  <c r="BB142" i="6"/>
  <c r="BA142" i="6"/>
  <c r="AZ142" i="6"/>
  <c r="AY142" i="6"/>
  <c r="AX142" i="6"/>
  <c r="AV142" i="6"/>
  <c r="AU142" i="6"/>
  <c r="AT142" i="6"/>
  <c r="AS142" i="6"/>
  <c r="AR142" i="6"/>
  <c r="BH141" i="6"/>
  <c r="BG141" i="6"/>
  <c r="BF141" i="6"/>
  <c r="BE141" i="6"/>
  <c r="BD141" i="6"/>
  <c r="BB141" i="6"/>
  <c r="BA141" i="6"/>
  <c r="AZ141" i="6"/>
  <c r="AY141" i="6"/>
  <c r="AX141" i="6"/>
  <c r="AV141" i="6"/>
  <c r="AU141" i="6"/>
  <c r="AT141" i="6"/>
  <c r="AS141" i="6"/>
  <c r="AR141" i="6"/>
  <c r="BH140" i="6"/>
  <c r="BG140" i="6"/>
  <c r="BF140" i="6"/>
  <c r="BE140" i="6"/>
  <c r="BD140" i="6"/>
  <c r="BB140" i="6"/>
  <c r="BA140" i="6"/>
  <c r="AZ140" i="6"/>
  <c r="AY140" i="6"/>
  <c r="AX140" i="6"/>
  <c r="AV140" i="6"/>
  <c r="AU140" i="6"/>
  <c r="AT140" i="6"/>
  <c r="AS140" i="6"/>
  <c r="AR140" i="6"/>
  <c r="BH139" i="6"/>
  <c r="BG139" i="6"/>
  <c r="BF139" i="6"/>
  <c r="BE139" i="6"/>
  <c r="BD139" i="6"/>
  <c r="BB139" i="6"/>
  <c r="BA139" i="6"/>
  <c r="AZ139" i="6"/>
  <c r="AY139" i="6"/>
  <c r="AX139" i="6"/>
  <c r="AV139" i="6"/>
  <c r="AU139" i="6"/>
  <c r="AT139" i="6"/>
  <c r="AS139" i="6"/>
  <c r="AR139" i="6"/>
  <c r="BH138" i="6"/>
  <c r="BG138" i="6"/>
  <c r="BF138" i="6"/>
  <c r="BE138" i="6"/>
  <c r="BD138" i="6"/>
  <c r="BB138" i="6"/>
  <c r="BA138" i="6"/>
  <c r="AZ138" i="6"/>
  <c r="AY138" i="6"/>
  <c r="AX138" i="6"/>
  <c r="AV138" i="6"/>
  <c r="AU138" i="6"/>
  <c r="AT138" i="6"/>
  <c r="AS138" i="6"/>
  <c r="AR138" i="6"/>
  <c r="BH137" i="6"/>
  <c r="BG137" i="6"/>
  <c r="BF137" i="6"/>
  <c r="BE137" i="6"/>
  <c r="BD137" i="6"/>
  <c r="BB137" i="6"/>
  <c r="BA137" i="6"/>
  <c r="AZ137" i="6"/>
  <c r="AY137" i="6"/>
  <c r="AX137" i="6"/>
  <c r="AV137" i="6"/>
  <c r="AU137" i="6"/>
  <c r="AT137" i="6"/>
  <c r="AS137" i="6"/>
  <c r="AR137" i="6"/>
  <c r="BH136" i="6"/>
  <c r="BG136" i="6"/>
  <c r="BF136" i="6"/>
  <c r="BE136" i="6"/>
  <c r="BD136" i="6"/>
  <c r="BB136" i="6"/>
  <c r="BA136" i="6"/>
  <c r="AZ136" i="6"/>
  <c r="AY136" i="6"/>
  <c r="AX136" i="6"/>
  <c r="AV136" i="6"/>
  <c r="AU136" i="6"/>
  <c r="AT136" i="6"/>
  <c r="AS136" i="6"/>
  <c r="AR136" i="6"/>
  <c r="AY87" i="6"/>
  <c r="AV87" i="6"/>
  <c r="AU87" i="6"/>
  <c r="AT87" i="6"/>
  <c r="AS87" i="6"/>
  <c r="AR87" i="6"/>
  <c r="AY86" i="6"/>
  <c r="AV86" i="6"/>
  <c r="AU86" i="6"/>
  <c r="AT86" i="6"/>
  <c r="AS86" i="6"/>
  <c r="AR86" i="6"/>
  <c r="AY85" i="6"/>
  <c r="AV85" i="6"/>
  <c r="AU85" i="6"/>
  <c r="AT85" i="6"/>
  <c r="AS85" i="6"/>
  <c r="AR85" i="6"/>
  <c r="AY84" i="6"/>
  <c r="AV84" i="6"/>
  <c r="AU84" i="6"/>
  <c r="AT84" i="6"/>
  <c r="AS84" i="6"/>
  <c r="AR84" i="6"/>
  <c r="AV83" i="6"/>
  <c r="AU83" i="6"/>
  <c r="AT83" i="6"/>
  <c r="AS83" i="6"/>
  <c r="AR83" i="6"/>
  <c r="AV82" i="6"/>
  <c r="AU82" i="6"/>
  <c r="AT82" i="6"/>
  <c r="AS82" i="6"/>
  <c r="AR82" i="6"/>
  <c r="AV81" i="6"/>
  <c r="AU81" i="6"/>
  <c r="AT81" i="6"/>
  <c r="AS81" i="6"/>
  <c r="AR81" i="6"/>
  <c r="AV80" i="6"/>
  <c r="AU80" i="6"/>
  <c r="AT80" i="6"/>
  <c r="AS80" i="6"/>
  <c r="AR80" i="6"/>
  <c r="AT71" i="6"/>
  <c r="AS71" i="6"/>
  <c r="BH70" i="6"/>
  <c r="BG70" i="6"/>
  <c r="BF70" i="6"/>
  <c r="BE70" i="6"/>
  <c r="BD70" i="6"/>
  <c r="BB70" i="6"/>
  <c r="BA70" i="6"/>
  <c r="AZ70" i="6"/>
  <c r="AY70" i="6"/>
  <c r="AX70" i="6"/>
  <c r="AV70" i="6"/>
  <c r="AU70" i="6"/>
  <c r="AT70" i="6"/>
  <c r="AS70" i="6"/>
  <c r="AR70" i="6"/>
  <c r="BH69" i="6"/>
  <c r="BG69" i="6"/>
  <c r="BF69" i="6"/>
  <c r="BE69" i="6"/>
  <c r="BD69" i="6"/>
  <c r="BB69" i="6"/>
  <c r="BA69" i="6"/>
  <c r="AZ69" i="6"/>
  <c r="AY69" i="6"/>
  <c r="AX69" i="6"/>
  <c r="AV69" i="6"/>
  <c r="AU69" i="6"/>
  <c r="AT69" i="6"/>
  <c r="AS69" i="6"/>
  <c r="AR69" i="6"/>
  <c r="BH68" i="6"/>
  <c r="BG68" i="6"/>
  <c r="BF68" i="6"/>
  <c r="BE68" i="6"/>
  <c r="BD68" i="6"/>
  <c r="BB68" i="6"/>
  <c r="BA68" i="6"/>
  <c r="AZ68" i="6"/>
  <c r="AY68" i="6"/>
  <c r="AX68" i="6"/>
  <c r="AV68" i="6"/>
  <c r="AU68" i="6"/>
  <c r="AT68" i="6"/>
  <c r="AS68" i="6"/>
  <c r="AR68" i="6"/>
  <c r="BH67" i="6"/>
  <c r="BG67" i="6"/>
  <c r="BF67" i="6"/>
  <c r="BE67" i="6"/>
  <c r="BD67" i="6"/>
  <c r="BB67" i="6"/>
  <c r="BA67" i="6"/>
  <c r="AZ67" i="6"/>
  <c r="AY67" i="6"/>
  <c r="AX67" i="6"/>
  <c r="AV67" i="6"/>
  <c r="AU67" i="6"/>
  <c r="AT67" i="6"/>
  <c r="AS67" i="6"/>
  <c r="AR67" i="6"/>
  <c r="BH63" i="6"/>
  <c r="BG63" i="6"/>
  <c r="BF63" i="6"/>
  <c r="BE63" i="6"/>
  <c r="BD63" i="6"/>
  <c r="BB63" i="6"/>
  <c r="BA63" i="6"/>
  <c r="AZ63" i="6"/>
  <c r="AY63" i="6"/>
  <c r="AX63" i="6"/>
  <c r="AV63" i="6"/>
  <c r="AU63" i="6"/>
  <c r="AT63" i="6"/>
  <c r="AS63" i="6"/>
  <c r="AR63" i="6"/>
  <c r="BH62" i="6"/>
  <c r="BG62" i="6"/>
  <c r="BF62" i="6"/>
  <c r="BE62" i="6"/>
  <c r="BD62" i="6"/>
  <c r="BB62" i="6"/>
  <c r="BA62" i="6"/>
  <c r="AZ62" i="6"/>
  <c r="AY62" i="6"/>
  <c r="AX62" i="6"/>
  <c r="AV62" i="6"/>
  <c r="AU62" i="6"/>
  <c r="AT62" i="6"/>
  <c r="AS62" i="6"/>
  <c r="AR62" i="6"/>
  <c r="BH61" i="6"/>
  <c r="BG61" i="6"/>
  <c r="BF61" i="6"/>
  <c r="BE61" i="6"/>
  <c r="BD61" i="6"/>
  <c r="BB61" i="6"/>
  <c r="BA61" i="6"/>
  <c r="AZ61" i="6"/>
  <c r="AY61" i="6"/>
  <c r="AX61" i="6"/>
  <c r="AV61" i="6"/>
  <c r="AU61" i="6"/>
  <c r="AT61" i="6"/>
  <c r="AS61" i="6"/>
  <c r="AR61" i="6"/>
  <c r="BH60" i="6"/>
  <c r="BG60" i="6"/>
  <c r="BF60" i="6"/>
  <c r="BE60" i="6"/>
  <c r="BD60" i="6"/>
  <c r="BB60" i="6"/>
  <c r="BA60" i="6"/>
  <c r="AZ60" i="6"/>
  <c r="AY60" i="6"/>
  <c r="AX60" i="6"/>
  <c r="AV60" i="6"/>
  <c r="AU60" i="6"/>
  <c r="AT60" i="6"/>
  <c r="AS60" i="6"/>
  <c r="AR60" i="6"/>
  <c r="BH59" i="6"/>
  <c r="BG59" i="6"/>
  <c r="BF59" i="6"/>
  <c r="BE59" i="6"/>
  <c r="BD59" i="6"/>
  <c r="BB59" i="6"/>
  <c r="BA59" i="6"/>
  <c r="AZ59" i="6"/>
  <c r="AY59" i="6"/>
  <c r="AX59" i="6"/>
  <c r="AV59" i="6"/>
  <c r="AU59" i="6"/>
  <c r="AT59" i="6"/>
  <c r="AS59" i="6"/>
  <c r="AR59" i="6"/>
  <c r="BH58" i="6"/>
  <c r="BG58" i="6"/>
  <c r="BF58" i="6"/>
  <c r="BE58" i="6"/>
  <c r="BD58" i="6"/>
  <c r="BB58" i="6"/>
  <c r="BA58" i="6"/>
  <c r="AZ58" i="6"/>
  <c r="AY58" i="6"/>
  <c r="AX58" i="6"/>
  <c r="AV58" i="6"/>
  <c r="AU58" i="6"/>
  <c r="AT58" i="6"/>
  <c r="AS58" i="6"/>
  <c r="AR58" i="6"/>
  <c r="BH57" i="6"/>
  <c r="BG57" i="6"/>
  <c r="BF57" i="6"/>
  <c r="BE57" i="6"/>
  <c r="BD57" i="6"/>
  <c r="BB57" i="6"/>
  <c r="BA57" i="6"/>
  <c r="AZ57" i="6"/>
  <c r="AY57" i="6"/>
  <c r="AX57" i="6"/>
  <c r="AV57" i="6"/>
  <c r="AU57" i="6"/>
  <c r="AT57" i="6"/>
  <c r="AS57" i="6"/>
  <c r="AR57" i="6"/>
  <c r="BH52" i="6"/>
  <c r="BG52" i="6"/>
  <c r="BF52" i="6"/>
  <c r="BE52" i="6"/>
  <c r="BD52" i="6"/>
  <c r="BB52" i="6"/>
  <c r="BA52" i="6"/>
  <c r="AZ52" i="6"/>
  <c r="AY52" i="6"/>
  <c r="AX52" i="6"/>
  <c r="AV52" i="6"/>
  <c r="AU52" i="6"/>
  <c r="AT52" i="6"/>
  <c r="AS52" i="6"/>
  <c r="AR52" i="6"/>
  <c r="BH51" i="6"/>
  <c r="BG51" i="6"/>
  <c r="BF51" i="6"/>
  <c r="BE51" i="6"/>
  <c r="BD51" i="6"/>
  <c r="BB51" i="6"/>
  <c r="BA51" i="6"/>
  <c r="AZ51" i="6"/>
  <c r="AY51" i="6"/>
  <c r="AX51" i="6"/>
  <c r="AV51" i="6"/>
  <c r="AU51" i="6"/>
  <c r="AT51" i="6"/>
  <c r="AS51" i="6"/>
  <c r="AR51" i="6"/>
  <c r="BH50" i="6"/>
  <c r="BG50" i="6"/>
  <c r="BF50" i="6"/>
  <c r="BE50" i="6"/>
  <c r="BD50" i="6"/>
  <c r="BB50" i="6"/>
  <c r="BA50" i="6"/>
  <c r="AZ50" i="6"/>
  <c r="AY50" i="6"/>
  <c r="AX50" i="6"/>
  <c r="AV50" i="6"/>
  <c r="AU50" i="6"/>
  <c r="AT50" i="6"/>
  <c r="AS50" i="6"/>
  <c r="AR50" i="6"/>
  <c r="BH49" i="6"/>
  <c r="BG49" i="6"/>
  <c r="BF49" i="6"/>
  <c r="BE49" i="6"/>
  <c r="BD49" i="6"/>
  <c r="BB49" i="6"/>
  <c r="BA49" i="6"/>
  <c r="AZ49" i="6"/>
  <c r="AY49" i="6"/>
  <c r="AX49" i="6"/>
  <c r="AV49" i="6"/>
  <c r="AU49" i="6"/>
  <c r="AT49" i="6"/>
  <c r="AS49" i="6"/>
  <c r="AR49" i="6"/>
  <c r="BH48" i="6"/>
  <c r="BG48" i="6"/>
  <c r="BF48" i="6"/>
  <c r="BE48" i="6"/>
  <c r="BD48" i="6"/>
  <c r="BB48" i="6"/>
  <c r="BA48" i="6"/>
  <c r="AZ48" i="6"/>
  <c r="AY48" i="6"/>
  <c r="AX48" i="6"/>
  <c r="AV48" i="6"/>
  <c r="AU48" i="6"/>
  <c r="AT48" i="6"/>
  <c r="AS48" i="6"/>
  <c r="AR48" i="6"/>
  <c r="BH47" i="6"/>
  <c r="BG47" i="6"/>
  <c r="BF47" i="6"/>
  <c r="BE47" i="6"/>
  <c r="BD47" i="6"/>
  <c r="BB47" i="6"/>
  <c r="BA47" i="6"/>
  <c r="AZ47" i="6"/>
  <c r="AY47" i="6"/>
  <c r="AX47" i="6"/>
  <c r="AV47" i="6"/>
  <c r="AU47" i="6"/>
  <c r="AT47" i="6"/>
  <c r="AS47" i="6"/>
  <c r="AR47" i="6"/>
  <c r="BH46" i="6"/>
  <c r="BG46" i="6"/>
  <c r="BF46" i="6"/>
  <c r="BE46" i="6"/>
  <c r="BD46" i="6"/>
  <c r="BB46" i="6"/>
  <c r="BA46" i="6"/>
  <c r="AZ46" i="6"/>
  <c r="AY46" i="6"/>
  <c r="AX46" i="6"/>
  <c r="AV46" i="6"/>
  <c r="AU46" i="6"/>
  <c r="AT46" i="6"/>
  <c r="AS46" i="6"/>
  <c r="AR46" i="6"/>
  <c r="BH45" i="6"/>
  <c r="BG45" i="6"/>
  <c r="BF45" i="6"/>
  <c r="BE45" i="6"/>
  <c r="BD45" i="6"/>
  <c r="BB45" i="6"/>
  <c r="BA45" i="6"/>
  <c r="AZ45" i="6"/>
  <c r="AY45" i="6"/>
  <c r="AX45" i="6"/>
  <c r="AV45" i="6"/>
  <c r="AU45" i="6"/>
  <c r="AT45" i="6"/>
  <c r="AS45" i="6"/>
  <c r="AR45" i="6"/>
  <c r="BH44" i="6"/>
  <c r="BG44" i="6"/>
  <c r="BF44" i="6"/>
  <c r="BE44" i="6"/>
  <c r="BD44" i="6"/>
  <c r="BB44" i="6"/>
  <c r="BA44" i="6"/>
  <c r="AZ44" i="6"/>
  <c r="AY44" i="6"/>
  <c r="AX44" i="6"/>
  <c r="AV44" i="6"/>
  <c r="AU44" i="6"/>
  <c r="AT44" i="6"/>
  <c r="AS44" i="6"/>
  <c r="AR44" i="6"/>
  <c r="BH43" i="6"/>
  <c r="BG43" i="6"/>
  <c r="BF43" i="6"/>
  <c r="BE43" i="6"/>
  <c r="BD43" i="6"/>
  <c r="BB43" i="6"/>
  <c r="BA43" i="6"/>
  <c r="AZ43" i="6"/>
  <c r="AY43" i="6"/>
  <c r="AX43" i="6"/>
  <c r="AV43" i="6"/>
  <c r="AU43" i="6"/>
  <c r="AT43" i="6"/>
  <c r="AS43" i="6"/>
  <c r="AR43" i="6"/>
  <c r="BH39" i="6"/>
  <c r="BG39" i="6"/>
  <c r="BF39" i="6"/>
  <c r="BE39" i="6"/>
  <c r="BD39" i="6"/>
  <c r="BB39" i="6"/>
  <c r="BA39" i="6"/>
  <c r="AZ39" i="6"/>
  <c r="AY39" i="6"/>
  <c r="AX39" i="6"/>
  <c r="AV39" i="6"/>
  <c r="AU39" i="6"/>
  <c r="AT39" i="6"/>
  <c r="AS39" i="6"/>
  <c r="AR39" i="6"/>
  <c r="BH38" i="6"/>
  <c r="BG38" i="6"/>
  <c r="BF38" i="6"/>
  <c r="BE38" i="6"/>
  <c r="BD38" i="6"/>
  <c r="BB38" i="6"/>
  <c r="BA38" i="6"/>
  <c r="AZ38" i="6"/>
  <c r="AY38" i="6"/>
  <c r="AX38" i="6"/>
  <c r="AV38" i="6"/>
  <c r="AU38" i="6"/>
  <c r="AT38" i="6"/>
  <c r="AS38" i="6"/>
  <c r="AR38" i="6"/>
  <c r="BH37" i="6"/>
  <c r="BG37" i="6"/>
  <c r="BF37" i="6"/>
  <c r="BE37" i="6"/>
  <c r="BD37" i="6"/>
  <c r="BB37" i="6"/>
  <c r="BA37" i="6"/>
  <c r="AZ37" i="6"/>
  <c r="AY37" i="6"/>
  <c r="AX37" i="6"/>
  <c r="AV37" i="6"/>
  <c r="AU37" i="6"/>
  <c r="AT37" i="6"/>
  <c r="AS37" i="6"/>
  <c r="AR37" i="6"/>
  <c r="BH36" i="6"/>
  <c r="BG36" i="6"/>
  <c r="BF36" i="6"/>
  <c r="BE36" i="6"/>
  <c r="BD36" i="6"/>
  <c r="BB36" i="6"/>
  <c r="BA36" i="6"/>
  <c r="AZ36" i="6"/>
  <c r="AY36" i="6"/>
  <c r="AX36" i="6"/>
  <c r="AV36" i="6"/>
  <c r="AU36" i="6"/>
  <c r="AT36" i="6"/>
  <c r="AS36" i="6"/>
  <c r="AR36" i="6"/>
  <c r="BH32" i="6"/>
  <c r="BG32" i="6"/>
  <c r="BF32" i="6"/>
  <c r="BE32" i="6"/>
  <c r="BD32" i="6"/>
  <c r="BB32" i="6"/>
  <c r="BA32" i="6"/>
  <c r="AZ32" i="6"/>
  <c r="AY32" i="6"/>
  <c r="AX32" i="6"/>
  <c r="AV32" i="6"/>
  <c r="AU32" i="6"/>
  <c r="AT32" i="6"/>
  <c r="AS32" i="6"/>
  <c r="AR32" i="6"/>
  <c r="BH31" i="6"/>
  <c r="BG31" i="6"/>
  <c r="BF31" i="6"/>
  <c r="BE31" i="6"/>
  <c r="BD31" i="6"/>
  <c r="BB31" i="6"/>
  <c r="BA31" i="6"/>
  <c r="AZ31" i="6"/>
  <c r="AY31" i="6"/>
  <c r="AX31" i="6"/>
  <c r="AV31" i="6"/>
  <c r="AU31" i="6"/>
  <c r="AT31" i="6"/>
  <c r="AS31" i="6"/>
  <c r="AR31" i="6"/>
  <c r="BH30" i="6"/>
  <c r="BG30" i="6"/>
  <c r="BF30" i="6"/>
  <c r="BE30" i="6"/>
  <c r="BD30" i="6"/>
  <c r="BB30" i="6"/>
  <c r="BA30" i="6"/>
  <c r="AZ30" i="6"/>
  <c r="AY30" i="6"/>
  <c r="AX30" i="6"/>
  <c r="AV30" i="6"/>
  <c r="AU30" i="6"/>
  <c r="AT30" i="6"/>
  <c r="AS30" i="6"/>
  <c r="AR30" i="6"/>
  <c r="BH29" i="6"/>
  <c r="BG29" i="6"/>
  <c r="BF29" i="6"/>
  <c r="BE29" i="6"/>
  <c r="BD29" i="6"/>
  <c r="BB29" i="6"/>
  <c r="BA29" i="6"/>
  <c r="AZ29" i="6"/>
  <c r="AY29" i="6"/>
  <c r="AX29" i="6"/>
  <c r="AV29" i="6"/>
  <c r="AU29" i="6"/>
  <c r="AT29" i="6"/>
  <c r="AS29" i="6"/>
  <c r="AR29" i="6"/>
  <c r="BH28" i="6"/>
  <c r="BG28" i="6"/>
  <c r="BF28" i="6"/>
  <c r="BE28" i="6"/>
  <c r="BD28" i="6"/>
  <c r="BB28" i="6"/>
  <c r="BA28" i="6"/>
  <c r="AZ28" i="6"/>
  <c r="AY28" i="6"/>
  <c r="AX28" i="6"/>
  <c r="AV28" i="6"/>
  <c r="AU28" i="6"/>
  <c r="AT28" i="6"/>
  <c r="AS28" i="6"/>
  <c r="AR28" i="6"/>
  <c r="BH23" i="6"/>
  <c r="BG23" i="6"/>
  <c r="BF23" i="6"/>
  <c r="BE23" i="6"/>
  <c r="BD23" i="6"/>
  <c r="BB23" i="6"/>
  <c r="BA23" i="6"/>
  <c r="AZ23" i="6"/>
  <c r="AY23" i="6"/>
  <c r="AX23" i="6"/>
  <c r="AV23" i="6"/>
  <c r="AU23" i="6"/>
  <c r="AT23" i="6"/>
  <c r="AS23" i="6"/>
  <c r="AR23" i="6"/>
  <c r="BH22" i="6"/>
  <c r="BG22" i="6"/>
  <c r="BF22" i="6"/>
  <c r="BE22" i="6"/>
  <c r="BD22" i="6"/>
  <c r="BB22" i="6"/>
  <c r="BA22" i="6"/>
  <c r="AZ22" i="6"/>
  <c r="AY22" i="6"/>
  <c r="AX22" i="6"/>
  <c r="AV22" i="6"/>
  <c r="AU22" i="6"/>
  <c r="AT22" i="6"/>
  <c r="AS22" i="6"/>
  <c r="AR22" i="6"/>
  <c r="BH21" i="6"/>
  <c r="BG21" i="6"/>
  <c r="BF21" i="6"/>
  <c r="BE21" i="6"/>
  <c r="BD21" i="6"/>
  <c r="BB21" i="6"/>
  <c r="BA21" i="6"/>
  <c r="AZ21" i="6"/>
  <c r="AY21" i="6"/>
  <c r="AX21" i="6"/>
  <c r="AV21" i="6"/>
  <c r="AU21" i="6"/>
  <c r="AT21" i="6"/>
  <c r="AS21" i="6"/>
  <c r="AR21" i="6"/>
  <c r="BH7" i="6"/>
  <c r="BG7" i="6"/>
  <c r="BF7" i="6"/>
  <c r="BE7" i="6"/>
  <c r="BD7" i="6"/>
  <c r="BB7" i="6"/>
  <c r="BA7" i="6"/>
  <c r="AZ7" i="6"/>
  <c r="AY7" i="6"/>
  <c r="AX7" i="6"/>
  <c r="AV7" i="6"/>
  <c r="AU7" i="6"/>
  <c r="AT7" i="6"/>
  <c r="AS7" i="6"/>
  <c r="AR7" i="6"/>
  <c r="BH5" i="6"/>
  <c r="BG5" i="6"/>
  <c r="BF5" i="6"/>
  <c r="BE5" i="6"/>
  <c r="BD5" i="6"/>
  <c r="BB5" i="6"/>
  <c r="BA5" i="6"/>
  <c r="AZ5" i="6"/>
  <c r="AY5" i="6"/>
  <c r="AX5" i="6"/>
  <c r="AV5" i="6"/>
  <c r="AU5" i="6"/>
  <c r="AT5" i="6"/>
  <c r="AS5" i="6"/>
  <c r="AR5" i="6"/>
  <c r="AE124" i="5"/>
  <c r="BD20" i="5"/>
  <c r="AP152" i="6"/>
  <c r="AP24" i="6" s="1"/>
  <c r="AP26" i="6" s="1"/>
  <c r="AO152" i="6"/>
  <c r="AO24" i="6" s="1"/>
  <c r="AO26" i="6" s="1"/>
  <c r="AN152" i="6"/>
  <c r="AN24" i="6" s="1"/>
  <c r="AM152" i="6"/>
  <c r="AM24" i="6" s="1"/>
  <c r="AM26" i="6" s="1"/>
  <c r="AL152" i="6"/>
  <c r="AL24" i="6" s="1"/>
  <c r="AL26" i="6" s="1"/>
  <c r="AK152" i="6"/>
  <c r="AK24" i="6" s="1"/>
  <c r="AJ152" i="6"/>
  <c r="AJ24" i="6" s="1"/>
  <c r="AJ26" i="6" s="1"/>
  <c r="AI152" i="6"/>
  <c r="AI24" i="6" s="1"/>
  <c r="AI26" i="6" s="1"/>
  <c r="AH152" i="6"/>
  <c r="AH24" i="6" s="1"/>
  <c r="AG152" i="6"/>
  <c r="AG24" i="6" s="1"/>
  <c r="AG26" i="6" s="1"/>
  <c r="AF152" i="6"/>
  <c r="AF24" i="6" s="1"/>
  <c r="AF26" i="6" s="1"/>
  <c r="AE152" i="6"/>
  <c r="AE24" i="6" s="1"/>
  <c r="AP65" i="6"/>
  <c r="AO65" i="6"/>
  <c r="AN65" i="6"/>
  <c r="AM65" i="6"/>
  <c r="AL65" i="6"/>
  <c r="AK65" i="6"/>
  <c r="AJ65" i="6"/>
  <c r="AI65" i="6"/>
  <c r="AH65" i="6"/>
  <c r="AG65" i="6"/>
  <c r="AF65" i="6"/>
  <c r="AE65" i="6"/>
  <c r="AP54" i="6"/>
  <c r="AO54" i="6"/>
  <c r="AN54" i="6"/>
  <c r="AM54" i="6"/>
  <c r="AL54" i="6"/>
  <c r="AK54" i="6"/>
  <c r="AJ54" i="6"/>
  <c r="AI54" i="6"/>
  <c r="AH54" i="6"/>
  <c r="AG54" i="6"/>
  <c r="AF54" i="6"/>
  <c r="AE54" i="6"/>
  <c r="AP41" i="6"/>
  <c r="AO41" i="6"/>
  <c r="AN41" i="6"/>
  <c r="AM41" i="6"/>
  <c r="AL41" i="6"/>
  <c r="AK41" i="6"/>
  <c r="AJ41" i="6"/>
  <c r="AI41" i="6"/>
  <c r="AH41" i="6"/>
  <c r="AG41" i="6"/>
  <c r="AF41" i="6"/>
  <c r="AE41" i="6"/>
  <c r="AP34" i="6"/>
  <c r="AO34" i="6"/>
  <c r="AN34" i="6"/>
  <c r="AM34" i="6"/>
  <c r="AL34" i="6"/>
  <c r="AK34" i="6"/>
  <c r="AJ34" i="6"/>
  <c r="AI34" i="6"/>
  <c r="AH34" i="6"/>
  <c r="AG34" i="6"/>
  <c r="AF34" i="6"/>
  <c r="AE34" i="6"/>
  <c r="AP267" i="4"/>
  <c r="AP24" i="4" s="1"/>
  <c r="AP26" i="4" s="1"/>
  <c r="AO267" i="4"/>
  <c r="AO24" i="4" s="1"/>
  <c r="AO26" i="4" s="1"/>
  <c r="AN267" i="4"/>
  <c r="AN24" i="4" s="1"/>
  <c r="AM267" i="4"/>
  <c r="AM24" i="4" s="1"/>
  <c r="AM26" i="4" s="1"/>
  <c r="AL267" i="4"/>
  <c r="AL24" i="4" s="1"/>
  <c r="AL26" i="4" s="1"/>
  <c r="AK267" i="4"/>
  <c r="AK24" i="4" s="1"/>
  <c r="AJ267" i="4"/>
  <c r="AJ24" i="4" s="1"/>
  <c r="AJ26" i="4" s="1"/>
  <c r="AI267" i="4"/>
  <c r="AI24" i="4" s="1"/>
  <c r="AI26" i="4" s="1"/>
  <c r="AH267" i="4"/>
  <c r="AH24" i="4" s="1"/>
  <c r="AH26" i="4" s="1"/>
  <c r="AG267" i="4"/>
  <c r="AG24" i="4" s="1"/>
  <c r="AG26" i="4" s="1"/>
  <c r="AF267" i="4"/>
  <c r="AE267" i="4"/>
  <c r="AE24" i="4" s="1"/>
  <c r="AP248" i="4"/>
  <c r="AP6" i="4" s="1"/>
  <c r="AO248" i="4"/>
  <c r="AO6" i="4" s="1"/>
  <c r="AN248" i="4"/>
  <c r="AN6" i="4" s="1"/>
  <c r="AM248" i="4"/>
  <c r="AM6" i="4" s="1"/>
  <c r="AL248" i="4"/>
  <c r="AK248" i="4"/>
  <c r="AK6" i="4" s="1"/>
  <c r="AJ248" i="4"/>
  <c r="AJ6" i="4" s="1"/>
  <c r="AI248" i="4"/>
  <c r="AI6" i="4" s="1"/>
  <c r="AH248" i="4"/>
  <c r="AH6" i="4" s="1"/>
  <c r="AG248" i="4"/>
  <c r="AG6" i="4" s="1"/>
  <c r="AF248" i="4"/>
  <c r="AF6" i="4" s="1"/>
  <c r="AE248" i="4"/>
  <c r="AE6" i="4" s="1"/>
  <c r="AP73" i="4"/>
  <c r="AO73" i="4"/>
  <c r="AN73" i="4"/>
  <c r="AM73" i="4"/>
  <c r="AL73" i="4"/>
  <c r="AK73" i="4"/>
  <c r="AJ73" i="4"/>
  <c r="AI73" i="4"/>
  <c r="AH73" i="4"/>
  <c r="AG73" i="4"/>
  <c r="AF73" i="4"/>
  <c r="AE73" i="4"/>
  <c r="AP65" i="4"/>
  <c r="AO65" i="4"/>
  <c r="AN65" i="4"/>
  <c r="AM65" i="4"/>
  <c r="AL65" i="4"/>
  <c r="AK65" i="4"/>
  <c r="AJ65" i="4"/>
  <c r="AI65" i="4"/>
  <c r="AH65" i="4"/>
  <c r="AG65" i="4"/>
  <c r="AF65" i="4"/>
  <c r="AE65" i="4"/>
  <c r="AP54" i="4"/>
  <c r="AO54" i="4"/>
  <c r="AN54" i="4"/>
  <c r="AM54" i="4"/>
  <c r="AL54" i="4"/>
  <c r="AK54" i="4"/>
  <c r="AJ54" i="4"/>
  <c r="AI54" i="4"/>
  <c r="AH54" i="4"/>
  <c r="AG54" i="4"/>
  <c r="AF54" i="4"/>
  <c r="AE54" i="4"/>
  <c r="AP41" i="4"/>
  <c r="AO41" i="4"/>
  <c r="AN41" i="4"/>
  <c r="AM41" i="4"/>
  <c r="AL41" i="4"/>
  <c r="AK41" i="4"/>
  <c r="AJ41" i="4"/>
  <c r="AI41" i="4"/>
  <c r="AH41" i="4"/>
  <c r="AG41" i="4"/>
  <c r="AF41" i="4"/>
  <c r="AE41" i="4"/>
  <c r="AP34" i="4"/>
  <c r="AO34" i="4"/>
  <c r="AN34" i="4"/>
  <c r="AM34" i="4"/>
  <c r="AL34" i="4"/>
  <c r="AK34" i="4"/>
  <c r="AJ34" i="4"/>
  <c r="AI34" i="4"/>
  <c r="AH34" i="4"/>
  <c r="AG34" i="4"/>
  <c r="AF34" i="4"/>
  <c r="AE34" i="4"/>
  <c r="AF24" i="4"/>
  <c r="AF26" i="4" s="1"/>
  <c r="AL6" i="4"/>
  <c r="AP110" i="7"/>
  <c r="AO110" i="7"/>
  <c r="AN110" i="7"/>
  <c r="AM110" i="7"/>
  <c r="AL110" i="7"/>
  <c r="AK110" i="7"/>
  <c r="AJ110" i="7"/>
  <c r="AI110" i="7"/>
  <c r="AH110" i="7"/>
  <c r="AG110" i="7"/>
  <c r="AF110" i="7"/>
  <c r="AE110" i="7"/>
  <c r="AP91" i="7"/>
  <c r="AP6" i="7" s="1"/>
  <c r="AO91" i="7"/>
  <c r="AO6" i="7" s="1"/>
  <c r="AN91" i="7"/>
  <c r="AN6" i="7" s="1"/>
  <c r="AM91" i="7"/>
  <c r="AM6" i="7" s="1"/>
  <c r="AL91" i="7"/>
  <c r="AL6" i="7" s="1"/>
  <c r="AK91" i="7"/>
  <c r="AK6" i="7" s="1"/>
  <c r="AJ91" i="7"/>
  <c r="AJ6" i="7" s="1"/>
  <c r="AI91" i="7"/>
  <c r="AH91" i="7"/>
  <c r="AH6" i="7" s="1"/>
  <c r="AG91" i="7"/>
  <c r="AG6" i="7" s="1"/>
  <c r="AF91" i="7"/>
  <c r="AF6" i="7" s="1"/>
  <c r="AE91" i="7"/>
  <c r="AE6" i="7" s="1"/>
  <c r="AC91" i="7"/>
  <c r="AC110" i="7"/>
  <c r="AP54" i="7"/>
  <c r="AO54" i="7"/>
  <c r="AN54" i="7"/>
  <c r="AM54" i="7"/>
  <c r="AL54" i="7"/>
  <c r="AK54" i="7"/>
  <c r="AJ54" i="7"/>
  <c r="AI54" i="7"/>
  <c r="AH54" i="7"/>
  <c r="AG54" i="7"/>
  <c r="AF54" i="7"/>
  <c r="AE54" i="7"/>
  <c r="AP34" i="7"/>
  <c r="AO34" i="7"/>
  <c r="AN34" i="7"/>
  <c r="AM34" i="7"/>
  <c r="AL34" i="7"/>
  <c r="AK34" i="7"/>
  <c r="AJ34" i="7"/>
  <c r="AI34" i="7"/>
  <c r="AH34" i="7"/>
  <c r="AG34" i="7"/>
  <c r="AF34" i="7"/>
  <c r="AE34" i="7"/>
  <c r="AP26" i="7"/>
  <c r="AO26" i="7"/>
  <c r="AN26" i="7"/>
  <c r="AM26" i="7"/>
  <c r="AL26" i="7"/>
  <c r="AK26" i="7"/>
  <c r="AJ26" i="7"/>
  <c r="AI26" i="7"/>
  <c r="AH26" i="7"/>
  <c r="AI6" i="7"/>
  <c r="AE97" i="5"/>
  <c r="AF97" i="5" s="1"/>
  <c r="AG97" i="5" s="1"/>
  <c r="AE96" i="5"/>
  <c r="AF96" i="5" s="1"/>
  <c r="AG96" i="5" s="1"/>
  <c r="AE95" i="5"/>
  <c r="AF95" i="5" s="1"/>
  <c r="AG95" i="5" s="1"/>
  <c r="AP34" i="5"/>
  <c r="AO34" i="5"/>
  <c r="AN34" i="5"/>
  <c r="AM34" i="5"/>
  <c r="AL34" i="5"/>
  <c r="AK34" i="5"/>
  <c r="AJ34" i="5"/>
  <c r="AI34" i="5"/>
  <c r="AH34" i="5"/>
  <c r="AG34" i="5"/>
  <c r="AF34" i="5"/>
  <c r="AE34" i="5"/>
  <c r="T80" i="6"/>
  <c r="T132" i="6" s="1"/>
  <c r="S80" i="6"/>
  <c r="S132" i="6" s="1"/>
  <c r="R80" i="6"/>
  <c r="R132" i="6" s="1"/>
  <c r="T83" i="5"/>
  <c r="S83" i="5"/>
  <c r="R83" i="5"/>
  <c r="BX122" i="6" l="1"/>
  <c r="BX114" i="6"/>
  <c r="BX106" i="6"/>
  <c r="BX125" i="6"/>
  <c r="BX117" i="6"/>
  <c r="BX109" i="6"/>
  <c r="BX129" i="6"/>
  <c r="BX119" i="6"/>
  <c r="BX108" i="6"/>
  <c r="BX128" i="6"/>
  <c r="BX118" i="6"/>
  <c r="BX107" i="6"/>
  <c r="BX127" i="6"/>
  <c r="BX116" i="6"/>
  <c r="BX121" i="6"/>
  <c r="BX111" i="6"/>
  <c r="BX112" i="6"/>
  <c r="BX110" i="6"/>
  <c r="BX124" i="6"/>
  <c r="BX123" i="6"/>
  <c r="BX120" i="6"/>
  <c r="BX126" i="6"/>
  <c r="BX115" i="6"/>
  <c r="BX113" i="6"/>
  <c r="M90" i="9"/>
  <c r="N82" i="11" s="1"/>
  <c r="BF65" i="6"/>
  <c r="BG57" i="11"/>
  <c r="BF58" i="11"/>
  <c r="AV92" i="11"/>
  <c r="AT90" i="11"/>
  <c r="G79" i="11"/>
  <c r="K79" i="11"/>
  <c r="L79" i="11"/>
  <c r="M6" i="10"/>
  <c r="AU6" i="10" s="1"/>
  <c r="E2" i="3" s="1"/>
  <c r="B19" i="3" s="1"/>
  <c r="N6" i="10"/>
  <c r="AV6" i="10" s="1"/>
  <c r="F2" i="3" s="1"/>
  <c r="B20" i="3" s="1"/>
  <c r="AY83" i="5"/>
  <c r="BL7" i="7"/>
  <c r="BM7" i="7" s="1"/>
  <c r="BN7" i="7" s="1"/>
  <c r="BQ7" i="7" s="1"/>
  <c r="BL22" i="7"/>
  <c r="BM22" i="7" s="1"/>
  <c r="BN22" i="7" s="1"/>
  <c r="BQ22" i="7" s="1"/>
  <c r="BL24" i="7"/>
  <c r="BM24" i="7" s="1"/>
  <c r="BN24" i="7" s="1"/>
  <c r="BQ24" i="7" s="1"/>
  <c r="BJ29" i="7"/>
  <c r="BQ29" i="7"/>
  <c r="BJ31" i="7"/>
  <c r="BQ31" i="7"/>
  <c r="BK41" i="7"/>
  <c r="BL36" i="7"/>
  <c r="BL38" i="7"/>
  <c r="BM38" i="7" s="1"/>
  <c r="BN38" i="7" s="1"/>
  <c r="BQ38" i="7" s="1"/>
  <c r="BL43" i="7"/>
  <c r="BK54" i="7"/>
  <c r="BL45" i="7"/>
  <c r="BM45" i="7" s="1"/>
  <c r="BN45" i="7" s="1"/>
  <c r="BQ45" i="7" s="1"/>
  <c r="BL48" i="7"/>
  <c r="BM48" i="7" s="1"/>
  <c r="BN48" i="7" s="1"/>
  <c r="BQ48" i="7" s="1"/>
  <c r="BL50" i="7"/>
  <c r="BM50" i="7" s="1"/>
  <c r="BN50" i="7" s="1"/>
  <c r="BQ50" i="7" s="1"/>
  <c r="BL52" i="7"/>
  <c r="BM52" i="7" s="1"/>
  <c r="BN52" i="7" s="1"/>
  <c r="BQ52" i="7" s="1"/>
  <c r="BL58" i="7"/>
  <c r="BM58" i="7" s="1"/>
  <c r="BN58" i="7" s="1"/>
  <c r="BQ58" i="7" s="1"/>
  <c r="BL60" i="7"/>
  <c r="BM60" i="7" s="1"/>
  <c r="BN60" i="7" s="1"/>
  <c r="BQ60" i="7" s="1"/>
  <c r="BL62" i="7"/>
  <c r="BM62" i="7" s="1"/>
  <c r="BN62" i="7" s="1"/>
  <c r="BQ62" i="7" s="1"/>
  <c r="BL67" i="7"/>
  <c r="BM67" i="7" s="1"/>
  <c r="BN67" i="7" s="1"/>
  <c r="BQ67" i="7" s="1"/>
  <c r="BL69" i="7"/>
  <c r="BM69" i="7" s="1"/>
  <c r="BN69" i="7" s="1"/>
  <c r="BQ69" i="7" s="1"/>
  <c r="BL20" i="7"/>
  <c r="BM20" i="7" s="1"/>
  <c r="BN20" i="7" s="1"/>
  <c r="BQ20" i="7" s="1"/>
  <c r="AR65" i="7"/>
  <c r="AT65" i="7"/>
  <c r="AV65" i="7"/>
  <c r="AZ65" i="7"/>
  <c r="BF65" i="7"/>
  <c r="BL5" i="7"/>
  <c r="BK9" i="7"/>
  <c r="BK12" i="7"/>
  <c r="BK14" i="7"/>
  <c r="BK15" i="7"/>
  <c r="BK13" i="7"/>
  <c r="BK11" i="7"/>
  <c r="BL23" i="7"/>
  <c r="BM23" i="7" s="1"/>
  <c r="BN23" i="7" s="1"/>
  <c r="BQ23" i="7" s="1"/>
  <c r="BK34" i="7"/>
  <c r="BL28" i="7"/>
  <c r="BL30" i="7"/>
  <c r="BM30" i="7" s="1"/>
  <c r="BL32" i="7"/>
  <c r="BM32" i="7" s="1"/>
  <c r="BN32" i="7" s="1"/>
  <c r="BQ32" i="7" s="1"/>
  <c r="BL37" i="7"/>
  <c r="BM37" i="7" s="1"/>
  <c r="BN37" i="7" s="1"/>
  <c r="BQ37" i="7" s="1"/>
  <c r="BL39" i="7"/>
  <c r="BM39" i="7" s="1"/>
  <c r="BN39" i="7" s="1"/>
  <c r="BQ39" i="7" s="1"/>
  <c r="BL44" i="7"/>
  <c r="BM44" i="7" s="1"/>
  <c r="BN44" i="7" s="1"/>
  <c r="BQ44" i="7" s="1"/>
  <c r="BL46" i="7"/>
  <c r="BM46" i="7" s="1"/>
  <c r="BN46" i="7" s="1"/>
  <c r="BQ46" i="7" s="1"/>
  <c r="BL49" i="7"/>
  <c r="BM49" i="7" s="1"/>
  <c r="BN49" i="7" s="1"/>
  <c r="BQ49" i="7" s="1"/>
  <c r="BL51" i="7"/>
  <c r="BM51" i="7" s="1"/>
  <c r="BN51" i="7" s="1"/>
  <c r="BQ51" i="7" s="1"/>
  <c r="BL57" i="7"/>
  <c r="BM57" i="7" s="1"/>
  <c r="BN57" i="7" s="1"/>
  <c r="BQ57" i="7" s="1"/>
  <c r="BL59" i="7"/>
  <c r="BM59" i="7" s="1"/>
  <c r="BN59" i="7" s="1"/>
  <c r="BQ59" i="7" s="1"/>
  <c r="BL61" i="7"/>
  <c r="BM61" i="7" s="1"/>
  <c r="BN61" i="7" s="1"/>
  <c r="BQ61" i="7" s="1"/>
  <c r="BL63" i="7"/>
  <c r="BM63" i="7" s="1"/>
  <c r="BN63" i="7" s="1"/>
  <c r="BQ63" i="7" s="1"/>
  <c r="BL68" i="7"/>
  <c r="BM68" i="7" s="1"/>
  <c r="BN68" i="7" s="1"/>
  <c r="BQ68" i="7" s="1"/>
  <c r="BL70" i="7"/>
  <c r="BM70" i="7" s="1"/>
  <c r="BN70" i="7" s="1"/>
  <c r="BQ70" i="7" s="1"/>
  <c r="AS65" i="7"/>
  <c r="AU65" i="7"/>
  <c r="AY65" i="7"/>
  <c r="BE65" i="7"/>
  <c r="BK26" i="7"/>
  <c r="BL21" i="7"/>
  <c r="X56" i="7"/>
  <c r="X56" i="1" s="1"/>
  <c r="W65" i="7"/>
  <c r="AK56" i="7"/>
  <c r="AJ65" i="7"/>
  <c r="BZ28" i="9"/>
  <c r="BZ30" i="9" s="1"/>
  <c r="BZ133" i="6" s="1"/>
  <c r="AZ36" i="11"/>
  <c r="BB42" i="11"/>
  <c r="BA43" i="11"/>
  <c r="AZ44" i="11"/>
  <c r="BH37" i="11"/>
  <c r="BH49" i="11"/>
  <c r="AG50" i="11"/>
  <c r="AG60" i="11" s="1"/>
  <c r="AG7" i="10" s="1"/>
  <c r="BS103" i="9"/>
  <c r="BS104" i="9"/>
  <c r="BB52" i="11"/>
  <c r="BA53" i="11"/>
  <c r="AZ54" i="11"/>
  <c r="BG37" i="11"/>
  <c r="BF38" i="11"/>
  <c r="BH44" i="11"/>
  <c r="BG49" i="11"/>
  <c r="AL50" i="11"/>
  <c r="AL60" i="11" s="1"/>
  <c r="AS87" i="11"/>
  <c r="AS89" i="11"/>
  <c r="AS85" i="11"/>
  <c r="BZ49" i="9"/>
  <c r="BY48" i="9"/>
  <c r="BZ47" i="9"/>
  <c r="BZ46" i="9"/>
  <c r="BZ45" i="9"/>
  <c r="BZ44" i="9"/>
  <c r="BZ43" i="9"/>
  <c r="BZ42" i="9"/>
  <c r="BR50" i="9"/>
  <c r="BQ58" i="9"/>
  <c r="BX105" i="6"/>
  <c r="BX103" i="6"/>
  <c r="BX100" i="6"/>
  <c r="BX98" i="6"/>
  <c r="BX96" i="6"/>
  <c r="BX94" i="6"/>
  <c r="BX92" i="6"/>
  <c r="BX90" i="6"/>
  <c r="BX88" i="6"/>
  <c r="BX87" i="6"/>
  <c r="BX85" i="6"/>
  <c r="BX104" i="6"/>
  <c r="BX102" i="6"/>
  <c r="BX101" i="6"/>
  <c r="BX99" i="6"/>
  <c r="BX97" i="6"/>
  <c r="BX95" i="6"/>
  <c r="BX93" i="6"/>
  <c r="BX91" i="6"/>
  <c r="BX89" i="6"/>
  <c r="BX84" i="6"/>
  <c r="BX86" i="6"/>
  <c r="BW131" i="6"/>
  <c r="BW6" i="6" s="1"/>
  <c r="BW132" i="6"/>
  <c r="BY133" i="6"/>
  <c r="N16" i="9"/>
  <c r="N17" i="9" s="1"/>
  <c r="F17" i="9"/>
  <c r="R50" i="11"/>
  <c r="R60" i="11" s="1"/>
  <c r="T50" i="11"/>
  <c r="BB54" i="11"/>
  <c r="BA55" i="11"/>
  <c r="AZ56" i="11"/>
  <c r="BF35" i="11"/>
  <c r="BH38" i="11"/>
  <c r="BG39" i="11"/>
  <c r="BF40" i="11"/>
  <c r="AJ50" i="11"/>
  <c r="AJ60" i="11" s="1"/>
  <c r="BG56" i="11"/>
  <c r="BF57" i="11"/>
  <c r="AV84" i="11"/>
  <c r="BG41" i="6"/>
  <c r="AT73" i="6"/>
  <c r="AZ35" i="11"/>
  <c r="BB36" i="11"/>
  <c r="BA37" i="11"/>
  <c r="AZ38" i="11"/>
  <c r="BB44" i="11"/>
  <c r="BA49" i="11"/>
  <c r="U50" i="11"/>
  <c r="AZ50" i="11" s="1"/>
  <c r="AK50" i="11"/>
  <c r="AK60" i="11" s="1"/>
  <c r="AT54" i="6"/>
  <c r="AR89" i="11"/>
  <c r="AU86" i="11"/>
  <c r="AR87" i="11"/>
  <c r="F79" i="11"/>
  <c r="AY19" i="9"/>
  <c r="BA35" i="11"/>
  <c r="X50" i="11"/>
  <c r="X60" i="11" s="1"/>
  <c r="X7" i="10" s="1"/>
  <c r="BH51" i="11"/>
  <c r="AU91" i="11"/>
  <c r="AV88" i="11"/>
  <c r="AT87" i="11"/>
  <c r="AR91" i="11"/>
  <c r="AV85" i="11"/>
  <c r="BB53" i="11"/>
  <c r="BA54" i="11"/>
  <c r="AZ55" i="11"/>
  <c r="BG38" i="11"/>
  <c r="BF39" i="11"/>
  <c r="AT92" i="11"/>
  <c r="AV86" i="11"/>
  <c r="AR85" i="11"/>
  <c r="K16" i="9"/>
  <c r="K17" i="9" s="1"/>
  <c r="BB35" i="11"/>
  <c r="BA36" i="11"/>
  <c r="AZ37" i="11"/>
  <c r="BB43" i="11"/>
  <c r="BA44" i="11"/>
  <c r="AZ49" i="11"/>
  <c r="AB50" i="11"/>
  <c r="AB60" i="11" s="1"/>
  <c r="AB7" i="10" s="1"/>
  <c r="BH35" i="11"/>
  <c r="BH40" i="11"/>
  <c r="BF51" i="11"/>
  <c r="BH57" i="11"/>
  <c r="BG58" i="11"/>
  <c r="AV90" i="11"/>
  <c r="AU85" i="11"/>
  <c r="AS91" i="11"/>
  <c r="W11" i="9"/>
  <c r="X7" i="9" s="1"/>
  <c r="H16" i="9"/>
  <c r="AY44" i="11"/>
  <c r="AX44" i="11"/>
  <c r="BE40" i="11"/>
  <c r="BD40" i="11"/>
  <c r="AX37" i="11"/>
  <c r="AY37" i="11"/>
  <c r="AX49" i="11"/>
  <c r="AY49" i="11"/>
  <c r="AY57" i="11"/>
  <c r="AX57" i="11"/>
  <c r="BB38" i="11"/>
  <c r="BA39" i="11"/>
  <c r="AZ40" i="11"/>
  <c r="BB56" i="11"/>
  <c r="BA57" i="11"/>
  <c r="AZ58" i="11"/>
  <c r="BG41" i="11"/>
  <c r="BF42" i="11"/>
  <c r="BD43" i="11"/>
  <c r="BE43" i="11"/>
  <c r="BG52" i="11"/>
  <c r="BF53" i="11"/>
  <c r="BD54" i="11"/>
  <c r="BE54" i="11"/>
  <c r="O79" i="11"/>
  <c r="BT102" i="9"/>
  <c r="AY38" i="11"/>
  <c r="AX38" i="11"/>
  <c r="AX58" i="11"/>
  <c r="AY58" i="11"/>
  <c r="BB41" i="11"/>
  <c r="BA42" i="11"/>
  <c r="AZ43" i="11"/>
  <c r="BB51" i="11"/>
  <c r="BA52" i="11"/>
  <c r="AZ53" i="11"/>
  <c r="BF37" i="11"/>
  <c r="BE38" i="11"/>
  <c r="BD38" i="11"/>
  <c r="BH43" i="11"/>
  <c r="BG44" i="11"/>
  <c r="BF49" i="11"/>
  <c r="BH54" i="11"/>
  <c r="BG55" i="11"/>
  <c r="BF56" i="11"/>
  <c r="BE57" i="11"/>
  <c r="BD57" i="11"/>
  <c r="AU88" i="11"/>
  <c r="AT84" i="11"/>
  <c r="AR90" i="11"/>
  <c r="AS90" i="11"/>
  <c r="J90" i="9"/>
  <c r="K82" i="11" s="1"/>
  <c r="G90" i="9"/>
  <c r="H82" i="11" s="1"/>
  <c r="AX56" i="11"/>
  <c r="AY56" i="11"/>
  <c r="BD51" i="11"/>
  <c r="BE51" i="11"/>
  <c r="AS86" i="11"/>
  <c r="AR86" i="11"/>
  <c r="BQ53" i="9"/>
  <c r="BN54" i="9"/>
  <c r="AZ34" i="6"/>
  <c r="BA54" i="6"/>
  <c r="AT65" i="6"/>
  <c r="BE65" i="6"/>
  <c r="AY39" i="11"/>
  <c r="AX39" i="11"/>
  <c r="AY51" i="11"/>
  <c r="AX51" i="11"/>
  <c r="BE36" i="11"/>
  <c r="BD36" i="11"/>
  <c r="BD41" i="11"/>
  <c r="BE41" i="11"/>
  <c r="BE52" i="11"/>
  <c r="BD52" i="11"/>
  <c r="AS84" i="11"/>
  <c r="AR84" i="11"/>
  <c r="AV89" i="11"/>
  <c r="H79" i="11"/>
  <c r="AY40" i="11"/>
  <c r="AX40" i="11"/>
  <c r="AY52" i="11"/>
  <c r="AX52" i="11"/>
  <c r="BB39" i="11"/>
  <c r="BA40" i="11"/>
  <c r="AZ41" i="11"/>
  <c r="AZ51" i="11"/>
  <c r="BB57" i="11"/>
  <c r="BA58" i="11"/>
  <c r="BH41" i="11"/>
  <c r="BG42" i="11"/>
  <c r="BF43" i="11"/>
  <c r="BE44" i="11"/>
  <c r="BD44" i="11"/>
  <c r="BH52" i="11"/>
  <c r="BG53" i="11"/>
  <c r="BF54" i="11"/>
  <c r="BD55" i="11"/>
  <c r="BE55" i="11"/>
  <c r="AO50" i="11"/>
  <c r="AO60" i="11" s="1"/>
  <c r="BS50" i="11"/>
  <c r="BS60" i="11" s="1"/>
  <c r="BN50" i="11"/>
  <c r="BN60" i="11" s="1"/>
  <c r="BR50" i="11"/>
  <c r="BR60" i="11" s="1"/>
  <c r="BM50" i="11"/>
  <c r="BM60" i="11" s="1"/>
  <c r="BY50" i="11"/>
  <c r="BY60" i="11" s="1"/>
  <c r="BQ50" i="11"/>
  <c r="BZ50" i="11"/>
  <c r="BZ60" i="11" s="1"/>
  <c r="BX50" i="11"/>
  <c r="BX60" i="11" s="1"/>
  <c r="BT50" i="11"/>
  <c r="BT60" i="11" s="1"/>
  <c r="BK50" i="11"/>
  <c r="BL50" i="11"/>
  <c r="BL60" i="11" s="1"/>
  <c r="BW50" i="11"/>
  <c r="AU90" i="11"/>
  <c r="AT86" i="11"/>
  <c r="AR46" i="11"/>
  <c r="AR79" i="11" s="1"/>
  <c r="AY36" i="11"/>
  <c r="AX36" i="11"/>
  <c r="BE35" i="11"/>
  <c r="BD35" i="11"/>
  <c r="BA34" i="6"/>
  <c r="AS54" i="6"/>
  <c r="AU65" i="6"/>
  <c r="AY53" i="11"/>
  <c r="AX53" i="11"/>
  <c r="AU46" i="11"/>
  <c r="AU79" i="11" s="1"/>
  <c r="AX42" i="11"/>
  <c r="AY42" i="11"/>
  <c r="AX54" i="11"/>
  <c r="AY54" i="11"/>
  <c r="BB37" i="11"/>
  <c r="BA38" i="11"/>
  <c r="AZ39" i="11"/>
  <c r="BB49" i="11"/>
  <c r="BB55" i="11"/>
  <c r="BA56" i="11"/>
  <c r="AZ57" i="11"/>
  <c r="BG35" i="11"/>
  <c r="BH39" i="11"/>
  <c r="BG40" i="11"/>
  <c r="BF41" i="11"/>
  <c r="BE42" i="11"/>
  <c r="BD42" i="11"/>
  <c r="BG51" i="11"/>
  <c r="BF52" i="11"/>
  <c r="BE53" i="11"/>
  <c r="BD53" i="11"/>
  <c r="BH58" i="11"/>
  <c r="AU92" i="11"/>
  <c r="AU84" i="11"/>
  <c r="AT88" i="11"/>
  <c r="AV87" i="11"/>
  <c r="F8" i="9"/>
  <c r="F79" i="9" s="1"/>
  <c r="F80" i="9" s="1"/>
  <c r="AV46" i="11"/>
  <c r="AV79" i="11" s="1"/>
  <c r="AV91" i="11"/>
  <c r="AR54" i="6"/>
  <c r="BB54" i="6"/>
  <c r="BD65" i="6"/>
  <c r="AY41" i="11"/>
  <c r="AX41" i="11"/>
  <c r="BD39" i="11"/>
  <c r="BE39" i="11"/>
  <c r="BH55" i="11"/>
  <c r="BE58" i="11"/>
  <c r="BD58" i="11"/>
  <c r="AU87" i="11"/>
  <c r="AT91" i="11"/>
  <c r="AS88" i="11"/>
  <c r="AR88" i="11"/>
  <c r="AS46" i="11"/>
  <c r="AS79" i="11" s="1"/>
  <c r="AU34" i="6"/>
  <c r="BE34" i="6"/>
  <c r="BF34" i="6"/>
  <c r="BA41" i="6"/>
  <c r="AV54" i="6"/>
  <c r="BF54" i="6"/>
  <c r="AX54" i="6"/>
  <c r="AY65" i="6"/>
  <c r="BH65" i="6"/>
  <c r="AY35" i="11"/>
  <c r="AX35" i="11"/>
  <c r="AY43" i="11"/>
  <c r="AX43" i="11"/>
  <c r="AY55" i="11"/>
  <c r="AX55" i="11"/>
  <c r="BB40" i="11"/>
  <c r="BA41" i="11"/>
  <c r="AZ42" i="11"/>
  <c r="Z50" i="11"/>
  <c r="Z60" i="11" s="1"/>
  <c r="Z7" i="10" s="1"/>
  <c r="BA51" i="11"/>
  <c r="AZ52" i="11"/>
  <c r="BB58" i="11"/>
  <c r="BE37" i="11"/>
  <c r="BD37" i="11"/>
  <c r="BH42" i="11"/>
  <c r="BG43" i="11"/>
  <c r="BF44" i="11"/>
  <c r="BD49" i="11"/>
  <c r="BE49" i="11"/>
  <c r="AP50" i="11"/>
  <c r="AP60" i="11" s="1"/>
  <c r="BH53" i="11"/>
  <c r="BG54" i="11"/>
  <c r="BF55" i="11"/>
  <c r="BE56" i="11"/>
  <c r="BD56" i="11"/>
  <c r="AU89" i="11"/>
  <c r="AT85" i="11"/>
  <c r="AS92" i="11"/>
  <c r="AR92" i="11"/>
  <c r="AT46" i="11"/>
  <c r="AT79" i="11" s="1"/>
  <c r="BY102" i="9"/>
  <c r="AY10" i="9"/>
  <c r="AX10" i="9"/>
  <c r="X11" i="9"/>
  <c r="X82" i="9" s="1"/>
  <c r="Y78" i="9" s="1"/>
  <c r="AS73" i="6"/>
  <c r="J18" i="9"/>
  <c r="BB19" i="9"/>
  <c r="BH19" i="9"/>
  <c r="H20" i="9"/>
  <c r="I16" i="9" s="1"/>
  <c r="I18" i="9"/>
  <c r="I90" i="9"/>
  <c r="J82" i="11" s="1"/>
  <c r="J16" i="9"/>
  <c r="BB10" i="9"/>
  <c r="BA19" i="9"/>
  <c r="BH10" i="9"/>
  <c r="BG19" i="9"/>
  <c r="AU78" i="11"/>
  <c r="P20" i="9"/>
  <c r="P90" i="9" s="1"/>
  <c r="R82" i="11" s="1"/>
  <c r="R88" i="11" s="1"/>
  <c r="AX19" i="9"/>
  <c r="AY17" i="9"/>
  <c r="S82" i="11"/>
  <c r="S92" i="11" s="1"/>
  <c r="BE10" i="9"/>
  <c r="BD10" i="9"/>
  <c r="AY8" i="9"/>
  <c r="BE19" i="9"/>
  <c r="BD19" i="9"/>
  <c r="AZ10" i="9"/>
  <c r="BF10" i="9"/>
  <c r="BA10" i="9"/>
  <c r="AZ19" i="9"/>
  <c r="X20" i="9"/>
  <c r="Y16" i="9" s="1"/>
  <c r="BG10" i="9"/>
  <c r="BF19" i="9"/>
  <c r="U20" i="9"/>
  <c r="V16" i="9" s="1"/>
  <c r="W20" i="9"/>
  <c r="W18" i="9" s="1"/>
  <c r="E79" i="9"/>
  <c r="E80" i="9" s="1"/>
  <c r="V20" i="9"/>
  <c r="W16" i="9" s="1"/>
  <c r="AS6" i="10"/>
  <c r="C2" i="3" s="1"/>
  <c r="B17" i="3" s="1"/>
  <c r="L8" i="9"/>
  <c r="L79" i="9" s="1"/>
  <c r="L22" i="13" s="1"/>
  <c r="BG6" i="7"/>
  <c r="BG9" i="7" s="1"/>
  <c r="AR34" i="6"/>
  <c r="BA65" i="6"/>
  <c r="J7" i="9"/>
  <c r="J8" i="9" s="1"/>
  <c r="J79" i="9" s="1"/>
  <c r="I82" i="9"/>
  <c r="J78" i="9" s="1"/>
  <c r="I9" i="9"/>
  <c r="I8" i="9" s="1"/>
  <c r="I79" i="9" s="1"/>
  <c r="G17" i="9"/>
  <c r="AS34" i="6"/>
  <c r="AX34" i="6"/>
  <c r="BB34" i="6"/>
  <c r="BG34" i="6"/>
  <c r="AY34" i="6"/>
  <c r="BH34" i="6"/>
  <c r="AY54" i="6"/>
  <c r="BD54" i="6"/>
  <c r="BH54" i="6"/>
  <c r="AU54" i="6"/>
  <c r="AR65" i="6"/>
  <c r="AV65" i="6"/>
  <c r="AS65" i="6"/>
  <c r="O17" i="9"/>
  <c r="M17" i="9"/>
  <c r="L17" i="9"/>
  <c r="K8" i="9"/>
  <c r="G9" i="9"/>
  <c r="G8" i="9" s="1"/>
  <c r="G79" i="9" s="1"/>
  <c r="G82" i="9"/>
  <c r="H78" i="9" s="1"/>
  <c r="H7" i="9"/>
  <c r="H8" i="9" s="1"/>
  <c r="AT6" i="10"/>
  <c r="D2" i="3" s="1"/>
  <c r="B18" i="3" s="1"/>
  <c r="AF77" i="9"/>
  <c r="AE65" i="11"/>
  <c r="AC76" i="11"/>
  <c r="AC66" i="11"/>
  <c r="AC70" i="11"/>
  <c r="AC74" i="11"/>
  <c r="AC69" i="11"/>
  <c r="AC73" i="11"/>
  <c r="AC68" i="11"/>
  <c r="AC72" i="11"/>
  <c r="AC67" i="11"/>
  <c r="AC71" i="11"/>
  <c r="AC75" i="11"/>
  <c r="AB20" i="9"/>
  <c r="AC16" i="9" s="1"/>
  <c r="AG20" i="9"/>
  <c r="AK20" i="9"/>
  <c r="AE20" i="9"/>
  <c r="AI20" i="9"/>
  <c r="Z20" i="9"/>
  <c r="AA16" i="9" s="1"/>
  <c r="Y20" i="9"/>
  <c r="Y18" i="9" s="1"/>
  <c r="AC20" i="9"/>
  <c r="AC18" i="9" s="1"/>
  <c r="AH20" i="9"/>
  <c r="AA20" i="9"/>
  <c r="AA18" i="9" s="1"/>
  <c r="AF20" i="9"/>
  <c r="AJ20" i="9"/>
  <c r="AL20" i="9"/>
  <c r="T92" i="11"/>
  <c r="T83" i="11"/>
  <c r="T87" i="11"/>
  <c r="T91" i="11"/>
  <c r="T90" i="11"/>
  <c r="T86" i="11"/>
  <c r="T84" i="11"/>
  <c r="T85" i="11"/>
  <c r="T89" i="11"/>
  <c r="T88" i="11"/>
  <c r="N73" i="11"/>
  <c r="N74" i="11"/>
  <c r="N68" i="11"/>
  <c r="N67" i="11"/>
  <c r="N72" i="11"/>
  <c r="N76" i="11"/>
  <c r="N66" i="11"/>
  <c r="N70" i="11"/>
  <c r="N75" i="11"/>
  <c r="N69" i="11"/>
  <c r="N71" i="11"/>
  <c r="AU152" i="6"/>
  <c r="AZ152" i="6"/>
  <c r="BE152" i="6"/>
  <c r="BA152" i="6"/>
  <c r="AS152" i="6"/>
  <c r="BB152" i="6"/>
  <c r="AT152" i="6"/>
  <c r="AT131" i="6"/>
  <c r="AV34" i="6"/>
  <c r="AS41" i="6"/>
  <c r="BG54" i="6"/>
  <c r="AZ65" i="6"/>
  <c r="BD34" i="6"/>
  <c r="BF6" i="7"/>
  <c r="BF9" i="7" s="1"/>
  <c r="AY83" i="6"/>
  <c r="AS41" i="4"/>
  <c r="BB41" i="4"/>
  <c r="AS54" i="4"/>
  <c r="AX54" i="4"/>
  <c r="BB54" i="4"/>
  <c r="BG54" i="4"/>
  <c r="AT73" i="4"/>
  <c r="AY73" i="4"/>
  <c r="BD73" i="4"/>
  <c r="BH73" i="4"/>
  <c r="AU73" i="4"/>
  <c r="AZ73" i="4"/>
  <c r="BE73" i="4"/>
  <c r="T7" i="9"/>
  <c r="S82" i="9"/>
  <c r="T78" i="9" s="1"/>
  <c r="S9" i="9"/>
  <c r="T20" i="9"/>
  <c r="T90" i="9" s="1"/>
  <c r="U82" i="11" s="1"/>
  <c r="AH50" i="11"/>
  <c r="AH60" i="11" s="1"/>
  <c r="AH7" i="10" s="1"/>
  <c r="AN50" i="11"/>
  <c r="I94" i="11"/>
  <c r="J27" i="12"/>
  <c r="I25" i="14"/>
  <c r="U9" i="9"/>
  <c r="T11" i="9"/>
  <c r="AU131" i="6"/>
  <c r="B39" i="11"/>
  <c r="B53" i="11" s="1"/>
  <c r="R18" i="9"/>
  <c r="S16" i="9"/>
  <c r="L71" i="6"/>
  <c r="AT14" i="14"/>
  <c r="BF6" i="4"/>
  <c r="BF9" i="4" s="1"/>
  <c r="AT34" i="7"/>
  <c r="AY34" i="7"/>
  <c r="BD34" i="7"/>
  <c r="BH34" i="7"/>
  <c r="AU34" i="7"/>
  <c r="AZ34" i="7"/>
  <c r="BE34" i="7"/>
  <c r="AU41" i="7"/>
  <c r="AZ41" i="7"/>
  <c r="BE41" i="7"/>
  <c r="AU54" i="7"/>
  <c r="AZ54" i="7"/>
  <c r="BE54" i="7"/>
  <c r="B43" i="11"/>
  <c r="B57" i="11" s="1"/>
  <c r="R82" i="9"/>
  <c r="S78" i="9" s="1"/>
  <c r="R9" i="9"/>
  <c r="S7" i="9"/>
  <c r="S18" i="9"/>
  <c r="T16" i="9"/>
  <c r="U46" i="11"/>
  <c r="H27" i="14"/>
  <c r="K14" i="12"/>
  <c r="M94" i="11"/>
  <c r="AY81" i="6"/>
  <c r="AY80" i="6"/>
  <c r="F72" i="8"/>
  <c r="E13" i="12"/>
  <c r="Y12" i="9"/>
  <c r="Y11" i="9" s="1"/>
  <c r="V82" i="9"/>
  <c r="W78" i="9" s="1"/>
  <c r="AJ11" i="13"/>
  <c r="N11" i="13"/>
  <c r="BG41" i="4"/>
  <c r="AX41" i="4"/>
  <c r="BD6" i="4"/>
  <c r="BD9" i="4" s="1"/>
  <c r="BG6" i="4"/>
  <c r="BG9" i="4" s="1"/>
  <c r="AE26" i="6"/>
  <c r="BE24" i="6"/>
  <c r="BE26" i="6" s="1"/>
  <c r="BD24" i="6"/>
  <c r="BD26" i="6" s="1"/>
  <c r="AN26" i="6"/>
  <c r="BH24" i="6"/>
  <c r="BH26" i="6" s="1"/>
  <c r="BH6" i="4"/>
  <c r="BH9" i="4" s="1"/>
  <c r="BF152" i="6"/>
  <c r="AX152" i="6"/>
  <c r="BG152" i="6"/>
  <c r="AK26" i="4"/>
  <c r="BG24" i="4"/>
  <c r="BG26" i="4" s="1"/>
  <c r="AK26" i="6"/>
  <c r="BG24" i="6"/>
  <c r="BG26" i="6" s="1"/>
  <c r="BD6" i="7"/>
  <c r="BD9" i="7" s="1"/>
  <c r="BE6" i="7"/>
  <c r="BE9" i="7" s="1"/>
  <c r="BH6" i="7"/>
  <c r="AH26" i="6"/>
  <c r="BF24" i="6"/>
  <c r="BF26" i="6" s="1"/>
  <c r="AV131" i="6"/>
  <c r="AV152" i="6"/>
  <c r="BD152" i="6"/>
  <c r="BE24" i="4"/>
  <c r="BE26" i="4" s="1"/>
  <c r="BE6" i="4"/>
  <c r="BE9" i="4" s="1"/>
  <c r="AE26" i="4"/>
  <c r="BD24" i="4"/>
  <c r="BD26" i="4" s="1"/>
  <c r="AT34" i="6"/>
  <c r="AZ54" i="6"/>
  <c r="BE54" i="6"/>
  <c r="AX65" i="6"/>
  <c r="BB65" i="6"/>
  <c r="BG65" i="6"/>
  <c r="AS131" i="6"/>
  <c r="BF24" i="4"/>
  <c r="BF26" i="4" s="1"/>
  <c r="B44" i="11"/>
  <c r="B58" i="11" s="1"/>
  <c r="AY82" i="6"/>
  <c r="AR131" i="6"/>
  <c r="AR152" i="6"/>
  <c r="AY152" i="6"/>
  <c r="BH152" i="6"/>
  <c r="AN26" i="4"/>
  <c r="BH24" i="4"/>
  <c r="BH26" i="4" s="1"/>
  <c r="AR34" i="4"/>
  <c r="AV34" i="4"/>
  <c r="BA34" i="4"/>
  <c r="BF34" i="4"/>
  <c r="AS34" i="4"/>
  <c r="AX34" i="4"/>
  <c r="BB34" i="4"/>
  <c r="BG34" i="4"/>
  <c r="B88" i="11"/>
  <c r="B40" i="11"/>
  <c r="B54" i="11" s="1"/>
  <c r="B36" i="11"/>
  <c r="B50" i="11" s="1"/>
  <c r="B84" i="11"/>
  <c r="AT34" i="4"/>
  <c r="AY34" i="4"/>
  <c r="BD34" i="4"/>
  <c r="BH34" i="4"/>
  <c r="AU34" i="4"/>
  <c r="AZ34" i="4"/>
  <c r="BE34" i="4"/>
  <c r="AU41" i="4"/>
  <c r="AZ41" i="4"/>
  <c r="BE41" i="4"/>
  <c r="AU54" i="4"/>
  <c r="AZ54" i="4"/>
  <c r="BE54" i="4"/>
  <c r="AR73" i="4"/>
  <c r="AV73" i="4"/>
  <c r="BA73" i="4"/>
  <c r="BF73" i="4"/>
  <c r="AS73" i="4"/>
  <c r="AX73" i="4"/>
  <c r="BB73" i="4"/>
  <c r="BG73" i="4"/>
  <c r="O94" i="11"/>
  <c r="AT41" i="6"/>
  <c r="AY41" i="6"/>
  <c r="BD41" i="6"/>
  <c r="BH41" i="6"/>
  <c r="AU41" i="6"/>
  <c r="AZ41" i="6"/>
  <c r="BE41" i="6"/>
  <c r="AR41" i="6"/>
  <c r="AV41" i="6"/>
  <c r="BF41" i="6"/>
  <c r="AX41" i="6"/>
  <c r="BB41" i="6"/>
  <c r="AR41" i="4"/>
  <c r="AV41" i="4"/>
  <c r="BA41" i="4"/>
  <c r="BF41" i="4"/>
  <c r="AR54" i="4"/>
  <c r="AV54" i="4"/>
  <c r="BA54" i="4"/>
  <c r="BF54" i="4"/>
  <c r="AT65" i="4"/>
  <c r="AY65" i="4"/>
  <c r="BD65" i="4"/>
  <c r="BH65" i="4"/>
  <c r="AU65" i="4"/>
  <c r="AZ65" i="4"/>
  <c r="BE65" i="4"/>
  <c r="AR41" i="7"/>
  <c r="AV41" i="7"/>
  <c r="BA41" i="7"/>
  <c r="BF41" i="7"/>
  <c r="N94" i="11"/>
  <c r="J94" i="11"/>
  <c r="AT41" i="4"/>
  <c r="AY41" i="4"/>
  <c r="BD41" i="4"/>
  <c r="BH41" i="4"/>
  <c r="AT54" i="4"/>
  <c r="AY54" i="4"/>
  <c r="BD54" i="4"/>
  <c r="BH54" i="4"/>
  <c r="AR65" i="4"/>
  <c r="AV65" i="4"/>
  <c r="BA65" i="4"/>
  <c r="BF65" i="4"/>
  <c r="AS65" i="4"/>
  <c r="AX65" i="4"/>
  <c r="BB65" i="4"/>
  <c r="BG65" i="4"/>
  <c r="BF26" i="7"/>
  <c r="AR34" i="7"/>
  <c r="AV34" i="7"/>
  <c r="BA34" i="7"/>
  <c r="BF34" i="7"/>
  <c r="AS34" i="7"/>
  <c r="AX34" i="7"/>
  <c r="BB34" i="7"/>
  <c r="BG34" i="7"/>
  <c r="AS41" i="7"/>
  <c r="AX41" i="7"/>
  <c r="BB41" i="7"/>
  <c r="BG41" i="7"/>
  <c r="AS54" i="7"/>
  <c r="AX54" i="7"/>
  <c r="BB54" i="7"/>
  <c r="BG54" i="7"/>
  <c r="AE46" i="11"/>
  <c r="AI46" i="11"/>
  <c r="G63" i="8"/>
  <c r="F71" i="7"/>
  <c r="BG26" i="7"/>
  <c r="AT41" i="7"/>
  <c r="AY41" i="7"/>
  <c r="BD41" i="7"/>
  <c r="BH41" i="7"/>
  <c r="AT54" i="7"/>
  <c r="AY54" i="7"/>
  <c r="BD54" i="7"/>
  <c r="BH54" i="7"/>
  <c r="B35" i="11"/>
  <c r="B49" i="11" s="1"/>
  <c r="B83" i="11"/>
  <c r="B89" i="11"/>
  <c r="B41" i="11"/>
  <c r="B55" i="11" s="1"/>
  <c r="B85" i="11"/>
  <c r="B37" i="11"/>
  <c r="B51" i="11" s="1"/>
  <c r="L94" i="11"/>
  <c r="E94" i="11"/>
  <c r="F94" i="11"/>
  <c r="V46" i="11"/>
  <c r="Z46" i="11"/>
  <c r="T46" i="11"/>
  <c r="Y50" i="11"/>
  <c r="Y60" i="11" s="1"/>
  <c r="Y7" i="10" s="1"/>
  <c r="AC50" i="11"/>
  <c r="AC60" i="11" s="1"/>
  <c r="AC7" i="10" s="1"/>
  <c r="AJ46" i="11"/>
  <c r="AE50" i="11"/>
  <c r="AI50" i="11"/>
  <c r="AI60" i="11" s="1"/>
  <c r="AM50" i="11"/>
  <c r="AM60" i="11" s="1"/>
  <c r="K94" i="11"/>
  <c r="H94" i="11"/>
  <c r="P94" i="11"/>
  <c r="B38" i="11"/>
  <c r="B52" i="11" s="1"/>
  <c r="B42" i="11"/>
  <c r="B56" i="11" s="1"/>
  <c r="M50" i="11"/>
  <c r="M60" i="11" s="1"/>
  <c r="M95" i="11" s="1"/>
  <c r="E50" i="11"/>
  <c r="P50" i="11"/>
  <c r="P60" i="11" s="1"/>
  <c r="P95" i="11" s="1"/>
  <c r="H50" i="11"/>
  <c r="N50" i="11"/>
  <c r="J50" i="11"/>
  <c r="J60" i="11" s="1"/>
  <c r="J95" i="11" s="1"/>
  <c r="F50" i="11"/>
  <c r="F60" i="11" s="1"/>
  <c r="F95" i="11" s="1"/>
  <c r="I50" i="11"/>
  <c r="I60" i="11" s="1"/>
  <c r="I95" i="11" s="1"/>
  <c r="L50" i="11"/>
  <c r="L60" i="11" s="1"/>
  <c r="L95" i="11" s="1"/>
  <c r="O50" i="11"/>
  <c r="O60" i="11" s="1"/>
  <c r="O95" i="11" s="1"/>
  <c r="K50" i="11"/>
  <c r="G50" i="11"/>
  <c r="G60" i="11" s="1"/>
  <c r="G95" i="11" s="1"/>
  <c r="G94" i="11"/>
  <c r="G65" i="8"/>
  <c r="H65" i="8" s="1"/>
  <c r="I65" i="8" s="1"/>
  <c r="J65" i="8" s="1"/>
  <c r="K65" i="8" s="1"/>
  <c r="L65" i="8" s="1"/>
  <c r="M65" i="8" s="1"/>
  <c r="N65" i="8" s="1"/>
  <c r="O65" i="8" s="1"/>
  <c r="P65" i="8" s="1"/>
  <c r="R65" i="8" s="1"/>
  <c r="S65" i="8" s="1"/>
  <c r="T65" i="8" s="1"/>
  <c r="U65" i="8" s="1"/>
  <c r="V65" i="8" s="1"/>
  <c r="W65" i="8" s="1"/>
  <c r="X65" i="8" s="1"/>
  <c r="Y65" i="8" s="1"/>
  <c r="Z65" i="8" s="1"/>
  <c r="AA65" i="8" s="1"/>
  <c r="AB65" i="8" s="1"/>
  <c r="AC65" i="8" s="1"/>
  <c r="AE65" i="8" s="1"/>
  <c r="AF65" i="8" s="1"/>
  <c r="AG65" i="8" s="1"/>
  <c r="AH65" i="8" s="1"/>
  <c r="AI65" i="8" s="1"/>
  <c r="AJ65" i="8" s="1"/>
  <c r="AK65" i="8" s="1"/>
  <c r="AL65" i="8" s="1"/>
  <c r="AM65" i="8" s="1"/>
  <c r="AN65" i="8" s="1"/>
  <c r="AO65" i="8" s="1"/>
  <c r="AP65" i="8" s="1"/>
  <c r="BK65" i="8" s="1"/>
  <c r="BL65" i="8" s="1"/>
  <c r="BM65" i="8" s="1"/>
  <c r="BN65" i="8" s="1"/>
  <c r="BQ65" i="8" s="1"/>
  <c r="BR65" i="8" s="1"/>
  <c r="BS65" i="8" s="1"/>
  <c r="BT65" i="8" s="1"/>
  <c r="F71" i="5"/>
  <c r="AR34" i="5"/>
  <c r="BA34" i="5"/>
  <c r="AS34" i="5"/>
  <c r="AS41" i="5"/>
  <c r="BB41" i="5"/>
  <c r="BG41" i="5"/>
  <c r="AV34" i="5"/>
  <c r="BF34" i="5"/>
  <c r="AX34" i="5"/>
  <c r="AX41" i="5"/>
  <c r="AT41" i="5"/>
  <c r="AY41" i="5"/>
  <c r="BD41" i="5"/>
  <c r="BH41" i="5"/>
  <c r="AR41" i="5"/>
  <c r="AV41" i="5"/>
  <c r="BA41" i="5"/>
  <c r="BF41" i="5"/>
  <c r="AT65" i="5"/>
  <c r="AY65" i="5"/>
  <c r="BD65" i="5"/>
  <c r="BH65" i="5"/>
  <c r="AU65" i="5"/>
  <c r="AZ65" i="5"/>
  <c r="BE65" i="5"/>
  <c r="BE20" i="5"/>
  <c r="AT34" i="5"/>
  <c r="AY34" i="5"/>
  <c r="BD34" i="5"/>
  <c r="BH34" i="5"/>
  <c r="AU34" i="5"/>
  <c r="AZ34" i="5"/>
  <c r="BE34" i="5"/>
  <c r="AU41" i="5"/>
  <c r="AZ41" i="5"/>
  <c r="BE41" i="5"/>
  <c r="AR65" i="5"/>
  <c r="AV65" i="5"/>
  <c r="BA65" i="5"/>
  <c r="BF65" i="5"/>
  <c r="AS65" i="5"/>
  <c r="AX65" i="5"/>
  <c r="BB65" i="5"/>
  <c r="BG65" i="5"/>
  <c r="BB34" i="5"/>
  <c r="BG34" i="5"/>
  <c r="AR54" i="7"/>
  <c r="AV54" i="7"/>
  <c r="BA54" i="7"/>
  <c r="BF54" i="7"/>
  <c r="V60" i="11"/>
  <c r="AF60" i="11"/>
  <c r="AF7" i="10" s="1"/>
  <c r="S60" i="11"/>
  <c r="S46" i="11"/>
  <c r="W46" i="11"/>
  <c r="AK46" i="11"/>
  <c r="W60" i="11"/>
  <c r="AA60" i="11"/>
  <c r="AA7" i="10" s="1"/>
  <c r="AH46" i="11"/>
  <c r="AG46" i="11"/>
  <c r="AF46" i="11"/>
  <c r="AO46" i="11"/>
  <c r="AM46" i="11"/>
  <c r="AA46" i="11"/>
  <c r="X46" i="11"/>
  <c r="AB46" i="11"/>
  <c r="Y46" i="11"/>
  <c r="AC46" i="11"/>
  <c r="AP46" i="11"/>
  <c r="AN46" i="11"/>
  <c r="AL46" i="11"/>
  <c r="R46" i="11"/>
  <c r="R79" i="11" s="1"/>
  <c r="BH26" i="7"/>
  <c r="AH9" i="4"/>
  <c r="AL9" i="4"/>
  <c r="AP9" i="4"/>
  <c r="AG9" i="4"/>
  <c r="AK9" i="4"/>
  <c r="AO9" i="4"/>
  <c r="AF9" i="4"/>
  <c r="AJ9" i="4"/>
  <c r="AN9" i="4"/>
  <c r="AE9" i="4"/>
  <c r="AI9" i="4"/>
  <c r="AM9" i="4"/>
  <c r="AH9" i="7"/>
  <c r="AL9" i="7"/>
  <c r="AP9" i="7"/>
  <c r="AH11" i="7"/>
  <c r="AL11" i="7"/>
  <c r="AP11" i="7"/>
  <c r="AH12" i="7"/>
  <c r="AL12" i="7"/>
  <c r="AP12" i="7"/>
  <c r="AH13" i="7"/>
  <c r="AL13" i="7"/>
  <c r="AP13" i="7"/>
  <c r="AH14" i="7"/>
  <c r="AL14" i="7"/>
  <c r="AP14" i="7"/>
  <c r="AH15" i="7"/>
  <c r="AL15" i="7"/>
  <c r="AP15" i="7"/>
  <c r="AG9" i="7"/>
  <c r="AK9" i="7"/>
  <c r="AO9" i="7"/>
  <c r="AG11" i="7"/>
  <c r="AK11" i="7"/>
  <c r="AO11" i="7"/>
  <c r="AG12" i="7"/>
  <c r="AK12" i="7"/>
  <c r="AO12" i="7"/>
  <c r="AG13" i="7"/>
  <c r="AK13" i="7"/>
  <c r="AO13" i="7"/>
  <c r="AG14" i="7"/>
  <c r="AK14" i="7"/>
  <c r="AO14" i="7"/>
  <c r="AG15" i="7"/>
  <c r="AK15" i="7"/>
  <c r="AO15" i="7"/>
  <c r="AF9" i="7"/>
  <c r="AJ9" i="7"/>
  <c r="AN9" i="7"/>
  <c r="AF11" i="7"/>
  <c r="AJ11" i="7"/>
  <c r="AN11" i="7"/>
  <c r="AF12" i="7"/>
  <c r="AJ12" i="7"/>
  <c r="AN12" i="7"/>
  <c r="AF13" i="7"/>
  <c r="AJ13" i="7"/>
  <c r="AN13" i="7"/>
  <c r="AF14" i="7"/>
  <c r="AJ14" i="7"/>
  <c r="AN14" i="7"/>
  <c r="AF15" i="7"/>
  <c r="AJ15" i="7"/>
  <c r="AN15" i="7"/>
  <c r="AE9" i="7"/>
  <c r="AI9" i="7"/>
  <c r="AM9" i="7"/>
  <c r="AE11" i="7"/>
  <c r="AI11" i="7"/>
  <c r="AM11" i="7"/>
  <c r="AE12" i="7"/>
  <c r="AI12" i="7"/>
  <c r="AM12" i="7"/>
  <c r="AE13" i="7"/>
  <c r="AI13" i="7"/>
  <c r="AM13" i="7"/>
  <c r="AE14" i="7"/>
  <c r="AI14" i="7"/>
  <c r="AM14" i="7"/>
  <c r="AE15" i="7"/>
  <c r="AI15" i="7"/>
  <c r="AM15" i="7"/>
  <c r="AP41" i="7"/>
  <c r="AO41" i="7"/>
  <c r="AN41" i="7"/>
  <c r="AM41" i="7"/>
  <c r="AL41" i="7"/>
  <c r="AK41" i="7"/>
  <c r="AJ41" i="7"/>
  <c r="AI41" i="7"/>
  <c r="AH41" i="7"/>
  <c r="AG41" i="7"/>
  <c r="AF41" i="7"/>
  <c r="AE41" i="7"/>
  <c r="AC41" i="7"/>
  <c r="AB41" i="7"/>
  <c r="AA41" i="7"/>
  <c r="Z41" i="7"/>
  <c r="Y41" i="7"/>
  <c r="X41" i="7"/>
  <c r="W41" i="7"/>
  <c r="V41" i="7"/>
  <c r="U41" i="7"/>
  <c r="T41" i="7"/>
  <c r="S41" i="7"/>
  <c r="R41" i="7"/>
  <c r="P41" i="7"/>
  <c r="O41" i="7"/>
  <c r="N41" i="7"/>
  <c r="M41" i="7"/>
  <c r="L41" i="7"/>
  <c r="K41" i="7"/>
  <c r="J41" i="7"/>
  <c r="I41" i="7"/>
  <c r="H41" i="7"/>
  <c r="G41" i="7"/>
  <c r="F41" i="7"/>
  <c r="E41" i="7"/>
  <c r="AC41" i="4"/>
  <c r="AB41" i="4"/>
  <c r="AA41" i="4"/>
  <c r="Z41" i="4"/>
  <c r="Y41" i="4"/>
  <c r="X41" i="4"/>
  <c r="W41" i="4"/>
  <c r="V41" i="4"/>
  <c r="U41" i="4"/>
  <c r="T41" i="4"/>
  <c r="S41" i="4"/>
  <c r="R41" i="4"/>
  <c r="P41" i="4"/>
  <c r="O41" i="4"/>
  <c r="N41" i="4"/>
  <c r="M41" i="4"/>
  <c r="L41" i="4"/>
  <c r="K41" i="4"/>
  <c r="J41" i="4"/>
  <c r="I41" i="4"/>
  <c r="H41" i="4"/>
  <c r="G41" i="4"/>
  <c r="F41" i="4"/>
  <c r="E41" i="4"/>
  <c r="AC41" i="6"/>
  <c r="AB41" i="6"/>
  <c r="AA41" i="6"/>
  <c r="Z41" i="6"/>
  <c r="Y41" i="6"/>
  <c r="X41" i="6"/>
  <c r="W41" i="6"/>
  <c r="V41" i="6"/>
  <c r="U41" i="6"/>
  <c r="T41" i="6"/>
  <c r="S41" i="6"/>
  <c r="R41" i="6"/>
  <c r="P41" i="6"/>
  <c r="O41" i="6"/>
  <c r="N41" i="6"/>
  <c r="M41" i="6"/>
  <c r="L41" i="6"/>
  <c r="K41" i="6"/>
  <c r="J41" i="6"/>
  <c r="I41" i="6"/>
  <c r="H41" i="6"/>
  <c r="G41" i="6"/>
  <c r="F41" i="6"/>
  <c r="E41" i="6"/>
  <c r="AP41" i="5"/>
  <c r="AO41" i="5"/>
  <c r="AN41" i="5"/>
  <c r="AM41" i="5"/>
  <c r="AL41" i="5"/>
  <c r="AK41" i="5"/>
  <c r="AJ41" i="5"/>
  <c r="AI41" i="5"/>
  <c r="AH41" i="5"/>
  <c r="AG41" i="5"/>
  <c r="AF41" i="5"/>
  <c r="AE41" i="5"/>
  <c r="AC41" i="5"/>
  <c r="AB41" i="5"/>
  <c r="AA41" i="5"/>
  <c r="Z41" i="5"/>
  <c r="Y41" i="5"/>
  <c r="X41" i="5"/>
  <c r="W41" i="5"/>
  <c r="V41" i="5"/>
  <c r="U41" i="5"/>
  <c r="T41" i="5"/>
  <c r="S41" i="5"/>
  <c r="R41" i="5"/>
  <c r="P41" i="5"/>
  <c r="O41" i="5"/>
  <c r="N41" i="5"/>
  <c r="M41" i="5"/>
  <c r="L41" i="5"/>
  <c r="K41" i="5"/>
  <c r="J41" i="5"/>
  <c r="I41" i="5"/>
  <c r="H41" i="5"/>
  <c r="G41" i="5"/>
  <c r="F41" i="5"/>
  <c r="E41" i="5"/>
  <c r="AP189" i="5"/>
  <c r="AP48" i="5" s="1"/>
  <c r="AP48" i="1" s="1"/>
  <c r="AO189" i="5"/>
  <c r="AO48" i="5" s="1"/>
  <c r="AO48" i="1" s="1"/>
  <c r="AN189" i="5"/>
  <c r="AN48" i="5" s="1"/>
  <c r="AM189" i="5"/>
  <c r="AM48" i="5" s="1"/>
  <c r="AM48" i="1" s="1"/>
  <c r="AL189" i="5"/>
  <c r="AL48" i="5" s="1"/>
  <c r="AL48" i="1" s="1"/>
  <c r="AK189" i="5"/>
  <c r="AK48" i="5" s="1"/>
  <c r="AJ189" i="5"/>
  <c r="AJ48" i="5" s="1"/>
  <c r="AJ48" i="1" s="1"/>
  <c r="AI189" i="5"/>
  <c r="AI48" i="5" s="1"/>
  <c r="AI48" i="1" s="1"/>
  <c r="AH189" i="5"/>
  <c r="AH48" i="5" s="1"/>
  <c r="AG189" i="5"/>
  <c r="AG48" i="5" s="1"/>
  <c r="AG48" i="1" s="1"/>
  <c r="AF189" i="5"/>
  <c r="AF48" i="5" s="1"/>
  <c r="AF48" i="1" s="1"/>
  <c r="AE189" i="5"/>
  <c r="AE48" i="5" s="1"/>
  <c r="AC189" i="5"/>
  <c r="AC48" i="5" s="1"/>
  <c r="AC48" i="1" s="1"/>
  <c r="AB189" i="5"/>
  <c r="AB48" i="5" s="1"/>
  <c r="AB48" i="1" s="1"/>
  <c r="AA189" i="5"/>
  <c r="AA48" i="5" s="1"/>
  <c r="Z189" i="5"/>
  <c r="Z48" i="5" s="1"/>
  <c r="Z48" i="1" s="1"/>
  <c r="Y189" i="5"/>
  <c r="Y48" i="5" s="1"/>
  <c r="Y48" i="1" s="1"/>
  <c r="X189" i="5"/>
  <c r="X48" i="5" s="1"/>
  <c r="W189" i="5"/>
  <c r="W48" i="5" s="1"/>
  <c r="W48" i="1" s="1"/>
  <c r="V189" i="5"/>
  <c r="V48" i="5" s="1"/>
  <c r="V48" i="1" s="1"/>
  <c r="U189" i="5"/>
  <c r="U48" i="5" s="1"/>
  <c r="T189" i="5"/>
  <c r="T48" i="5" s="1"/>
  <c r="T48" i="1" s="1"/>
  <c r="S189" i="5"/>
  <c r="S48" i="5" s="1"/>
  <c r="S48" i="1" s="1"/>
  <c r="R189" i="5"/>
  <c r="R48" i="5" s="1"/>
  <c r="P189" i="5"/>
  <c r="P48" i="5" s="1"/>
  <c r="P48" i="1" s="1"/>
  <c r="O189" i="5"/>
  <c r="O48" i="5" s="1"/>
  <c r="O48" i="1" s="1"/>
  <c r="N189" i="5"/>
  <c r="N48" i="5" s="1"/>
  <c r="N48" i="1" s="1"/>
  <c r="M189" i="5"/>
  <c r="M48" i="5" s="1"/>
  <c r="M48" i="1" s="1"/>
  <c r="L189" i="5"/>
  <c r="L48" i="5" s="1"/>
  <c r="L48" i="1" s="1"/>
  <c r="K189" i="5"/>
  <c r="K48" i="5" s="1"/>
  <c r="J189" i="5"/>
  <c r="J48" i="5" s="1"/>
  <c r="J48" i="1" s="1"/>
  <c r="I189" i="5"/>
  <c r="I48" i="5" s="1"/>
  <c r="I48" i="1" s="1"/>
  <c r="H189" i="5"/>
  <c r="H48" i="5" s="1"/>
  <c r="G189" i="5"/>
  <c r="G48" i="5" s="1"/>
  <c r="G48" i="1" s="1"/>
  <c r="F189" i="5"/>
  <c r="F48" i="5" s="1"/>
  <c r="F48" i="1" s="1"/>
  <c r="E189" i="5"/>
  <c r="E48" i="5" s="1"/>
  <c r="AP48" i="8"/>
  <c r="AP21" i="13" s="1"/>
  <c r="AO48" i="8"/>
  <c r="AO21" i="13" s="1"/>
  <c r="AN48" i="8"/>
  <c r="AN21" i="13" s="1"/>
  <c r="AM48" i="8"/>
  <c r="AM21" i="13" s="1"/>
  <c r="AL48" i="8"/>
  <c r="AL21" i="13" s="1"/>
  <c r="AK48" i="8"/>
  <c r="AK21" i="13" s="1"/>
  <c r="AJ48" i="8"/>
  <c r="AJ21" i="13" s="1"/>
  <c r="AI48" i="8"/>
  <c r="AI21" i="13" s="1"/>
  <c r="AH48" i="8"/>
  <c r="AH21" i="13" s="1"/>
  <c r="AG48" i="8"/>
  <c r="AG21" i="13" s="1"/>
  <c r="AF48" i="8"/>
  <c r="AF21" i="13" s="1"/>
  <c r="AE48" i="8"/>
  <c r="AE21" i="13" s="1"/>
  <c r="AC48" i="8"/>
  <c r="AC21" i="13" s="1"/>
  <c r="AB48" i="8"/>
  <c r="AB21" i="13" s="1"/>
  <c r="AA48" i="8"/>
  <c r="AA21" i="13" s="1"/>
  <c r="Z48" i="8"/>
  <c r="Z21" i="13" s="1"/>
  <c r="Y48" i="8"/>
  <c r="Y21" i="13" s="1"/>
  <c r="X48" i="8"/>
  <c r="X21" i="13" s="1"/>
  <c r="W48" i="8"/>
  <c r="W21" i="13" s="1"/>
  <c r="V48" i="8"/>
  <c r="V21" i="13" s="1"/>
  <c r="U48" i="8"/>
  <c r="U21" i="13" s="1"/>
  <c r="T48" i="8"/>
  <c r="T21" i="13" s="1"/>
  <c r="S48" i="8"/>
  <c r="S21" i="13" s="1"/>
  <c r="R48" i="8"/>
  <c r="R21" i="13" s="1"/>
  <c r="P48" i="8"/>
  <c r="P21" i="13" s="1"/>
  <c r="O48" i="8"/>
  <c r="O21" i="13" s="1"/>
  <c r="N48" i="8"/>
  <c r="N21" i="13" s="1"/>
  <c r="M48" i="8"/>
  <c r="L48" i="8"/>
  <c r="L21" i="13" s="1"/>
  <c r="K48" i="8"/>
  <c r="K21" i="13" s="1"/>
  <c r="J48" i="8"/>
  <c r="J21" i="13" s="1"/>
  <c r="I48" i="8"/>
  <c r="H48" i="8"/>
  <c r="H21" i="13" s="1"/>
  <c r="G48" i="8"/>
  <c r="G21" i="13" s="1"/>
  <c r="F48" i="8"/>
  <c r="F21" i="13" s="1"/>
  <c r="E48" i="8"/>
  <c r="E21" i="13" s="1"/>
  <c r="E71" i="1"/>
  <c r="E70" i="1"/>
  <c r="AG69" i="1"/>
  <c r="AC69" i="7"/>
  <c r="AC69" i="1" s="1"/>
  <c r="AB69" i="7"/>
  <c r="AB69" i="1" s="1"/>
  <c r="AA69" i="7"/>
  <c r="AA69" i="1" s="1"/>
  <c r="Z69" i="7"/>
  <c r="Z69" i="1" s="1"/>
  <c r="Y69" i="7"/>
  <c r="Y69" i="1" s="1"/>
  <c r="X69" i="7"/>
  <c r="W69" i="7"/>
  <c r="W69" i="1" s="1"/>
  <c r="V69" i="7"/>
  <c r="V69" i="1" s="1"/>
  <c r="U69" i="7"/>
  <c r="U69" i="1" s="1"/>
  <c r="T69" i="7"/>
  <c r="T69" i="1" s="1"/>
  <c r="S69" i="7"/>
  <c r="S69" i="1" s="1"/>
  <c r="R69" i="7"/>
  <c r="R69" i="1" s="1"/>
  <c r="P69" i="7"/>
  <c r="P69" i="1" s="1"/>
  <c r="O69" i="7"/>
  <c r="O69" i="1" s="1"/>
  <c r="N69" i="7"/>
  <c r="N69" i="1" s="1"/>
  <c r="M69" i="7"/>
  <c r="M69" i="1" s="1"/>
  <c r="L69" i="7"/>
  <c r="L69" i="1" s="1"/>
  <c r="K69" i="7"/>
  <c r="J69" i="7"/>
  <c r="J69" i="1" s="1"/>
  <c r="I69" i="7"/>
  <c r="I69" i="1" s="1"/>
  <c r="H69" i="7"/>
  <c r="G69" i="7"/>
  <c r="G69" i="1" s="1"/>
  <c r="F69" i="7"/>
  <c r="F69" i="1" s="1"/>
  <c r="E69" i="7"/>
  <c r="E69" i="1" s="1"/>
  <c r="AG26" i="7"/>
  <c r="AF26" i="7"/>
  <c r="AC21" i="1"/>
  <c r="AB21" i="1"/>
  <c r="W21" i="1"/>
  <c r="U21" i="7"/>
  <c r="U21" i="1" s="1"/>
  <c r="T21" i="7"/>
  <c r="T21" i="1" s="1"/>
  <c r="S21" i="7"/>
  <c r="S21" i="1" s="1"/>
  <c r="R21" i="7"/>
  <c r="R21" i="1" s="1"/>
  <c r="P21" i="7"/>
  <c r="P21" i="1" s="1"/>
  <c r="O21" i="7"/>
  <c r="O21" i="1" s="1"/>
  <c r="N21" i="7"/>
  <c r="M21" i="7"/>
  <c r="M21" i="1" s="1"/>
  <c r="L21" i="7"/>
  <c r="L21" i="1" s="1"/>
  <c r="K21" i="7"/>
  <c r="J21" i="7"/>
  <c r="J21" i="1" s="1"/>
  <c r="I21" i="7"/>
  <c r="I21" i="1" s="1"/>
  <c r="H21" i="7"/>
  <c r="H21" i="1" s="1"/>
  <c r="G21" i="7"/>
  <c r="G21" i="1" s="1"/>
  <c r="F21" i="7"/>
  <c r="F21" i="1" s="1"/>
  <c r="E21" i="7"/>
  <c r="E21" i="1" s="1"/>
  <c r="AG68" i="1"/>
  <c r="AE68" i="1"/>
  <c r="AC68" i="1"/>
  <c r="AB68" i="1"/>
  <c r="AA68" i="1"/>
  <c r="Z68" i="1"/>
  <c r="Y68" i="1"/>
  <c r="X68" i="1"/>
  <c r="W68" i="1"/>
  <c r="V68" i="1"/>
  <c r="U68" i="1"/>
  <c r="T68" i="1"/>
  <c r="R68" i="1"/>
  <c r="P68" i="7"/>
  <c r="P68" i="1" s="1"/>
  <c r="O68" i="7"/>
  <c r="O68" i="1" s="1"/>
  <c r="N68" i="7"/>
  <c r="N68" i="1" s="1"/>
  <c r="M68" i="7"/>
  <c r="M68" i="1" s="1"/>
  <c r="L68" i="7"/>
  <c r="L68" i="1" s="1"/>
  <c r="K68" i="7"/>
  <c r="K68" i="1" s="1"/>
  <c r="J68" i="7"/>
  <c r="J68" i="1" s="1"/>
  <c r="I68" i="7"/>
  <c r="I68" i="1" s="1"/>
  <c r="H68" i="7"/>
  <c r="H68" i="1" s="1"/>
  <c r="G68" i="7"/>
  <c r="G68" i="1" s="1"/>
  <c r="F68" i="7"/>
  <c r="F68" i="1" s="1"/>
  <c r="E68" i="7"/>
  <c r="E68" i="1" s="1"/>
  <c r="AC67" i="1"/>
  <c r="AC17" i="13" s="1"/>
  <c r="AB67" i="1"/>
  <c r="AB17" i="13" s="1"/>
  <c r="Z67" i="1"/>
  <c r="Z17" i="13" s="1"/>
  <c r="Y67" i="1"/>
  <c r="Y17" i="13" s="1"/>
  <c r="W67" i="1"/>
  <c r="W17" i="13" s="1"/>
  <c r="V67" i="1"/>
  <c r="V17" i="13" s="1"/>
  <c r="T67" i="1"/>
  <c r="T17" i="13" s="1"/>
  <c r="S67" i="1"/>
  <c r="S17" i="13" s="1"/>
  <c r="R67" i="1"/>
  <c r="R17" i="13" s="1"/>
  <c r="P67" i="7"/>
  <c r="P67" i="1" s="1"/>
  <c r="P17" i="13" s="1"/>
  <c r="O67" i="7"/>
  <c r="O67" i="1" s="1"/>
  <c r="O17" i="13" s="1"/>
  <c r="N67" i="7"/>
  <c r="M67" i="7"/>
  <c r="M67" i="1" s="1"/>
  <c r="M17" i="13" s="1"/>
  <c r="L67" i="7"/>
  <c r="L67" i="1" s="1"/>
  <c r="L17" i="13" s="1"/>
  <c r="K67" i="7"/>
  <c r="J67" i="7"/>
  <c r="J67" i="1" s="1"/>
  <c r="J17" i="13" s="1"/>
  <c r="I67" i="7"/>
  <c r="I67" i="1" s="1"/>
  <c r="I17" i="13" s="1"/>
  <c r="H67" i="7"/>
  <c r="G67" i="7"/>
  <c r="G67" i="1" s="1"/>
  <c r="G17" i="13" s="1"/>
  <c r="F67" i="7"/>
  <c r="F67" i="1" s="1"/>
  <c r="F17" i="13" s="1"/>
  <c r="E67" i="7"/>
  <c r="E67" i="1" s="1"/>
  <c r="E17" i="13" s="1"/>
  <c r="AP69" i="1"/>
  <c r="AO69" i="1"/>
  <c r="AN69" i="1"/>
  <c r="AM69" i="1"/>
  <c r="AL69" i="1"/>
  <c r="AK69" i="1"/>
  <c r="AJ69" i="1"/>
  <c r="AI69" i="1"/>
  <c r="AH69" i="1"/>
  <c r="AF69" i="1"/>
  <c r="AE69" i="1"/>
  <c r="AP68" i="1"/>
  <c r="AO68" i="1"/>
  <c r="AN68" i="1"/>
  <c r="AM68" i="1"/>
  <c r="AL68" i="1"/>
  <c r="AK68" i="1"/>
  <c r="AJ68" i="1"/>
  <c r="AI68" i="1"/>
  <c r="AH68" i="1"/>
  <c r="AF68" i="1"/>
  <c r="S68" i="1"/>
  <c r="AP67" i="1"/>
  <c r="AP17" i="13" s="1"/>
  <c r="AO67" i="1"/>
  <c r="AO17" i="13" s="1"/>
  <c r="AN67" i="1"/>
  <c r="AN17" i="13" s="1"/>
  <c r="AM67" i="1"/>
  <c r="AM17" i="13" s="1"/>
  <c r="AL67" i="1"/>
  <c r="AL17" i="13" s="1"/>
  <c r="AK67" i="1"/>
  <c r="AK17" i="13" s="1"/>
  <c r="AJ67" i="1"/>
  <c r="AJ17" i="13" s="1"/>
  <c r="AI67" i="1"/>
  <c r="AI17" i="13" s="1"/>
  <c r="AH67" i="1"/>
  <c r="AH17" i="13" s="1"/>
  <c r="AE67" i="1"/>
  <c r="AE17" i="13" s="1"/>
  <c r="AP63" i="1"/>
  <c r="AO63" i="1"/>
  <c r="AN63" i="1"/>
  <c r="AM63" i="1"/>
  <c r="AL63" i="1"/>
  <c r="AK63" i="1"/>
  <c r="AJ63" i="1"/>
  <c r="AI63" i="1"/>
  <c r="AH63" i="1"/>
  <c r="AG63" i="1"/>
  <c r="AF63" i="1"/>
  <c r="AE63" i="1"/>
  <c r="AC63" i="1"/>
  <c r="AB63" i="1"/>
  <c r="AA63" i="1"/>
  <c r="Z63" i="1"/>
  <c r="Y63" i="1"/>
  <c r="X63" i="1"/>
  <c r="W63" i="1"/>
  <c r="V63" i="1"/>
  <c r="U63" i="1"/>
  <c r="T63" i="1"/>
  <c r="S63" i="1"/>
  <c r="R63" i="1"/>
  <c r="P63" i="1"/>
  <c r="O63" i="1"/>
  <c r="N63" i="1"/>
  <c r="M63" i="1"/>
  <c r="L63" i="1"/>
  <c r="K63" i="1"/>
  <c r="J63" i="1"/>
  <c r="I63" i="1"/>
  <c r="H63" i="1"/>
  <c r="G63" i="1"/>
  <c r="F63" i="1"/>
  <c r="E63" i="1"/>
  <c r="AP62" i="1"/>
  <c r="AO62" i="1"/>
  <c r="AN62" i="1"/>
  <c r="AM62" i="1"/>
  <c r="AL62" i="1"/>
  <c r="AK62" i="1"/>
  <c r="AJ62" i="1"/>
  <c r="AI62" i="1"/>
  <c r="AH62" i="1"/>
  <c r="AG62" i="1"/>
  <c r="AF62" i="1"/>
  <c r="AE62" i="1"/>
  <c r="AC62" i="1"/>
  <c r="AB62" i="1"/>
  <c r="AA62" i="1"/>
  <c r="Z62" i="1"/>
  <c r="Y62" i="1"/>
  <c r="X62" i="1"/>
  <c r="W62" i="1"/>
  <c r="V62" i="1"/>
  <c r="U62" i="1"/>
  <c r="T62" i="1"/>
  <c r="S62" i="1"/>
  <c r="R62" i="1"/>
  <c r="P62" i="1"/>
  <c r="O62" i="1"/>
  <c r="N62" i="1"/>
  <c r="M62" i="1"/>
  <c r="L62" i="1"/>
  <c r="K62" i="1"/>
  <c r="J62" i="1"/>
  <c r="I62" i="1"/>
  <c r="H62" i="1"/>
  <c r="G62" i="1"/>
  <c r="F62" i="1"/>
  <c r="E62" i="1"/>
  <c r="AP61" i="1"/>
  <c r="AO61" i="1"/>
  <c r="AN61" i="1"/>
  <c r="AM61" i="1"/>
  <c r="AL61" i="1"/>
  <c r="AK61" i="1"/>
  <c r="AJ61" i="1"/>
  <c r="AI61" i="1"/>
  <c r="AH61" i="1"/>
  <c r="AG61" i="1"/>
  <c r="AF61" i="1"/>
  <c r="AE61" i="1"/>
  <c r="AC61" i="1"/>
  <c r="AB61" i="1"/>
  <c r="AA61" i="1"/>
  <c r="Z61" i="1"/>
  <c r="Y61" i="1"/>
  <c r="X61" i="1"/>
  <c r="W61" i="1"/>
  <c r="V61" i="1"/>
  <c r="U61" i="1"/>
  <c r="T61" i="1"/>
  <c r="S61" i="1"/>
  <c r="R61" i="1"/>
  <c r="P61" i="1"/>
  <c r="O61" i="1"/>
  <c r="N61" i="1"/>
  <c r="M61" i="1"/>
  <c r="L61" i="1"/>
  <c r="K61" i="1"/>
  <c r="J61" i="1"/>
  <c r="I61" i="1"/>
  <c r="H61" i="1"/>
  <c r="G61" i="1"/>
  <c r="F61" i="1"/>
  <c r="E61" i="1"/>
  <c r="AP60" i="1"/>
  <c r="AO60" i="1"/>
  <c r="AN60" i="1"/>
  <c r="AM60" i="1"/>
  <c r="AL60" i="1"/>
  <c r="AK60" i="1"/>
  <c r="AJ60" i="1"/>
  <c r="AI60" i="1"/>
  <c r="AH60" i="1"/>
  <c r="AG60" i="1"/>
  <c r="AF60" i="1"/>
  <c r="AE60" i="1"/>
  <c r="AC60" i="1"/>
  <c r="AB60" i="1"/>
  <c r="AA60" i="1"/>
  <c r="Z60" i="1"/>
  <c r="Y60" i="1"/>
  <c r="X60" i="1"/>
  <c r="W60" i="1"/>
  <c r="V60" i="1"/>
  <c r="U60" i="1"/>
  <c r="T60" i="1"/>
  <c r="S60" i="1"/>
  <c r="R60" i="1"/>
  <c r="P60" i="1"/>
  <c r="O60" i="1"/>
  <c r="N60" i="1"/>
  <c r="M60" i="1"/>
  <c r="L60" i="1"/>
  <c r="K60" i="1"/>
  <c r="J60" i="1"/>
  <c r="I60" i="1"/>
  <c r="H60" i="1"/>
  <c r="G60" i="1"/>
  <c r="F60" i="1"/>
  <c r="E60" i="1"/>
  <c r="AP59" i="1"/>
  <c r="AO59" i="1"/>
  <c r="AN59" i="1"/>
  <c r="AM59" i="1"/>
  <c r="AL59" i="1"/>
  <c r="AK59" i="1"/>
  <c r="AJ59" i="1"/>
  <c r="AI59" i="1"/>
  <c r="AH59" i="1"/>
  <c r="AG59" i="1"/>
  <c r="AF59" i="1"/>
  <c r="AE59" i="1"/>
  <c r="AC59" i="1"/>
  <c r="AB59" i="1"/>
  <c r="AA59" i="1"/>
  <c r="Z59" i="1"/>
  <c r="Y59" i="1"/>
  <c r="X59" i="1"/>
  <c r="W59" i="1"/>
  <c r="V59" i="1"/>
  <c r="U59" i="1"/>
  <c r="T59" i="1"/>
  <c r="S59" i="1"/>
  <c r="R59" i="1"/>
  <c r="P59" i="1"/>
  <c r="O59" i="1"/>
  <c r="N59" i="1"/>
  <c r="M59" i="1"/>
  <c r="L59" i="1"/>
  <c r="K59" i="1"/>
  <c r="J59" i="1"/>
  <c r="I59" i="1"/>
  <c r="H59" i="1"/>
  <c r="G59" i="1"/>
  <c r="F59" i="1"/>
  <c r="E59" i="1"/>
  <c r="AP58" i="1"/>
  <c r="AO58" i="1"/>
  <c r="AN58" i="1"/>
  <c r="AM58" i="1"/>
  <c r="AL58" i="1"/>
  <c r="AK58" i="1"/>
  <c r="AJ58" i="1"/>
  <c r="AI58" i="1"/>
  <c r="AH58" i="1"/>
  <c r="AG58" i="1"/>
  <c r="AF58" i="1"/>
  <c r="AE58" i="1"/>
  <c r="AC58" i="1"/>
  <c r="AB58" i="1"/>
  <c r="AA58" i="1"/>
  <c r="Z58" i="1"/>
  <c r="Y58" i="1"/>
  <c r="X58" i="1"/>
  <c r="W58" i="1"/>
  <c r="V58" i="1"/>
  <c r="U58" i="1"/>
  <c r="T58" i="1"/>
  <c r="S58" i="1"/>
  <c r="R58" i="1"/>
  <c r="P58" i="1"/>
  <c r="O58" i="1"/>
  <c r="N58" i="1"/>
  <c r="M58" i="1"/>
  <c r="L58" i="1"/>
  <c r="K58" i="1"/>
  <c r="J58" i="1"/>
  <c r="I58" i="1"/>
  <c r="H58" i="1"/>
  <c r="G58" i="1"/>
  <c r="F58" i="1"/>
  <c r="E58" i="1"/>
  <c r="AP57" i="1"/>
  <c r="AO57" i="1"/>
  <c r="AN57" i="1"/>
  <c r="AM57" i="1"/>
  <c r="AL57" i="1"/>
  <c r="AK57" i="1"/>
  <c r="AK65" i="1" s="1"/>
  <c r="AJ57" i="1"/>
  <c r="AI57" i="1"/>
  <c r="AH57" i="1"/>
  <c r="AG57" i="1"/>
  <c r="AF57" i="1"/>
  <c r="AE57" i="1"/>
  <c r="AC57" i="1"/>
  <c r="AB57" i="1"/>
  <c r="AB65" i="1" s="1"/>
  <c r="AA57" i="1"/>
  <c r="Z57" i="1"/>
  <c r="Y57" i="1"/>
  <c r="X57" i="1"/>
  <c r="W57" i="1"/>
  <c r="V57" i="1"/>
  <c r="U57" i="1"/>
  <c r="T57" i="1"/>
  <c r="T65" i="1" s="1"/>
  <c r="S57" i="1"/>
  <c r="R57" i="1"/>
  <c r="P57" i="1"/>
  <c r="O57" i="1"/>
  <c r="N57" i="1"/>
  <c r="M57" i="1"/>
  <c r="L57" i="1"/>
  <c r="K57" i="1"/>
  <c r="J57" i="1"/>
  <c r="I57" i="1"/>
  <c r="H57" i="1"/>
  <c r="G57" i="1"/>
  <c r="F57" i="1"/>
  <c r="E57" i="1"/>
  <c r="AK56" i="1"/>
  <c r="AJ56" i="1"/>
  <c r="AI56" i="1"/>
  <c r="AH56" i="1"/>
  <c r="AG56" i="1"/>
  <c r="AF56" i="1"/>
  <c r="AE56" i="1"/>
  <c r="W56" i="1"/>
  <c r="V56" i="1"/>
  <c r="U56" i="1"/>
  <c r="T56" i="1"/>
  <c r="S56" i="1"/>
  <c r="R56" i="1"/>
  <c r="P56" i="1"/>
  <c r="O56" i="1"/>
  <c r="N56" i="1"/>
  <c r="M56" i="1"/>
  <c r="L56" i="1"/>
  <c r="K56" i="1"/>
  <c r="J56" i="1"/>
  <c r="I56" i="1"/>
  <c r="H56" i="1"/>
  <c r="G56" i="1"/>
  <c r="F56" i="1"/>
  <c r="E56" i="1"/>
  <c r="AP52" i="1"/>
  <c r="AO52" i="1"/>
  <c r="AN52" i="1"/>
  <c r="AM52" i="1"/>
  <c r="AL52" i="1"/>
  <c r="AK52" i="1"/>
  <c r="AJ52" i="1"/>
  <c r="AI52" i="1"/>
  <c r="AH52" i="1"/>
  <c r="AG52" i="1"/>
  <c r="AF52" i="1"/>
  <c r="AE52" i="1"/>
  <c r="AC52" i="1"/>
  <c r="AB52" i="1"/>
  <c r="AA52" i="1"/>
  <c r="Z52" i="1"/>
  <c r="Y52" i="1"/>
  <c r="X52" i="1"/>
  <c r="W52" i="1"/>
  <c r="V52" i="1"/>
  <c r="U52" i="1"/>
  <c r="T52" i="1"/>
  <c r="S52" i="1"/>
  <c r="R52" i="1"/>
  <c r="P52" i="1"/>
  <c r="O52" i="1"/>
  <c r="N52" i="1"/>
  <c r="M52" i="1"/>
  <c r="L52" i="1"/>
  <c r="K52" i="1"/>
  <c r="J52" i="1"/>
  <c r="I52" i="1"/>
  <c r="H52" i="1"/>
  <c r="G52" i="1"/>
  <c r="F52" i="1"/>
  <c r="E52" i="1"/>
  <c r="AP50" i="1"/>
  <c r="AO50" i="1"/>
  <c r="AN50" i="1"/>
  <c r="AM50" i="1"/>
  <c r="AL50" i="1"/>
  <c r="AK50" i="1"/>
  <c r="AJ50" i="1"/>
  <c r="AI50" i="1"/>
  <c r="AH50" i="1"/>
  <c r="AG50" i="1"/>
  <c r="AF50" i="1"/>
  <c r="AE50" i="1"/>
  <c r="AC50" i="1"/>
  <c r="AB50" i="1"/>
  <c r="AA50" i="1"/>
  <c r="Z50" i="1"/>
  <c r="Y50" i="1"/>
  <c r="X50" i="1"/>
  <c r="W50" i="1"/>
  <c r="V50" i="1"/>
  <c r="U50" i="1"/>
  <c r="T50" i="1"/>
  <c r="S50" i="1"/>
  <c r="R50" i="1"/>
  <c r="P50" i="1"/>
  <c r="O50" i="1"/>
  <c r="N50" i="1"/>
  <c r="M50" i="1"/>
  <c r="L50" i="1"/>
  <c r="K50" i="1"/>
  <c r="J50" i="1"/>
  <c r="I50" i="1"/>
  <c r="H50" i="1"/>
  <c r="G50" i="1"/>
  <c r="F50" i="1"/>
  <c r="E50" i="1"/>
  <c r="AP49" i="1"/>
  <c r="AO49" i="1"/>
  <c r="AN49" i="1"/>
  <c r="AM49" i="1"/>
  <c r="AL49" i="1"/>
  <c r="AK49" i="1"/>
  <c r="AJ49" i="1"/>
  <c r="AI49" i="1"/>
  <c r="AH49" i="1"/>
  <c r="AG49" i="1"/>
  <c r="AF49" i="1"/>
  <c r="AE49" i="1"/>
  <c r="AC49" i="1"/>
  <c r="AB49" i="1"/>
  <c r="AA49" i="1"/>
  <c r="Z49" i="1"/>
  <c r="Y49" i="1"/>
  <c r="X49" i="1"/>
  <c r="W49" i="1"/>
  <c r="V49" i="1"/>
  <c r="U49" i="1"/>
  <c r="T49" i="1"/>
  <c r="S49" i="1"/>
  <c r="R49" i="1"/>
  <c r="P49" i="1"/>
  <c r="O49" i="1"/>
  <c r="N49" i="1"/>
  <c r="M49" i="1"/>
  <c r="L49" i="1"/>
  <c r="K49" i="1"/>
  <c r="J49" i="1"/>
  <c r="I49" i="1"/>
  <c r="H49" i="1"/>
  <c r="G49" i="1"/>
  <c r="F49" i="1"/>
  <c r="E49" i="1"/>
  <c r="AP47" i="1"/>
  <c r="AO47" i="1"/>
  <c r="AN47" i="1"/>
  <c r="AM47" i="1"/>
  <c r="AL47" i="1"/>
  <c r="AK47" i="1"/>
  <c r="AJ47" i="1"/>
  <c r="AI47" i="1"/>
  <c r="AH47" i="1"/>
  <c r="AG47" i="1"/>
  <c r="AF47" i="1"/>
  <c r="AE47" i="1"/>
  <c r="AC47" i="1"/>
  <c r="AB47" i="1"/>
  <c r="AA47" i="1"/>
  <c r="Z47" i="1"/>
  <c r="Y47" i="1"/>
  <c r="X47" i="1"/>
  <c r="W47" i="1"/>
  <c r="V47" i="1"/>
  <c r="U47" i="1"/>
  <c r="T47" i="1"/>
  <c r="S47" i="1"/>
  <c r="R47" i="1"/>
  <c r="P47" i="1"/>
  <c r="O47" i="1"/>
  <c r="N47" i="1"/>
  <c r="M47" i="1"/>
  <c r="L47" i="1"/>
  <c r="K47" i="1"/>
  <c r="J47" i="1"/>
  <c r="I47" i="1"/>
  <c r="H47" i="1"/>
  <c r="G47" i="1"/>
  <c r="F47" i="1"/>
  <c r="E47" i="1"/>
  <c r="AP46" i="1"/>
  <c r="AO46" i="1"/>
  <c r="AN46" i="1"/>
  <c r="AM46" i="1"/>
  <c r="AL46" i="1"/>
  <c r="AK46" i="1"/>
  <c r="AJ46" i="1"/>
  <c r="AI46" i="1"/>
  <c r="AH46" i="1"/>
  <c r="AG46" i="1"/>
  <c r="AF46" i="1"/>
  <c r="AE46" i="1"/>
  <c r="AC46" i="1"/>
  <c r="AB46" i="1"/>
  <c r="AA46" i="1"/>
  <c r="Z46" i="1"/>
  <c r="Y46" i="1"/>
  <c r="X46" i="1"/>
  <c r="W46" i="1"/>
  <c r="V46" i="1"/>
  <c r="U46" i="1"/>
  <c r="T46" i="1"/>
  <c r="S46" i="1"/>
  <c r="R46" i="1"/>
  <c r="P46" i="1"/>
  <c r="O46" i="1"/>
  <c r="N46" i="1"/>
  <c r="M46" i="1"/>
  <c r="L46" i="1"/>
  <c r="K46" i="1"/>
  <c r="J46" i="1"/>
  <c r="I46" i="1"/>
  <c r="H46" i="1"/>
  <c r="G46" i="1"/>
  <c r="F46" i="1"/>
  <c r="E46" i="1"/>
  <c r="AP39" i="1"/>
  <c r="AO39" i="1"/>
  <c r="AN39" i="1"/>
  <c r="AM39" i="1"/>
  <c r="AL39" i="1"/>
  <c r="AK39" i="1"/>
  <c r="AJ39" i="1"/>
  <c r="AI39" i="1"/>
  <c r="AH39" i="1"/>
  <c r="AG39" i="1"/>
  <c r="AF39" i="1"/>
  <c r="AE39" i="1"/>
  <c r="AC39" i="1"/>
  <c r="AB39" i="1"/>
  <c r="AA39" i="1"/>
  <c r="Z39" i="1"/>
  <c r="Y39" i="1"/>
  <c r="X39" i="1"/>
  <c r="W39" i="1"/>
  <c r="V39" i="1"/>
  <c r="U39" i="1"/>
  <c r="T39" i="1"/>
  <c r="S39" i="1"/>
  <c r="R39" i="1"/>
  <c r="P39" i="1"/>
  <c r="O39" i="1"/>
  <c r="N39" i="1"/>
  <c r="M39" i="1"/>
  <c r="L39" i="1"/>
  <c r="K39" i="1"/>
  <c r="J39" i="1"/>
  <c r="I39" i="1"/>
  <c r="H39" i="1"/>
  <c r="G39" i="1"/>
  <c r="F39" i="1"/>
  <c r="E39" i="1"/>
  <c r="AP38" i="1"/>
  <c r="AO38" i="1"/>
  <c r="AN38" i="1"/>
  <c r="AM38" i="1"/>
  <c r="AL38" i="1"/>
  <c r="AK38" i="1"/>
  <c r="AJ38" i="1"/>
  <c r="AI38" i="1"/>
  <c r="AH38" i="1"/>
  <c r="AG38" i="1"/>
  <c r="AF38" i="1"/>
  <c r="AE38" i="1"/>
  <c r="AC38" i="1"/>
  <c r="AB38" i="1"/>
  <c r="AA38" i="1"/>
  <c r="Z38" i="1"/>
  <c r="Y38" i="1"/>
  <c r="X38" i="1"/>
  <c r="W38" i="1"/>
  <c r="V38" i="1"/>
  <c r="U38" i="1"/>
  <c r="T38" i="1"/>
  <c r="S38" i="1"/>
  <c r="R38" i="1"/>
  <c r="P38" i="1"/>
  <c r="O38" i="1"/>
  <c r="N38" i="1"/>
  <c r="M38" i="1"/>
  <c r="L38" i="1"/>
  <c r="K38" i="1"/>
  <c r="J38" i="1"/>
  <c r="I38" i="1"/>
  <c r="H38" i="1"/>
  <c r="G38" i="1"/>
  <c r="F38" i="1"/>
  <c r="E38" i="1"/>
  <c r="AP37" i="1"/>
  <c r="AO37" i="1"/>
  <c r="AN37" i="1"/>
  <c r="AM37" i="1"/>
  <c r="AL37" i="1"/>
  <c r="AK37" i="1"/>
  <c r="AJ37" i="1"/>
  <c r="AI37" i="1"/>
  <c r="AH37" i="1"/>
  <c r="AG37" i="1"/>
  <c r="AF37" i="1"/>
  <c r="AE37" i="1"/>
  <c r="AC37" i="1"/>
  <c r="AB37" i="1"/>
  <c r="AA37" i="1"/>
  <c r="Z37" i="1"/>
  <c r="Y37" i="1"/>
  <c r="X37" i="1"/>
  <c r="W37" i="1"/>
  <c r="V37" i="1"/>
  <c r="U37" i="1"/>
  <c r="T37" i="1"/>
  <c r="S37" i="1"/>
  <c r="R37" i="1"/>
  <c r="P37" i="1"/>
  <c r="O37" i="1"/>
  <c r="N37" i="1"/>
  <c r="M37" i="1"/>
  <c r="L37" i="1"/>
  <c r="K37" i="1"/>
  <c r="J37" i="1"/>
  <c r="I37" i="1"/>
  <c r="H37" i="1"/>
  <c r="G37" i="1"/>
  <c r="F37" i="1"/>
  <c r="E37" i="1"/>
  <c r="AP36" i="1"/>
  <c r="AO36" i="1"/>
  <c r="AN36" i="1"/>
  <c r="AM36" i="1"/>
  <c r="AL36" i="1"/>
  <c r="AK36" i="1"/>
  <c r="AJ36" i="1"/>
  <c r="AI36" i="1"/>
  <c r="AH36" i="1"/>
  <c r="AG36" i="1"/>
  <c r="AF36" i="1"/>
  <c r="AE36" i="1"/>
  <c r="AC36" i="1"/>
  <c r="AB36" i="1"/>
  <c r="AA36" i="1"/>
  <c r="Z36" i="1"/>
  <c r="Y36" i="1"/>
  <c r="X36" i="1"/>
  <c r="X41" i="1" s="1"/>
  <c r="W36" i="1"/>
  <c r="W41" i="1" s="1"/>
  <c r="V36" i="1"/>
  <c r="U36" i="1"/>
  <c r="T36" i="1"/>
  <c r="S36" i="1"/>
  <c r="R36" i="1"/>
  <c r="P36" i="1"/>
  <c r="P41" i="1" s="1"/>
  <c r="O36" i="1"/>
  <c r="O41" i="1" s="1"/>
  <c r="N36" i="1"/>
  <c r="M36" i="1"/>
  <c r="L36" i="1"/>
  <c r="K36" i="1"/>
  <c r="J36" i="1"/>
  <c r="I36" i="1"/>
  <c r="H36" i="1"/>
  <c r="G36" i="1"/>
  <c r="G41" i="1" s="1"/>
  <c r="F36" i="1"/>
  <c r="F41" i="1" s="1"/>
  <c r="E36" i="1"/>
  <c r="C12" i="1"/>
  <c r="C13" i="1"/>
  <c r="C14" i="1"/>
  <c r="C15" i="1"/>
  <c r="C11" i="1"/>
  <c r="AN65" i="1"/>
  <c r="AE65" i="1"/>
  <c r="AP32" i="1"/>
  <c r="AO32" i="1"/>
  <c r="AN32" i="1"/>
  <c r="AM32" i="1"/>
  <c r="AL32" i="1"/>
  <c r="AK32" i="1"/>
  <c r="AJ32" i="1"/>
  <c r="AI32" i="1"/>
  <c r="AH32" i="1"/>
  <c r="AG32" i="1"/>
  <c r="AF32" i="1"/>
  <c r="AE32" i="1"/>
  <c r="AP31" i="1"/>
  <c r="AO31" i="1"/>
  <c r="AN31" i="1"/>
  <c r="AM31" i="1"/>
  <c r="AL31" i="1"/>
  <c r="AK31" i="1"/>
  <c r="AJ31" i="1"/>
  <c r="AI31" i="1"/>
  <c r="AH31" i="1"/>
  <c r="AG31" i="1"/>
  <c r="AF31" i="1"/>
  <c r="AE31" i="1"/>
  <c r="AP30" i="1"/>
  <c r="AO30" i="1"/>
  <c r="AN30" i="1"/>
  <c r="AM30" i="1"/>
  <c r="AL30" i="1"/>
  <c r="AK30" i="1"/>
  <c r="AJ30" i="1"/>
  <c r="AI30" i="1"/>
  <c r="AH30" i="1"/>
  <c r="AG30" i="1"/>
  <c r="AF30" i="1"/>
  <c r="AE30" i="1"/>
  <c r="AP29" i="1"/>
  <c r="AO29" i="1"/>
  <c r="AN29" i="1"/>
  <c r="AM29" i="1"/>
  <c r="AL29" i="1"/>
  <c r="AK29" i="1"/>
  <c r="AJ29" i="1"/>
  <c r="AI29" i="1"/>
  <c r="AH29" i="1"/>
  <c r="AG29" i="1"/>
  <c r="AF29" i="1"/>
  <c r="AE29" i="1"/>
  <c r="AP28" i="1"/>
  <c r="AO28" i="1"/>
  <c r="AN28" i="1"/>
  <c r="AM28" i="1"/>
  <c r="AL28" i="1"/>
  <c r="AK28" i="1"/>
  <c r="AJ28" i="1"/>
  <c r="AJ34" i="1" s="1"/>
  <c r="AI28" i="1"/>
  <c r="AH28" i="1"/>
  <c r="AG28" i="1"/>
  <c r="AF28" i="1"/>
  <c r="AE28" i="1"/>
  <c r="AP23" i="1"/>
  <c r="AO23" i="1"/>
  <c r="AN23" i="1"/>
  <c r="AM23" i="1"/>
  <c r="AL23" i="1"/>
  <c r="AK23" i="1"/>
  <c r="AJ23" i="1"/>
  <c r="AI23" i="1"/>
  <c r="AH23" i="1"/>
  <c r="AG23" i="1"/>
  <c r="AF23" i="1"/>
  <c r="AE23" i="1"/>
  <c r="AP22" i="1"/>
  <c r="AO22" i="1"/>
  <c r="AN22" i="1"/>
  <c r="AM22" i="1"/>
  <c r="AL22" i="1"/>
  <c r="AK22" i="1"/>
  <c r="AJ22" i="1"/>
  <c r="AI22" i="1"/>
  <c r="AH22" i="1"/>
  <c r="AG22" i="1"/>
  <c r="AF22" i="1"/>
  <c r="AE22" i="1"/>
  <c r="AP21" i="1"/>
  <c r="AO21" i="1"/>
  <c r="AN21" i="1"/>
  <c r="AM21" i="1"/>
  <c r="AL21" i="1"/>
  <c r="AK21" i="1"/>
  <c r="AJ21" i="1"/>
  <c r="AI21" i="1"/>
  <c r="AH21" i="1"/>
  <c r="AE21" i="1"/>
  <c r="AP20" i="1"/>
  <c r="AO20" i="1"/>
  <c r="AN20" i="1"/>
  <c r="AM20" i="1"/>
  <c r="AL20" i="1"/>
  <c r="AK20" i="1"/>
  <c r="AJ20" i="1"/>
  <c r="AI20" i="1"/>
  <c r="AH20" i="1"/>
  <c r="AG20" i="1"/>
  <c r="AF20" i="1"/>
  <c r="AE20" i="1"/>
  <c r="AP7" i="1"/>
  <c r="AO7" i="1"/>
  <c r="AN7" i="1"/>
  <c r="AM7" i="1"/>
  <c r="AL7" i="1"/>
  <c r="AK7" i="1"/>
  <c r="AJ7" i="1"/>
  <c r="AI7" i="1"/>
  <c r="AH7" i="1"/>
  <c r="AG7" i="1"/>
  <c r="AF7" i="1"/>
  <c r="AE7" i="1"/>
  <c r="AP5" i="1"/>
  <c r="AO5" i="1"/>
  <c r="AN5" i="1"/>
  <c r="AM5" i="1"/>
  <c r="AL5" i="1"/>
  <c r="AK5" i="1"/>
  <c r="AJ5" i="1"/>
  <c r="AI5" i="1"/>
  <c r="AH5" i="1"/>
  <c r="AG5" i="1"/>
  <c r="AF5" i="1"/>
  <c r="AE5" i="1"/>
  <c r="AC32" i="1"/>
  <c r="AB32" i="1"/>
  <c r="AA32" i="1"/>
  <c r="Z32" i="1"/>
  <c r="Y32" i="1"/>
  <c r="X32" i="1"/>
  <c r="W32" i="1"/>
  <c r="V32" i="1"/>
  <c r="U32" i="1"/>
  <c r="T32" i="1"/>
  <c r="S32" i="1"/>
  <c r="R32" i="1"/>
  <c r="AC31" i="1"/>
  <c r="AB31" i="1"/>
  <c r="AA31" i="1"/>
  <c r="Z31" i="1"/>
  <c r="Y31" i="1"/>
  <c r="X31" i="1"/>
  <c r="W31" i="1"/>
  <c r="V31" i="1"/>
  <c r="U31" i="1"/>
  <c r="T31" i="1"/>
  <c r="S31" i="1"/>
  <c r="R31" i="1"/>
  <c r="AC30" i="1"/>
  <c r="AB30" i="1"/>
  <c r="AA30" i="1"/>
  <c r="Z30" i="1"/>
  <c r="Y30" i="1"/>
  <c r="X30" i="1"/>
  <c r="W30" i="1"/>
  <c r="V30" i="1"/>
  <c r="U30" i="1"/>
  <c r="T30" i="1"/>
  <c r="S30" i="1"/>
  <c r="R30" i="1"/>
  <c r="AC29" i="1"/>
  <c r="AB29" i="1"/>
  <c r="AA29" i="1"/>
  <c r="Z29" i="1"/>
  <c r="Y29" i="1"/>
  <c r="X29" i="1"/>
  <c r="W29" i="1"/>
  <c r="V29" i="1"/>
  <c r="U29" i="1"/>
  <c r="T29" i="1"/>
  <c r="S29" i="1"/>
  <c r="R29" i="1"/>
  <c r="AC28" i="1"/>
  <c r="AB28" i="1"/>
  <c r="AA28" i="1"/>
  <c r="Z28" i="1"/>
  <c r="Y28" i="1"/>
  <c r="Y34" i="1" s="1"/>
  <c r="X28" i="1"/>
  <c r="W28" i="1"/>
  <c r="V28" i="1"/>
  <c r="U28" i="1"/>
  <c r="T28" i="1"/>
  <c r="S28" i="1"/>
  <c r="R28" i="1"/>
  <c r="AC23" i="1"/>
  <c r="AB23" i="1"/>
  <c r="AA23" i="1"/>
  <c r="Z23" i="1"/>
  <c r="Y23" i="1"/>
  <c r="X23" i="1"/>
  <c r="W23" i="1"/>
  <c r="V23" i="1"/>
  <c r="U23" i="1"/>
  <c r="T23" i="1"/>
  <c r="S23" i="1"/>
  <c r="R23" i="1"/>
  <c r="AC22" i="1"/>
  <c r="AB22" i="1"/>
  <c r="AA22" i="1"/>
  <c r="Z22" i="1"/>
  <c r="Y22" i="1"/>
  <c r="X22" i="1"/>
  <c r="W22" i="1"/>
  <c r="V22" i="1"/>
  <c r="U22" i="1"/>
  <c r="T22" i="1"/>
  <c r="S22" i="1"/>
  <c r="R22" i="1"/>
  <c r="Z21" i="1"/>
  <c r="Y21" i="1"/>
  <c r="V21" i="1"/>
  <c r="AC20" i="1"/>
  <c r="AB20" i="1"/>
  <c r="AA20" i="1"/>
  <c r="Z20" i="1"/>
  <c r="Y20" i="1"/>
  <c r="X20" i="1"/>
  <c r="W20" i="1"/>
  <c r="V20" i="1"/>
  <c r="U20" i="1"/>
  <c r="T20" i="1"/>
  <c r="S20" i="1"/>
  <c r="R20" i="1"/>
  <c r="AC7" i="1"/>
  <c r="AB7" i="1"/>
  <c r="AA7" i="1"/>
  <c r="Z7" i="1"/>
  <c r="Y7" i="1"/>
  <c r="X7" i="1"/>
  <c r="W7" i="1"/>
  <c r="V7" i="1"/>
  <c r="U7" i="1"/>
  <c r="T7" i="1"/>
  <c r="S7" i="1"/>
  <c r="R7" i="1"/>
  <c r="AC5" i="1"/>
  <c r="AB5" i="1"/>
  <c r="AA5" i="1"/>
  <c r="Z5" i="1"/>
  <c r="Y5" i="1"/>
  <c r="X5" i="1"/>
  <c r="W5" i="1"/>
  <c r="V5" i="1"/>
  <c r="U5" i="1"/>
  <c r="T5" i="1"/>
  <c r="S5" i="1"/>
  <c r="R5" i="1"/>
  <c r="P32" i="1"/>
  <c r="O32" i="1"/>
  <c r="N32" i="1"/>
  <c r="M32" i="1"/>
  <c r="L32" i="1"/>
  <c r="K32" i="1"/>
  <c r="J32" i="1"/>
  <c r="I32" i="1"/>
  <c r="H32" i="1"/>
  <c r="G32" i="1"/>
  <c r="F32" i="1"/>
  <c r="E32" i="1"/>
  <c r="P31" i="1"/>
  <c r="O31" i="1"/>
  <c r="N31" i="1"/>
  <c r="M31" i="1"/>
  <c r="L31" i="1"/>
  <c r="K31" i="1"/>
  <c r="J31" i="1"/>
  <c r="I31" i="1"/>
  <c r="H31" i="1"/>
  <c r="G31" i="1"/>
  <c r="F31" i="1"/>
  <c r="E31" i="1"/>
  <c r="P30" i="1"/>
  <c r="O30" i="1"/>
  <c r="N30" i="1"/>
  <c r="M30" i="1"/>
  <c r="L30" i="1"/>
  <c r="K30" i="1"/>
  <c r="J30" i="1"/>
  <c r="I30" i="1"/>
  <c r="H30" i="1"/>
  <c r="G30" i="1"/>
  <c r="F30" i="1"/>
  <c r="E30" i="1"/>
  <c r="P29" i="1"/>
  <c r="O29" i="1"/>
  <c r="N29" i="1"/>
  <c r="M29" i="1"/>
  <c r="L29" i="1"/>
  <c r="K29" i="1"/>
  <c r="J29" i="1"/>
  <c r="I29" i="1"/>
  <c r="H29" i="1"/>
  <c r="G29" i="1"/>
  <c r="F29" i="1"/>
  <c r="E29" i="1"/>
  <c r="P28" i="1"/>
  <c r="O28" i="1"/>
  <c r="N28" i="1"/>
  <c r="M28" i="1"/>
  <c r="L28" i="1"/>
  <c r="K28" i="1"/>
  <c r="J28" i="1"/>
  <c r="I28" i="1"/>
  <c r="H28" i="1"/>
  <c r="G28" i="1"/>
  <c r="F28" i="1"/>
  <c r="E28" i="1"/>
  <c r="P23" i="1"/>
  <c r="O23" i="1"/>
  <c r="N23" i="1"/>
  <c r="M23" i="1"/>
  <c r="L23" i="1"/>
  <c r="K23" i="1"/>
  <c r="J23" i="1"/>
  <c r="I23" i="1"/>
  <c r="H23" i="1"/>
  <c r="G23" i="1"/>
  <c r="F23" i="1"/>
  <c r="E23" i="1"/>
  <c r="P22" i="1"/>
  <c r="O22" i="1"/>
  <c r="N22" i="1"/>
  <c r="M22" i="1"/>
  <c r="L22" i="1"/>
  <c r="K22" i="1"/>
  <c r="J22" i="1"/>
  <c r="I22" i="1"/>
  <c r="H22" i="1"/>
  <c r="G22" i="1"/>
  <c r="F22" i="1"/>
  <c r="E22" i="1"/>
  <c r="P20" i="1"/>
  <c r="O20" i="1"/>
  <c r="N20" i="1"/>
  <c r="M20" i="1"/>
  <c r="L20" i="1"/>
  <c r="K20" i="1"/>
  <c r="J20" i="1"/>
  <c r="I20" i="1"/>
  <c r="H20" i="1"/>
  <c r="G20" i="1"/>
  <c r="F20" i="1"/>
  <c r="E20" i="1"/>
  <c r="P7" i="1"/>
  <c r="O7" i="1"/>
  <c r="N7" i="1"/>
  <c r="M7" i="1"/>
  <c r="L7" i="1"/>
  <c r="K7" i="1"/>
  <c r="J7" i="1"/>
  <c r="I7" i="1"/>
  <c r="H7" i="1"/>
  <c r="G7" i="1"/>
  <c r="F7" i="1"/>
  <c r="E7" i="1"/>
  <c r="P5" i="1"/>
  <c r="O5" i="1"/>
  <c r="N5" i="1"/>
  <c r="M5" i="1"/>
  <c r="L5" i="1"/>
  <c r="K5" i="1"/>
  <c r="J5" i="1"/>
  <c r="I5" i="1"/>
  <c r="H5" i="1"/>
  <c r="G5" i="1"/>
  <c r="F5" i="1"/>
  <c r="E5" i="1"/>
  <c r="AG87" i="5"/>
  <c r="AF87" i="5"/>
  <c r="AE87" i="5"/>
  <c r="AG86" i="5"/>
  <c r="AF86" i="5"/>
  <c r="AE86" i="5"/>
  <c r="AG85" i="5"/>
  <c r="AF85" i="5"/>
  <c r="AE85" i="5"/>
  <c r="AG84" i="5"/>
  <c r="AF84" i="5"/>
  <c r="AE84" i="5"/>
  <c r="AG83" i="5"/>
  <c r="AF83" i="5"/>
  <c r="AE83" i="5"/>
  <c r="AG82" i="5"/>
  <c r="AF82" i="5"/>
  <c r="AE82" i="5"/>
  <c r="AG81" i="5"/>
  <c r="AF81" i="5"/>
  <c r="AE81" i="5"/>
  <c r="AG80" i="5"/>
  <c r="AF80" i="5"/>
  <c r="AE80" i="5"/>
  <c r="AC80" i="5"/>
  <c r="AC81" i="5"/>
  <c r="AC82" i="5"/>
  <c r="AC83" i="5"/>
  <c r="AC84" i="5"/>
  <c r="AC85" i="5"/>
  <c r="AC86" i="5"/>
  <c r="AC87" i="5"/>
  <c r="AP110" i="5"/>
  <c r="AP24" i="5" s="1"/>
  <c r="AP26" i="5" s="1"/>
  <c r="AO110" i="5"/>
  <c r="AO24" i="5" s="1"/>
  <c r="AO26" i="5" s="1"/>
  <c r="AN110" i="5"/>
  <c r="AN24" i="5" s="1"/>
  <c r="AM110" i="5"/>
  <c r="AM24" i="5" s="1"/>
  <c r="AM26" i="5" s="1"/>
  <c r="AL110" i="5"/>
  <c r="AL24" i="5" s="1"/>
  <c r="AL26" i="5" s="1"/>
  <c r="AK110" i="5"/>
  <c r="AK24" i="5" s="1"/>
  <c r="AJ110" i="5"/>
  <c r="AJ24" i="5" s="1"/>
  <c r="AJ26" i="5" s="1"/>
  <c r="AI110" i="5"/>
  <c r="AI24" i="5" s="1"/>
  <c r="AI26" i="5" s="1"/>
  <c r="AH110" i="5"/>
  <c r="AH24" i="5" s="1"/>
  <c r="AP91" i="5"/>
  <c r="AP6" i="5" s="1"/>
  <c r="AO91" i="5"/>
  <c r="AO6" i="5" s="1"/>
  <c r="AO9" i="5" s="1"/>
  <c r="AN91" i="5"/>
  <c r="AN6" i="5" s="1"/>
  <c r="AM91" i="5"/>
  <c r="AM6" i="5" s="1"/>
  <c r="AM9" i="5" s="1"/>
  <c r="AL91" i="5"/>
  <c r="AL6" i="5" s="1"/>
  <c r="AK91" i="5"/>
  <c r="AK6" i="5" s="1"/>
  <c r="AJ91" i="5"/>
  <c r="AJ6" i="5" s="1"/>
  <c r="AI91" i="5"/>
  <c r="AI6" i="5" s="1"/>
  <c r="AH91" i="5"/>
  <c r="AH6" i="5" s="1"/>
  <c r="AP65" i="5"/>
  <c r="AO65" i="5"/>
  <c r="AN65" i="5"/>
  <c r="AM65" i="5"/>
  <c r="AL65" i="5"/>
  <c r="AK65" i="5"/>
  <c r="AJ65" i="5"/>
  <c r="AI65" i="5"/>
  <c r="AH65" i="5"/>
  <c r="AG65" i="5"/>
  <c r="AF65" i="5"/>
  <c r="AE65" i="5"/>
  <c r="AT94" i="11" l="1"/>
  <c r="AT97" i="11" s="1"/>
  <c r="BZ122" i="6"/>
  <c r="BZ114" i="6"/>
  <c r="BZ106" i="6"/>
  <c r="BZ125" i="6"/>
  <c r="BZ117" i="6"/>
  <c r="BZ109" i="6"/>
  <c r="BZ124" i="6"/>
  <c r="BZ113" i="6"/>
  <c r="BZ123" i="6"/>
  <c r="BZ112" i="6"/>
  <c r="BZ121" i="6"/>
  <c r="BZ111" i="6"/>
  <c r="BZ127" i="6"/>
  <c r="BZ116" i="6"/>
  <c r="BZ128" i="6"/>
  <c r="BZ107" i="6"/>
  <c r="BZ118" i="6"/>
  <c r="BZ126" i="6"/>
  <c r="BZ119" i="6"/>
  <c r="BZ120" i="6"/>
  <c r="BZ105" i="6"/>
  <c r="BZ110" i="6"/>
  <c r="BZ129" i="6"/>
  <c r="BZ108" i="6"/>
  <c r="BZ115" i="6"/>
  <c r="K41" i="1"/>
  <c r="T41" i="1"/>
  <c r="AB41" i="1"/>
  <c r="W65" i="1"/>
  <c r="AF65" i="1"/>
  <c r="BY122" i="6"/>
  <c r="BY114" i="6"/>
  <c r="BY106" i="6"/>
  <c r="BV106" i="6" s="1"/>
  <c r="BY125" i="6"/>
  <c r="BY117" i="6"/>
  <c r="BY109" i="6"/>
  <c r="BY127" i="6"/>
  <c r="BY116" i="6"/>
  <c r="BV116" i="6" s="1"/>
  <c r="BY126" i="6"/>
  <c r="BY115" i="6"/>
  <c r="BY124" i="6"/>
  <c r="BV124" i="6" s="1"/>
  <c r="BY113" i="6"/>
  <c r="BY129" i="6"/>
  <c r="BV129" i="6" s="1"/>
  <c r="BY119" i="6"/>
  <c r="BY108" i="6"/>
  <c r="BY110" i="6"/>
  <c r="BV110" i="6" s="1"/>
  <c r="BY128" i="6"/>
  <c r="BV128" i="6" s="1"/>
  <c r="BY107" i="6"/>
  <c r="BY121" i="6"/>
  <c r="BV121" i="6" s="1"/>
  <c r="BY123" i="6"/>
  <c r="BY120" i="6"/>
  <c r="BY118" i="6"/>
  <c r="BY112" i="6"/>
  <c r="BV112" i="6" s="1"/>
  <c r="BY111" i="6"/>
  <c r="V34" i="1"/>
  <c r="AG34" i="1"/>
  <c r="AO34" i="1"/>
  <c r="X65" i="1"/>
  <c r="AG65" i="1"/>
  <c r="AO65" i="1"/>
  <c r="Y65" i="1"/>
  <c r="AH65" i="1"/>
  <c r="AP65" i="1"/>
  <c r="S34" i="1"/>
  <c r="AL34" i="1"/>
  <c r="R16" i="9"/>
  <c r="R17" i="9" s="1"/>
  <c r="BH14" i="7"/>
  <c r="R90" i="11"/>
  <c r="R92" i="11"/>
  <c r="AY92" i="11" s="1"/>
  <c r="R87" i="11"/>
  <c r="AS17" i="9"/>
  <c r="AR6" i="10"/>
  <c r="B2" i="3" s="1"/>
  <c r="B10" i="3" s="1"/>
  <c r="R91" i="11"/>
  <c r="BD80" i="5"/>
  <c r="BE80" i="5"/>
  <c r="BD82" i="5"/>
  <c r="BE82" i="5"/>
  <c r="BE84" i="5"/>
  <c r="BD84" i="5"/>
  <c r="BE86" i="5"/>
  <c r="BD86" i="5"/>
  <c r="BE81" i="5"/>
  <c r="BD81" i="5"/>
  <c r="BD83" i="5"/>
  <c r="BE83" i="5"/>
  <c r="BE85" i="5"/>
  <c r="BD85" i="5"/>
  <c r="BD87" i="5"/>
  <c r="BE87" i="5"/>
  <c r="X18" i="9"/>
  <c r="BJ23" i="7"/>
  <c r="BJ38" i="7"/>
  <c r="AG61" i="11"/>
  <c r="AY50" i="11"/>
  <c r="AY60" i="11" s="1"/>
  <c r="T60" i="11"/>
  <c r="T61" i="11" s="1"/>
  <c r="U60" i="11"/>
  <c r="BR70" i="7"/>
  <c r="BS70" i="7" s="1"/>
  <c r="BT70" i="7" s="1"/>
  <c r="BW70" i="7" s="1"/>
  <c r="BR68" i="7"/>
  <c r="BS68" i="7" s="1"/>
  <c r="BT68" i="7" s="1"/>
  <c r="BW68" i="7" s="1"/>
  <c r="BR63" i="7"/>
  <c r="BS63" i="7" s="1"/>
  <c r="BT63" i="7" s="1"/>
  <c r="BW63" i="7" s="1"/>
  <c r="BR61" i="7"/>
  <c r="BS61" i="7" s="1"/>
  <c r="BT61" i="7" s="1"/>
  <c r="BW61" i="7" s="1"/>
  <c r="BR59" i="7"/>
  <c r="BS59" i="7" s="1"/>
  <c r="BT59" i="7" s="1"/>
  <c r="BW59" i="7" s="1"/>
  <c r="BR57" i="7"/>
  <c r="BS57" i="7" s="1"/>
  <c r="BT57" i="7" s="1"/>
  <c r="BW57" i="7" s="1"/>
  <c r="BR51" i="7"/>
  <c r="BS51" i="7" s="1"/>
  <c r="BT51" i="7" s="1"/>
  <c r="BW51" i="7" s="1"/>
  <c r="BR49" i="7"/>
  <c r="BS49" i="7" s="1"/>
  <c r="BT49" i="7" s="1"/>
  <c r="BW49" i="7" s="1"/>
  <c r="BR46" i="7"/>
  <c r="BS46" i="7" s="1"/>
  <c r="BT46" i="7" s="1"/>
  <c r="BW46" i="7" s="1"/>
  <c r="BR44" i="7"/>
  <c r="BS44" i="7" s="1"/>
  <c r="BT44" i="7" s="1"/>
  <c r="BW44" i="7" s="1"/>
  <c r="BR39" i="7"/>
  <c r="BS39" i="7" s="1"/>
  <c r="BT39" i="7" s="1"/>
  <c r="BW39" i="7" s="1"/>
  <c r="BR37" i="7"/>
  <c r="BS37" i="7" s="1"/>
  <c r="BT37" i="7" s="1"/>
  <c r="BW37" i="7" s="1"/>
  <c r="BR32" i="7"/>
  <c r="BS32" i="7" s="1"/>
  <c r="BT32" i="7" s="1"/>
  <c r="BW32" i="7" s="1"/>
  <c r="BN30" i="7"/>
  <c r="BQ30" i="7" s="1"/>
  <c r="BM28" i="7"/>
  <c r="BN28" i="7" s="1"/>
  <c r="BL34" i="7"/>
  <c r="BM5" i="7"/>
  <c r="BL11" i="7"/>
  <c r="BL15" i="7"/>
  <c r="BL13" i="7"/>
  <c r="BL9" i="7"/>
  <c r="BL12" i="7"/>
  <c r="BL14" i="7"/>
  <c r="BR20" i="7"/>
  <c r="BS20" i="7" s="1"/>
  <c r="BT20" i="7" s="1"/>
  <c r="BW20" i="7" s="1"/>
  <c r="BX20" i="7" s="1"/>
  <c r="BY20" i="7" s="1"/>
  <c r="BZ20" i="7" s="1"/>
  <c r="BV20" i="7" s="1"/>
  <c r="BR69" i="7"/>
  <c r="BS69" i="7" s="1"/>
  <c r="BT69" i="7" s="1"/>
  <c r="BW69" i="7" s="1"/>
  <c r="BR67" i="7"/>
  <c r="BS67" i="7" s="1"/>
  <c r="BT67" i="7" s="1"/>
  <c r="BW67" i="7" s="1"/>
  <c r="BR62" i="7"/>
  <c r="BS62" i="7" s="1"/>
  <c r="BT62" i="7" s="1"/>
  <c r="BW62" i="7" s="1"/>
  <c r="BR60" i="7"/>
  <c r="BS60" i="7" s="1"/>
  <c r="BT60" i="7" s="1"/>
  <c r="BW60" i="7" s="1"/>
  <c r="BR58" i="7"/>
  <c r="BS58" i="7" s="1"/>
  <c r="BT58" i="7" s="1"/>
  <c r="BW58" i="7" s="1"/>
  <c r="BR52" i="7"/>
  <c r="BS52" i="7" s="1"/>
  <c r="BT52" i="7" s="1"/>
  <c r="BW52" i="7" s="1"/>
  <c r="BX52" i="7" s="1"/>
  <c r="BY52" i="7" s="1"/>
  <c r="BZ52" i="7" s="1"/>
  <c r="BV52" i="7" s="1"/>
  <c r="BR50" i="7"/>
  <c r="BS50" i="7" s="1"/>
  <c r="BT50" i="7" s="1"/>
  <c r="BW50" i="7" s="1"/>
  <c r="BR48" i="7"/>
  <c r="BS48" i="7" s="1"/>
  <c r="BT48" i="7" s="1"/>
  <c r="BW48" i="7" s="1"/>
  <c r="BR45" i="7"/>
  <c r="BS45" i="7" s="1"/>
  <c r="BT45" i="7" s="1"/>
  <c r="BW45" i="7" s="1"/>
  <c r="BR24" i="7"/>
  <c r="BS24" i="7" s="1"/>
  <c r="BT24" i="7" s="1"/>
  <c r="BW24" i="7" s="1"/>
  <c r="BR22" i="7"/>
  <c r="BS22" i="7" s="1"/>
  <c r="BT22" i="7" s="1"/>
  <c r="BW22" i="7" s="1"/>
  <c r="BR7" i="7"/>
  <c r="BS7" i="7" s="1"/>
  <c r="BT7" i="7" s="1"/>
  <c r="BJ70" i="7"/>
  <c r="BJ68" i="7"/>
  <c r="BJ63" i="7"/>
  <c r="BJ61" i="7"/>
  <c r="BJ59" i="7"/>
  <c r="BJ57" i="7"/>
  <c r="BJ51" i="7"/>
  <c r="BJ49" i="7"/>
  <c r="BJ46" i="7"/>
  <c r="BJ44" i="7"/>
  <c r="BJ39" i="7"/>
  <c r="BJ37" i="7"/>
  <c r="BJ32" i="7"/>
  <c r="BR23" i="7"/>
  <c r="BS23" i="7" s="1"/>
  <c r="BT23" i="7" s="1"/>
  <c r="BW23" i="7" s="1"/>
  <c r="BK17" i="7"/>
  <c r="BK18" i="7"/>
  <c r="BJ20" i="7"/>
  <c r="BJ69" i="7"/>
  <c r="BJ67" i="7"/>
  <c r="BJ62" i="7"/>
  <c r="BJ60" i="7"/>
  <c r="BJ58" i="7"/>
  <c r="BJ52" i="7"/>
  <c r="BJ50" i="7"/>
  <c r="BJ48" i="7"/>
  <c r="BJ45" i="7"/>
  <c r="BM43" i="7"/>
  <c r="BL54" i="7"/>
  <c r="BR38" i="7"/>
  <c r="BS38" i="7" s="1"/>
  <c r="BT38" i="7" s="1"/>
  <c r="BW38" i="7" s="1"/>
  <c r="BM36" i="7"/>
  <c r="BL41" i="7"/>
  <c r="BR31" i="7"/>
  <c r="BS31" i="7" s="1"/>
  <c r="BT31" i="7" s="1"/>
  <c r="BW31" i="7" s="1"/>
  <c r="BR29" i="7"/>
  <c r="BS29" i="7" s="1"/>
  <c r="BT29" i="7" s="1"/>
  <c r="BW29" i="7" s="1"/>
  <c r="BJ24" i="7"/>
  <c r="BJ22" i="7"/>
  <c r="BJ7" i="7"/>
  <c r="BH9" i="7"/>
  <c r="AL56" i="7"/>
  <c r="AK65" i="7"/>
  <c r="Y56" i="7"/>
  <c r="X65" i="7"/>
  <c r="BM21" i="7"/>
  <c r="BL26" i="7"/>
  <c r="BT103" i="9"/>
  <c r="BT104" i="9"/>
  <c r="AR94" i="11"/>
  <c r="BA50" i="11"/>
  <c r="BA60" i="11" s="1"/>
  <c r="BX61" i="11"/>
  <c r="CC7" i="10"/>
  <c r="BM61" i="11"/>
  <c r="BN7" i="10"/>
  <c r="BT61" i="11"/>
  <c r="BW7" i="10"/>
  <c r="BY61" i="11"/>
  <c r="CD7" i="10"/>
  <c r="BS61" i="11"/>
  <c r="BV7" i="10"/>
  <c r="BN61" i="11"/>
  <c r="BO7" i="10"/>
  <c r="BL61" i="11"/>
  <c r="BM7" i="10"/>
  <c r="BZ61" i="11"/>
  <c r="CE7" i="10"/>
  <c r="BR61" i="11"/>
  <c r="BU7" i="10"/>
  <c r="BZ48" i="9"/>
  <c r="W82" i="9"/>
  <c r="X78" i="9" s="1"/>
  <c r="BZ86" i="6"/>
  <c r="BZ104" i="6"/>
  <c r="BZ102" i="6"/>
  <c r="BZ101" i="6"/>
  <c r="BZ99" i="6"/>
  <c r="BZ97" i="6"/>
  <c r="BZ95" i="6"/>
  <c r="BZ93" i="6"/>
  <c r="BZ91" i="6"/>
  <c r="BZ89" i="6"/>
  <c r="BZ84" i="6"/>
  <c r="BZ103" i="6"/>
  <c r="BZ100" i="6"/>
  <c r="BZ98" i="6"/>
  <c r="BZ96" i="6"/>
  <c r="BZ94" i="6"/>
  <c r="BZ92" i="6"/>
  <c r="BZ90" i="6"/>
  <c r="BZ88" i="6"/>
  <c r="BZ87" i="6"/>
  <c r="BZ85" i="6"/>
  <c r="BS50" i="9"/>
  <c r="BR58" i="9"/>
  <c r="BQ64" i="9"/>
  <c r="BQ96" i="9"/>
  <c r="BW31" i="9"/>
  <c r="BW101" i="9" s="1"/>
  <c r="BW104" i="9" s="1"/>
  <c r="BX132" i="6"/>
  <c r="BX31" i="9" s="1"/>
  <c r="BX101" i="9" s="1"/>
  <c r="BX131" i="6"/>
  <c r="BX6" i="6" s="1"/>
  <c r="BX9" i="6" s="1"/>
  <c r="BY104" i="6"/>
  <c r="BY102" i="6"/>
  <c r="BY101" i="6"/>
  <c r="BY99" i="6"/>
  <c r="BY97" i="6"/>
  <c r="BY95" i="6"/>
  <c r="BY93" i="6"/>
  <c r="BY91" i="6"/>
  <c r="BY89" i="6"/>
  <c r="BY84" i="6"/>
  <c r="BY98" i="6"/>
  <c r="BY92" i="6"/>
  <c r="BY87" i="6"/>
  <c r="BY85" i="6"/>
  <c r="BY105" i="6"/>
  <c r="BY103" i="6"/>
  <c r="BY100" i="6"/>
  <c r="BV100" i="6" s="1"/>
  <c r="BY96" i="6"/>
  <c r="BY94" i="6"/>
  <c r="BY90" i="6"/>
  <c r="BY88" i="6"/>
  <c r="BY86" i="6"/>
  <c r="BW9" i="6"/>
  <c r="BV103" i="6"/>
  <c r="AP41" i="1"/>
  <c r="Z34" i="1"/>
  <c r="W9" i="9"/>
  <c r="P18" i="9"/>
  <c r="P17" i="9" s="1"/>
  <c r="AV17" i="9" s="1"/>
  <c r="R83" i="11"/>
  <c r="BF46" i="11"/>
  <c r="AZ60" i="11"/>
  <c r="T34" i="1"/>
  <c r="AM34" i="1"/>
  <c r="R41" i="1"/>
  <c r="R65" i="1"/>
  <c r="BA46" i="11"/>
  <c r="AC34" i="1"/>
  <c r="AF34" i="1"/>
  <c r="J41" i="1"/>
  <c r="S41" i="1"/>
  <c r="S65" i="1"/>
  <c r="AA65" i="1"/>
  <c r="AJ65" i="1"/>
  <c r="R86" i="11"/>
  <c r="R85" i="11"/>
  <c r="BB46" i="11"/>
  <c r="AZ46" i="11"/>
  <c r="AY46" i="11"/>
  <c r="AY79" i="11" s="1"/>
  <c r="AB34" i="1"/>
  <c r="I41" i="1"/>
  <c r="Z65" i="1"/>
  <c r="R84" i="11"/>
  <c r="R89" i="11"/>
  <c r="AS94" i="11"/>
  <c r="AS97" i="11" s="1"/>
  <c r="Z41" i="1"/>
  <c r="BH46" i="11"/>
  <c r="BB50" i="11"/>
  <c r="BB60" i="11" s="1"/>
  <c r="BF50" i="11"/>
  <c r="BF60" i="11" s="1"/>
  <c r="AV94" i="11"/>
  <c r="J17" i="9"/>
  <c r="AJ41" i="1"/>
  <c r="AF41" i="1"/>
  <c r="AG41" i="1"/>
  <c r="AO41" i="1"/>
  <c r="AI41" i="1"/>
  <c r="BG46" i="11"/>
  <c r="N60" i="11"/>
  <c r="N95" i="11" s="1"/>
  <c r="AV50" i="11"/>
  <c r="AV60" i="11" s="1"/>
  <c r="U18" i="9"/>
  <c r="F22" i="13"/>
  <c r="BG50" i="11"/>
  <c r="BG60" i="11" s="1"/>
  <c r="BE46" i="11"/>
  <c r="BP102" i="9"/>
  <c r="BZ102" i="9"/>
  <c r="BV50" i="11"/>
  <c r="BV60" i="11" s="1"/>
  <c r="BV61" i="11" s="1"/>
  <c r="BW60" i="11"/>
  <c r="H60" i="11"/>
  <c r="H95" i="11" s="1"/>
  <c r="AT50" i="11"/>
  <c r="AT60" i="11" s="1"/>
  <c r="I17" i="9"/>
  <c r="AU94" i="11"/>
  <c r="AU97" i="11" s="1"/>
  <c r="BJ50" i="11"/>
  <c r="BJ60" i="11" s="1"/>
  <c r="BJ61" i="11" s="1"/>
  <c r="BK60" i="11"/>
  <c r="AX50" i="11"/>
  <c r="AX60" i="11" s="1"/>
  <c r="L41" i="1"/>
  <c r="AC41" i="1"/>
  <c r="U65" i="1"/>
  <c r="AL65" i="1"/>
  <c r="E41" i="1"/>
  <c r="V41" i="1"/>
  <c r="V65" i="1"/>
  <c r="AM65" i="1"/>
  <c r="AP34" i="1"/>
  <c r="AL41" i="1"/>
  <c r="AC65" i="1"/>
  <c r="K60" i="11"/>
  <c r="K95" i="11" s="1"/>
  <c r="AU50" i="11"/>
  <c r="AU60" i="11" s="1"/>
  <c r="BR53" i="9"/>
  <c r="BQ54" i="9"/>
  <c r="AI34" i="1"/>
  <c r="M41" i="1"/>
  <c r="AM41" i="1"/>
  <c r="E60" i="11"/>
  <c r="E95" i="11" s="1"/>
  <c r="AS50" i="11"/>
  <c r="AS60" i="11" s="1"/>
  <c r="AR50" i="11"/>
  <c r="AR60" i="11" s="1"/>
  <c r="BD46" i="11"/>
  <c r="AE60" i="11"/>
  <c r="AE61" i="11" s="1"/>
  <c r="BD50" i="11"/>
  <c r="BD60" i="11" s="1"/>
  <c r="BE50" i="11"/>
  <c r="BE60" i="11" s="1"/>
  <c r="AN60" i="11"/>
  <c r="AN61" i="11" s="1"/>
  <c r="BH50" i="11"/>
  <c r="BH60" i="11" s="1"/>
  <c r="BM57" i="9"/>
  <c r="AX46" i="11"/>
  <c r="BP50" i="11"/>
  <c r="BP60" i="11" s="1"/>
  <c r="BP61" i="11" s="1"/>
  <c r="BQ60" i="11"/>
  <c r="S90" i="11"/>
  <c r="S88" i="11"/>
  <c r="AY88" i="11" s="1"/>
  <c r="S87" i="11"/>
  <c r="S85" i="11"/>
  <c r="S91" i="11"/>
  <c r="S89" i="11"/>
  <c r="S83" i="11"/>
  <c r="S84" i="11"/>
  <c r="S86" i="11"/>
  <c r="L80" i="9"/>
  <c r="H18" i="9"/>
  <c r="H17" i="9" s="1"/>
  <c r="H90" i="9"/>
  <c r="I82" i="11" s="1"/>
  <c r="AY88" i="9"/>
  <c r="AS79" i="9"/>
  <c r="E22" i="13"/>
  <c r="AS8" i="9"/>
  <c r="H79" i="9"/>
  <c r="AT79" i="9" s="1"/>
  <c r="AT8" i="9"/>
  <c r="AU17" i="9"/>
  <c r="K79" i="9"/>
  <c r="K22" i="13" s="1"/>
  <c r="Z16" i="9"/>
  <c r="AB16" i="9"/>
  <c r="G22" i="13"/>
  <c r="G80" i="9"/>
  <c r="J80" i="9"/>
  <c r="J22" i="13"/>
  <c r="I22" i="13"/>
  <c r="I80" i="9"/>
  <c r="AG77" i="9"/>
  <c r="AF65" i="11"/>
  <c r="AE76" i="11"/>
  <c r="AE69" i="11"/>
  <c r="AE73" i="11"/>
  <c r="AE66" i="11"/>
  <c r="AE70" i="11"/>
  <c r="AE74" i="11"/>
  <c r="AE67" i="11"/>
  <c r="AE71" i="11"/>
  <c r="AE75" i="11"/>
  <c r="AE68" i="11"/>
  <c r="AE72" i="11"/>
  <c r="AB18" i="9"/>
  <c r="T94" i="11"/>
  <c r="T12" i="10" s="1"/>
  <c r="Z18" i="9"/>
  <c r="AA17" i="9"/>
  <c r="X16" i="9"/>
  <c r="AM20" i="9"/>
  <c r="V18" i="9"/>
  <c r="V17" i="9" s="1"/>
  <c r="P11" i="9"/>
  <c r="P75" i="11"/>
  <c r="AR75" i="11" s="1"/>
  <c r="P68" i="11"/>
  <c r="AR68" i="11" s="1"/>
  <c r="P73" i="11"/>
  <c r="AR73" i="11" s="1"/>
  <c r="P67" i="11"/>
  <c r="AR67" i="11" s="1"/>
  <c r="P72" i="11"/>
  <c r="AR72" i="11" s="1"/>
  <c r="P70" i="11"/>
  <c r="AR70" i="11" s="1"/>
  <c r="P71" i="11"/>
  <c r="AR71" i="11" s="1"/>
  <c r="P69" i="11"/>
  <c r="AR69" i="11" s="1"/>
  <c r="P74" i="11"/>
  <c r="AR74" i="11" s="1"/>
  <c r="P66" i="11"/>
  <c r="AR66" i="11" s="1"/>
  <c r="P76" i="11"/>
  <c r="AR76" i="11" s="1"/>
  <c r="AR22" i="12" s="1"/>
  <c r="AS22" i="12" s="1"/>
  <c r="AT22" i="12" s="1"/>
  <c r="AU22" i="12" s="1"/>
  <c r="AW22" i="12" s="1"/>
  <c r="S8" i="9"/>
  <c r="S79" i="9" s="1"/>
  <c r="S80" i="9" s="1"/>
  <c r="S6" i="10"/>
  <c r="S79" i="11"/>
  <c r="S61" i="11"/>
  <c r="I21" i="13"/>
  <c r="I60" i="8"/>
  <c r="M21" i="13"/>
  <c r="M60" i="8"/>
  <c r="AY131" i="6"/>
  <c r="I12" i="10"/>
  <c r="I88" i="9"/>
  <c r="AC6" i="10"/>
  <c r="AC8" i="10" s="1"/>
  <c r="AA6" i="10"/>
  <c r="AA8" i="10" s="1"/>
  <c r="AG6" i="10"/>
  <c r="AG8" i="10" s="1"/>
  <c r="H12" i="10"/>
  <c r="H88" i="9"/>
  <c r="Z6" i="10"/>
  <c r="Z8" i="10" s="1"/>
  <c r="L12" i="10"/>
  <c r="L88" i="9"/>
  <c r="J12" i="10"/>
  <c r="J88" i="9"/>
  <c r="AE16" i="9"/>
  <c r="L14" i="12"/>
  <c r="L14" i="14" s="1"/>
  <c r="K14" i="14"/>
  <c r="M71" i="6"/>
  <c r="AU71" i="6" s="1"/>
  <c r="AU73" i="6" s="1"/>
  <c r="AT67" i="7"/>
  <c r="AZ67" i="7"/>
  <c r="AV21" i="7"/>
  <c r="BB21" i="7"/>
  <c r="AU69" i="7"/>
  <c r="BA69" i="7"/>
  <c r="AO6" i="10"/>
  <c r="AK6" i="10"/>
  <c r="V7" i="10"/>
  <c r="V95" i="11"/>
  <c r="AL7" i="10"/>
  <c r="F12" i="10"/>
  <c r="F88" i="9"/>
  <c r="AP7" i="10"/>
  <c r="AE6" i="10"/>
  <c r="U6" i="10"/>
  <c r="U79" i="11"/>
  <c r="S17" i="9"/>
  <c r="R7" i="10"/>
  <c r="R95" i="11"/>
  <c r="W17" i="9"/>
  <c r="K27" i="12"/>
  <c r="J25" i="14"/>
  <c r="K69" i="1"/>
  <c r="AU69" i="1" s="1"/>
  <c r="AV68" i="7"/>
  <c r="BB68" i="7"/>
  <c r="AU21" i="7"/>
  <c r="BA21" i="7"/>
  <c r="AZ69" i="7"/>
  <c r="AK61" i="11"/>
  <c r="X6" i="10"/>
  <c r="X8" i="10" s="1"/>
  <c r="X32" i="10" s="1"/>
  <c r="W7" i="10"/>
  <c r="W95" i="11"/>
  <c r="W6" i="10"/>
  <c r="W79" i="11"/>
  <c r="AO7" i="10"/>
  <c r="U7" i="10"/>
  <c r="U95" i="11"/>
  <c r="P12" i="10"/>
  <c r="P88" i="9"/>
  <c r="AJ6" i="10"/>
  <c r="T6" i="10"/>
  <c r="T79" i="11"/>
  <c r="E12" i="10"/>
  <c r="E88" i="9"/>
  <c r="AK7" i="10"/>
  <c r="O12" i="10"/>
  <c r="O88" i="9"/>
  <c r="M12" i="10"/>
  <c r="M88" i="9"/>
  <c r="U67" i="1"/>
  <c r="U17" i="13" s="1"/>
  <c r="E8" i="14"/>
  <c r="E20" i="14" s="1"/>
  <c r="E18" i="13"/>
  <c r="V61" i="11"/>
  <c r="Y6" i="10"/>
  <c r="Y8" i="10" s="1"/>
  <c r="AM6" i="10"/>
  <c r="S7" i="10"/>
  <c r="S95" i="11"/>
  <c r="G12" i="10"/>
  <c r="G88" i="9"/>
  <c r="K12" i="10"/>
  <c r="K88" i="9"/>
  <c r="V6" i="10"/>
  <c r="AI6" i="10"/>
  <c r="N12" i="10"/>
  <c r="N88" i="9"/>
  <c r="F60" i="8"/>
  <c r="T82" i="9"/>
  <c r="U78" i="9" s="1"/>
  <c r="U7" i="9"/>
  <c r="U8" i="9" s="1"/>
  <c r="T9" i="9"/>
  <c r="T8" i="9" s="1"/>
  <c r="T79" i="9" s="1"/>
  <c r="T80" i="9" s="1"/>
  <c r="I27" i="14"/>
  <c r="T18" i="9"/>
  <c r="T17" i="9" s="1"/>
  <c r="U16" i="9"/>
  <c r="Y17" i="9"/>
  <c r="AC17" i="9"/>
  <c r="F71" i="1"/>
  <c r="F13" i="12"/>
  <c r="G72" i="8"/>
  <c r="G71" i="5"/>
  <c r="AS71" i="5" s="1"/>
  <c r="Y82" i="9"/>
  <c r="Z78" i="9" s="1"/>
  <c r="Z12" i="9"/>
  <c r="Z11" i="9" s="1"/>
  <c r="Y7" i="9"/>
  <c r="X9" i="9"/>
  <c r="X8" i="9" s="1"/>
  <c r="V9" i="9"/>
  <c r="V8" i="9" s="1"/>
  <c r="W7" i="9"/>
  <c r="O11" i="13"/>
  <c r="BF11" i="7"/>
  <c r="BB7" i="10"/>
  <c r="K3" i="3" s="1"/>
  <c r="C24" i="3" s="1"/>
  <c r="Y41" i="1"/>
  <c r="BH13" i="7"/>
  <c r="BG14" i="7"/>
  <c r="BF15" i="7"/>
  <c r="AM7" i="10"/>
  <c r="AM61" i="11"/>
  <c r="AG21" i="1"/>
  <c r="X69" i="1"/>
  <c r="BA69" i="1" s="1"/>
  <c r="K67" i="1"/>
  <c r="K17" i="13" s="1"/>
  <c r="AU67" i="7"/>
  <c r="X67" i="1"/>
  <c r="X17" i="13" s="1"/>
  <c r="BA67" i="7"/>
  <c r="AG67" i="1"/>
  <c r="AG17" i="13" s="1"/>
  <c r="AT68" i="7"/>
  <c r="AZ68" i="7"/>
  <c r="AS21" i="7"/>
  <c r="AR21" i="7"/>
  <c r="AX21" i="7"/>
  <c r="AY21" i="7"/>
  <c r="BD21" i="7"/>
  <c r="BD26" i="7" s="1"/>
  <c r="BE21" i="7"/>
  <c r="BE26" i="7" s="1"/>
  <c r="AE26" i="7"/>
  <c r="AV69" i="7"/>
  <c r="BB69" i="7"/>
  <c r="G60" i="8"/>
  <c r="K60" i="8"/>
  <c r="O60" i="8"/>
  <c r="T60" i="8"/>
  <c r="X60" i="8"/>
  <c r="AB60" i="8"/>
  <c r="AG60" i="8"/>
  <c r="AK60" i="8"/>
  <c r="AO60" i="8"/>
  <c r="BE12" i="7"/>
  <c r="BD12" i="7"/>
  <c r="BH12" i="7"/>
  <c r="BG13" i="7"/>
  <c r="BF14" i="7"/>
  <c r="W61" i="11"/>
  <c r="Z61" i="11"/>
  <c r="AP61" i="11"/>
  <c r="AP6" i="10"/>
  <c r="AF61" i="11"/>
  <c r="AF6" i="10"/>
  <c r="AF8" i="10" s="1"/>
  <c r="N60" i="8"/>
  <c r="G7" i="10"/>
  <c r="G8" i="10" s="1"/>
  <c r="G61" i="11"/>
  <c r="I7" i="10"/>
  <c r="I8" i="10" s="1"/>
  <c r="I61" i="11"/>
  <c r="H60" i="8"/>
  <c r="AS68" i="7"/>
  <c r="AR68" i="7"/>
  <c r="AX68" i="7"/>
  <c r="AY68" i="7"/>
  <c r="BE68" i="7"/>
  <c r="BD68" i="7"/>
  <c r="U60" i="8"/>
  <c r="Y60" i="8"/>
  <c r="AC60" i="8"/>
  <c r="AH60" i="8"/>
  <c r="AL60" i="8"/>
  <c r="AP60" i="8"/>
  <c r="BD13" i="7"/>
  <c r="BE13" i="7"/>
  <c r="BA7" i="10"/>
  <c r="J3" i="3" s="1"/>
  <c r="C23" i="3" s="1"/>
  <c r="AJ61" i="11"/>
  <c r="AJ7" i="10"/>
  <c r="F7" i="10"/>
  <c r="F8" i="10" s="1"/>
  <c r="F61" i="11"/>
  <c r="P7" i="10"/>
  <c r="P8" i="10" s="1"/>
  <c r="P61" i="11"/>
  <c r="H63" i="8"/>
  <c r="H72" i="8" s="1"/>
  <c r="G71" i="7"/>
  <c r="N21" i="1"/>
  <c r="AV21" i="1" s="1"/>
  <c r="AA21" i="1"/>
  <c r="BB21" i="1" s="1"/>
  <c r="AS67" i="7"/>
  <c r="AR67" i="7"/>
  <c r="AY67" i="7"/>
  <c r="AX67" i="7"/>
  <c r="BE67" i="7"/>
  <c r="BD67" i="7"/>
  <c r="H69" i="1"/>
  <c r="AT69" i="7"/>
  <c r="R60" i="8"/>
  <c r="V60" i="8"/>
  <c r="Z60" i="8"/>
  <c r="AE60" i="8"/>
  <c r="AI60" i="8"/>
  <c r="AM60" i="8"/>
  <c r="BE14" i="7"/>
  <c r="BD14" i="7"/>
  <c r="BG15" i="7"/>
  <c r="BG11" i="7"/>
  <c r="BF12" i="7"/>
  <c r="AC61" i="11"/>
  <c r="AL61" i="11"/>
  <c r="AL6" i="10"/>
  <c r="AH61" i="11"/>
  <c r="AH6" i="10"/>
  <c r="O7" i="10"/>
  <c r="O8" i="10" s="1"/>
  <c r="O61" i="11"/>
  <c r="J7" i="10"/>
  <c r="J8" i="10" s="1"/>
  <c r="J61" i="11"/>
  <c r="L60" i="8"/>
  <c r="P60" i="8"/>
  <c r="K21" i="1"/>
  <c r="AU21" i="1" s="1"/>
  <c r="X21" i="1"/>
  <c r="BA21" i="1" s="1"/>
  <c r="AF21" i="1"/>
  <c r="H67" i="1"/>
  <c r="N67" i="1"/>
  <c r="N17" i="13" s="1"/>
  <c r="AV67" i="7"/>
  <c r="AA67" i="1"/>
  <c r="BB67" i="7"/>
  <c r="AF67" i="1"/>
  <c r="AF17" i="13" s="1"/>
  <c r="AU68" i="7"/>
  <c r="BA68" i="7"/>
  <c r="AT21" i="7"/>
  <c r="AZ21" i="7"/>
  <c r="AR69" i="7"/>
  <c r="AS69" i="7"/>
  <c r="AY69" i="7"/>
  <c r="AX69" i="7"/>
  <c r="BD69" i="7"/>
  <c r="BE69" i="7"/>
  <c r="S60" i="8"/>
  <c r="W60" i="8"/>
  <c r="AA60" i="8"/>
  <c r="AF60" i="8"/>
  <c r="AJ60" i="8"/>
  <c r="AN60" i="8"/>
  <c r="BE15" i="7"/>
  <c r="BD15" i="7"/>
  <c r="BE11" i="7"/>
  <c r="BD11" i="7"/>
  <c r="BH15" i="7"/>
  <c r="BH11" i="7"/>
  <c r="BG12" i="7"/>
  <c r="BF13" i="7"/>
  <c r="R61" i="11"/>
  <c r="R6" i="10"/>
  <c r="U61" i="11"/>
  <c r="AN6" i="10"/>
  <c r="AB61" i="11"/>
  <c r="AB6" i="10"/>
  <c r="AB8" i="10" s="1"/>
  <c r="AI61" i="11"/>
  <c r="AI7" i="10"/>
  <c r="L7" i="10"/>
  <c r="L8" i="10" s="1"/>
  <c r="L61" i="11"/>
  <c r="M7" i="10"/>
  <c r="M8" i="10" s="1"/>
  <c r="M61" i="11"/>
  <c r="E60" i="8"/>
  <c r="J60" i="8"/>
  <c r="H71" i="5"/>
  <c r="W34" i="1"/>
  <c r="AV36" i="1"/>
  <c r="BB36" i="1"/>
  <c r="AV37" i="1"/>
  <c r="BB37" i="1"/>
  <c r="BH37" i="1"/>
  <c r="AV38" i="1"/>
  <c r="BB38" i="1"/>
  <c r="BH38" i="1"/>
  <c r="AV39" i="1"/>
  <c r="BB39" i="1"/>
  <c r="BH39" i="1"/>
  <c r="AV46" i="1"/>
  <c r="BB46" i="1"/>
  <c r="BH46" i="1"/>
  <c r="AV47" i="1"/>
  <c r="BB47" i="1"/>
  <c r="BH47" i="1"/>
  <c r="AV49" i="1"/>
  <c r="BB49" i="1"/>
  <c r="BH49" i="1"/>
  <c r="AV50" i="1"/>
  <c r="BB50" i="1"/>
  <c r="BH50" i="1"/>
  <c r="AV52" i="1"/>
  <c r="BB52" i="1"/>
  <c r="BH52" i="1"/>
  <c r="AV56" i="1"/>
  <c r="AV57" i="1"/>
  <c r="BB57" i="1"/>
  <c r="BH57" i="1"/>
  <c r="AV58" i="1"/>
  <c r="BB58" i="1"/>
  <c r="BH58" i="1"/>
  <c r="AV59" i="1"/>
  <c r="BB59" i="1"/>
  <c r="BH59" i="1"/>
  <c r="AV60" i="1"/>
  <c r="BB60" i="1"/>
  <c r="BH60" i="1"/>
  <c r="AV61" i="1"/>
  <c r="BB61" i="1"/>
  <c r="BH61" i="1"/>
  <c r="AV62" i="1"/>
  <c r="BB62" i="1"/>
  <c r="BH62" i="1"/>
  <c r="AV63" i="1"/>
  <c r="BB63" i="1"/>
  <c r="BH63" i="1"/>
  <c r="BF67" i="1"/>
  <c r="AT68" i="1"/>
  <c r="AZ68" i="1"/>
  <c r="BF68" i="1"/>
  <c r="AV69" i="1"/>
  <c r="BB69" i="1"/>
  <c r="BH69" i="1"/>
  <c r="AZ31" i="1"/>
  <c r="AZ32" i="1"/>
  <c r="BF5" i="1"/>
  <c r="BF7" i="1"/>
  <c r="BF21" i="1"/>
  <c r="BF22" i="1"/>
  <c r="BF23" i="1"/>
  <c r="AG91" i="5"/>
  <c r="AG6" i="5" s="1"/>
  <c r="AT22" i="1"/>
  <c r="AT23" i="1"/>
  <c r="AT28" i="1"/>
  <c r="AT29" i="1"/>
  <c r="AT32" i="1"/>
  <c r="AZ22" i="1"/>
  <c r="AZ29" i="1"/>
  <c r="BF6" i="5"/>
  <c r="BF9" i="5" s="1"/>
  <c r="AE91" i="5"/>
  <c r="AE6" i="5" s="1"/>
  <c r="BA20" i="1"/>
  <c r="BA22" i="1"/>
  <c r="BA23" i="1"/>
  <c r="BA29" i="1"/>
  <c r="BA30" i="1"/>
  <c r="BA31" i="1"/>
  <c r="BA32" i="1"/>
  <c r="BG5" i="1"/>
  <c r="BG7" i="1"/>
  <c r="BG21" i="1"/>
  <c r="BG22" i="1"/>
  <c r="BG23" i="1"/>
  <c r="BG29" i="1"/>
  <c r="BG30" i="1"/>
  <c r="BG31" i="1"/>
  <c r="BG32" i="1"/>
  <c r="AT5" i="1"/>
  <c r="AT7" i="1"/>
  <c r="AT20" i="1"/>
  <c r="AT30" i="1"/>
  <c r="AT31" i="1"/>
  <c r="AZ5" i="1"/>
  <c r="AZ7" i="1"/>
  <c r="AZ20" i="1"/>
  <c r="AZ21" i="1"/>
  <c r="AZ23" i="1"/>
  <c r="AZ30" i="1"/>
  <c r="BH29" i="1"/>
  <c r="BH30" i="1"/>
  <c r="BH31" i="1"/>
  <c r="BH70" i="1"/>
  <c r="AT21" i="1"/>
  <c r="AT48" i="5"/>
  <c r="H48" i="1"/>
  <c r="AT48" i="1" s="1"/>
  <c r="AZ48" i="5"/>
  <c r="U48" i="1"/>
  <c r="AZ48" i="1" s="1"/>
  <c r="BF48" i="5"/>
  <c r="AH48" i="1"/>
  <c r="BF48" i="1" s="1"/>
  <c r="AU48" i="5"/>
  <c r="K48" i="1"/>
  <c r="AU48" i="1" s="1"/>
  <c r="BA48" i="5"/>
  <c r="X48" i="1"/>
  <c r="BA48" i="1" s="1"/>
  <c r="BG48" i="5"/>
  <c r="AK48" i="1"/>
  <c r="BG48" i="1" s="1"/>
  <c r="BB48" i="5"/>
  <c r="AA48" i="1"/>
  <c r="BB48" i="1" s="1"/>
  <c r="BH48" i="5"/>
  <c r="AN48" i="1"/>
  <c r="BH48" i="1" s="1"/>
  <c r="AR48" i="5"/>
  <c r="AS48" i="5"/>
  <c r="E48" i="1"/>
  <c r="AY48" i="5"/>
  <c r="AX48" i="5"/>
  <c r="R48" i="1"/>
  <c r="AY48" i="1" s="1"/>
  <c r="BD48" i="5"/>
  <c r="BE48" i="5"/>
  <c r="AE48" i="1"/>
  <c r="BE48" i="1" s="1"/>
  <c r="AH26" i="5"/>
  <c r="BF24" i="5"/>
  <c r="BF26" i="5" s="1"/>
  <c r="AN26" i="5"/>
  <c r="BH24" i="5"/>
  <c r="BH26" i="5" s="1"/>
  <c r="AA34" i="1"/>
  <c r="BB28" i="1"/>
  <c r="BH20" i="1"/>
  <c r="AE34" i="1"/>
  <c r="BD28" i="1"/>
  <c r="BE28" i="1"/>
  <c r="BE29" i="1"/>
  <c r="BD29" i="1"/>
  <c r="BD30" i="1"/>
  <c r="BE30" i="1"/>
  <c r="BD31" i="1"/>
  <c r="BE31" i="1"/>
  <c r="BD32" i="1"/>
  <c r="BE32" i="1"/>
  <c r="AH41" i="1"/>
  <c r="BF36" i="1"/>
  <c r="BG6" i="5"/>
  <c r="BG9" i="5" s="1"/>
  <c r="AU23" i="1"/>
  <c r="AU28" i="1"/>
  <c r="AU29" i="1"/>
  <c r="AU31" i="1"/>
  <c r="AU32" i="1"/>
  <c r="BH6" i="5"/>
  <c r="BH9" i="5" s="1"/>
  <c r="AV5" i="1"/>
  <c r="AV7" i="1"/>
  <c r="AV20" i="1"/>
  <c r="AV22" i="1"/>
  <c r="AV23" i="1"/>
  <c r="AV28" i="1"/>
  <c r="AV29" i="1"/>
  <c r="AV30" i="1"/>
  <c r="AV31" i="1"/>
  <c r="AV32" i="1"/>
  <c r="BB5" i="1"/>
  <c r="BB7" i="1"/>
  <c r="BB20" i="1"/>
  <c r="BB22" i="1"/>
  <c r="BB23" i="1"/>
  <c r="BB29" i="1"/>
  <c r="BB30" i="1"/>
  <c r="BB31" i="1"/>
  <c r="BB32" i="1"/>
  <c r="BH5" i="1"/>
  <c r="BH7" i="1"/>
  <c r="BH21" i="1"/>
  <c r="BH22" i="1"/>
  <c r="BH23" i="1"/>
  <c r="AI24" i="1"/>
  <c r="AI26" i="1" s="1"/>
  <c r="AM24" i="1"/>
  <c r="AM26" i="1" s="1"/>
  <c r="AT36" i="1"/>
  <c r="AZ36" i="1"/>
  <c r="AT37" i="1"/>
  <c r="AZ37" i="1"/>
  <c r="BF37" i="1"/>
  <c r="AT38" i="1"/>
  <c r="AZ38" i="1"/>
  <c r="BF38" i="1"/>
  <c r="AT39" i="1"/>
  <c r="AZ39" i="1"/>
  <c r="BF39" i="1"/>
  <c r="AT46" i="1"/>
  <c r="AZ46" i="1"/>
  <c r="BF46" i="1"/>
  <c r="AT47" i="1"/>
  <c r="AZ47" i="1"/>
  <c r="BF47" i="1"/>
  <c r="AT49" i="1"/>
  <c r="AZ49" i="1"/>
  <c r="BF49" i="1"/>
  <c r="AT50" i="1"/>
  <c r="AZ50" i="1"/>
  <c r="BF50" i="1"/>
  <c r="AT52" i="1"/>
  <c r="AZ52" i="1"/>
  <c r="BF52" i="1"/>
  <c r="AT56" i="1"/>
  <c r="AZ56" i="1"/>
  <c r="BF56" i="1"/>
  <c r="AT57" i="1"/>
  <c r="AZ57" i="1"/>
  <c r="BF57" i="1"/>
  <c r="AT58" i="1"/>
  <c r="AZ58" i="1"/>
  <c r="BF58" i="1"/>
  <c r="AT59" i="1"/>
  <c r="AZ59" i="1"/>
  <c r="BF59" i="1"/>
  <c r="AT60" i="1"/>
  <c r="AZ60" i="1"/>
  <c r="BF60" i="1"/>
  <c r="AT61" i="1"/>
  <c r="AZ61" i="1"/>
  <c r="BF61" i="1"/>
  <c r="AT62" i="1"/>
  <c r="AZ62" i="1"/>
  <c r="BF62" i="1"/>
  <c r="AT63" i="1"/>
  <c r="AZ63" i="1"/>
  <c r="BF63" i="1"/>
  <c r="BH67" i="1"/>
  <c r="AV68" i="1"/>
  <c r="BB68" i="1"/>
  <c r="BH68" i="1"/>
  <c r="AZ69" i="1"/>
  <c r="BF69" i="1"/>
  <c r="BF70" i="1"/>
  <c r="AJ9" i="5"/>
  <c r="AL9" i="5"/>
  <c r="AK26" i="5"/>
  <c r="BG24" i="5"/>
  <c r="BG26" i="5" s="1"/>
  <c r="AR5" i="1"/>
  <c r="AS5" i="1"/>
  <c r="AR7" i="1"/>
  <c r="AS7" i="1"/>
  <c r="AS20" i="1"/>
  <c r="AR20" i="1"/>
  <c r="AS21" i="1"/>
  <c r="AR22" i="1"/>
  <c r="AS22" i="1"/>
  <c r="AR23" i="1"/>
  <c r="AS23" i="1"/>
  <c r="AR28" i="1"/>
  <c r="AS28" i="1"/>
  <c r="AR29" i="1"/>
  <c r="AS29" i="1"/>
  <c r="AR30" i="1"/>
  <c r="AS30" i="1"/>
  <c r="AS31" i="1"/>
  <c r="AR31" i="1"/>
  <c r="AR32" i="1"/>
  <c r="AS32" i="1"/>
  <c r="AX5" i="1"/>
  <c r="AY5" i="1"/>
  <c r="AY7" i="1"/>
  <c r="AX7" i="1"/>
  <c r="AX20" i="1"/>
  <c r="AY20" i="1"/>
  <c r="AY21" i="1"/>
  <c r="AX22" i="1"/>
  <c r="AY22" i="1"/>
  <c r="AX23" i="1"/>
  <c r="AY23" i="1"/>
  <c r="R34" i="1"/>
  <c r="AY28" i="1"/>
  <c r="AX28" i="1"/>
  <c r="AX29" i="1"/>
  <c r="AY29" i="1"/>
  <c r="AX30" i="1"/>
  <c r="AY30" i="1"/>
  <c r="AY31" i="1"/>
  <c r="AX31" i="1"/>
  <c r="AY32" i="1"/>
  <c r="AX32" i="1"/>
  <c r="BE5" i="1"/>
  <c r="BD5" i="1"/>
  <c r="BD7" i="1"/>
  <c r="BE7" i="1"/>
  <c r="BD20" i="1"/>
  <c r="BE20" i="1"/>
  <c r="BE22" i="1"/>
  <c r="BD22" i="1"/>
  <c r="BD23" i="1"/>
  <c r="BE23" i="1"/>
  <c r="AH34" i="1"/>
  <c r="BF28" i="1"/>
  <c r="AK41" i="1"/>
  <c r="BG36" i="1"/>
  <c r="AY67" i="1"/>
  <c r="AR68" i="1"/>
  <c r="AS68" i="1"/>
  <c r="AX68" i="1"/>
  <c r="AY68" i="1"/>
  <c r="BD68" i="1"/>
  <c r="BE68" i="1"/>
  <c r="AS69" i="1"/>
  <c r="AU5" i="1"/>
  <c r="AU7" i="1"/>
  <c r="AU20" i="1"/>
  <c r="AU22" i="1"/>
  <c r="BA5" i="1"/>
  <c r="AH24" i="1"/>
  <c r="AH26" i="1" s="1"/>
  <c r="AL24" i="1"/>
  <c r="AL26" i="1" s="1"/>
  <c r="AP24" i="1"/>
  <c r="AP26" i="1" s="1"/>
  <c r="BF29" i="1"/>
  <c r="BF30" i="1"/>
  <c r="BF31" i="1"/>
  <c r="BF32" i="1"/>
  <c r="AU36" i="1"/>
  <c r="BA36" i="1"/>
  <c r="AU37" i="1"/>
  <c r="BA37" i="1"/>
  <c r="BG37" i="1"/>
  <c r="AU38" i="1"/>
  <c r="BA38" i="1"/>
  <c r="BG38" i="1"/>
  <c r="AU39" i="1"/>
  <c r="BA39" i="1"/>
  <c r="BG39" i="1"/>
  <c r="AU46" i="1"/>
  <c r="BA46" i="1"/>
  <c r="BG46" i="1"/>
  <c r="AU47" i="1"/>
  <c r="BA47" i="1"/>
  <c r="BG47" i="1"/>
  <c r="AU49" i="1"/>
  <c r="BA49" i="1"/>
  <c r="BG49" i="1"/>
  <c r="AU50" i="1"/>
  <c r="BA50" i="1"/>
  <c r="BG50" i="1"/>
  <c r="AU52" i="1"/>
  <c r="BA52" i="1"/>
  <c r="BG52" i="1"/>
  <c r="AU56" i="1"/>
  <c r="AU57" i="1"/>
  <c r="BA57" i="1"/>
  <c r="BG57" i="1"/>
  <c r="AU58" i="1"/>
  <c r="BA58" i="1"/>
  <c r="BG58" i="1"/>
  <c r="AU59" i="1"/>
  <c r="BA59" i="1"/>
  <c r="BG59" i="1"/>
  <c r="AU60" i="1"/>
  <c r="BA60" i="1"/>
  <c r="BG60" i="1"/>
  <c r="AU61" i="1"/>
  <c r="BA61" i="1"/>
  <c r="BG61" i="1"/>
  <c r="AU62" i="1"/>
  <c r="BA62" i="1"/>
  <c r="BG62" i="1"/>
  <c r="AU63" i="1"/>
  <c r="BA63" i="1"/>
  <c r="BG63" i="1"/>
  <c r="BG69" i="1"/>
  <c r="BG70" i="1"/>
  <c r="N41" i="1"/>
  <c r="AA41" i="1"/>
  <c r="AN9" i="5"/>
  <c r="AP9" i="5"/>
  <c r="U34" i="1"/>
  <c r="AZ28" i="1"/>
  <c r="BF20" i="1"/>
  <c r="AK34" i="1"/>
  <c r="BG28" i="1"/>
  <c r="AN41" i="1"/>
  <c r="BH36" i="1"/>
  <c r="AK24" i="1"/>
  <c r="AO24" i="1"/>
  <c r="AO26" i="1" s="1"/>
  <c r="AI9" i="5"/>
  <c r="AK9" i="5"/>
  <c r="X34" i="1"/>
  <c r="BA28" i="1"/>
  <c r="AN34" i="1"/>
  <c r="BH28" i="1"/>
  <c r="AR36" i="1"/>
  <c r="AS36" i="1"/>
  <c r="AX36" i="1"/>
  <c r="AY36" i="1"/>
  <c r="AE41" i="1"/>
  <c r="BE36" i="1"/>
  <c r="BD36" i="1"/>
  <c r="AR37" i="1"/>
  <c r="AS37" i="1"/>
  <c r="AX37" i="1"/>
  <c r="AY37" i="1"/>
  <c r="BD37" i="1"/>
  <c r="BE37" i="1"/>
  <c r="AS38" i="1"/>
  <c r="AR38" i="1"/>
  <c r="AX38" i="1"/>
  <c r="AY38" i="1"/>
  <c r="BD38" i="1"/>
  <c r="BE38" i="1"/>
  <c r="AR39" i="1"/>
  <c r="AS39" i="1"/>
  <c r="AY39" i="1"/>
  <c r="AX39" i="1"/>
  <c r="BD39" i="1"/>
  <c r="BE39" i="1"/>
  <c r="AR46" i="1"/>
  <c r="AS46" i="1"/>
  <c r="AY46" i="1"/>
  <c r="AX46" i="1"/>
  <c r="BD46" i="1"/>
  <c r="BE46" i="1"/>
  <c r="AR47" i="1"/>
  <c r="AS47" i="1"/>
  <c r="AX47" i="1"/>
  <c r="AY47" i="1"/>
  <c r="BE47" i="1"/>
  <c r="BD47" i="1"/>
  <c r="AR49" i="1"/>
  <c r="AS49" i="1"/>
  <c r="AX49" i="1"/>
  <c r="AY49" i="1"/>
  <c r="BD49" i="1"/>
  <c r="BE49" i="1"/>
  <c r="AS50" i="1"/>
  <c r="AR50" i="1"/>
  <c r="AX50" i="1"/>
  <c r="AY50" i="1"/>
  <c r="BD50" i="1"/>
  <c r="BE50" i="1"/>
  <c r="AR52" i="1"/>
  <c r="AS52" i="1"/>
  <c r="AX52" i="1"/>
  <c r="AY52" i="1"/>
  <c r="BE52" i="1"/>
  <c r="BD52" i="1"/>
  <c r="AR56" i="1"/>
  <c r="AS56" i="1"/>
  <c r="AY56" i="1"/>
  <c r="BE56" i="1"/>
  <c r="AR57" i="1"/>
  <c r="AS57" i="1"/>
  <c r="AX57" i="1"/>
  <c r="AY57" i="1"/>
  <c r="BD57" i="1"/>
  <c r="BE57" i="1"/>
  <c r="AS58" i="1"/>
  <c r="AR58" i="1"/>
  <c r="AX58" i="1"/>
  <c r="AY58" i="1"/>
  <c r="BD58" i="1"/>
  <c r="BE58" i="1"/>
  <c r="AR59" i="1"/>
  <c r="AS59" i="1"/>
  <c r="AY59" i="1"/>
  <c r="AX59" i="1"/>
  <c r="BD59" i="1"/>
  <c r="BE59" i="1"/>
  <c r="AR60" i="1"/>
  <c r="AS60" i="1"/>
  <c r="AX60" i="1"/>
  <c r="AY60" i="1"/>
  <c r="BE60" i="1"/>
  <c r="BD60" i="1"/>
  <c r="AR61" i="1"/>
  <c r="AS61" i="1"/>
  <c r="AX61" i="1"/>
  <c r="AY61" i="1"/>
  <c r="BD61" i="1"/>
  <c r="BE61" i="1"/>
  <c r="AS62" i="1"/>
  <c r="AR62" i="1"/>
  <c r="AX62" i="1"/>
  <c r="AY62" i="1"/>
  <c r="BD62" i="1"/>
  <c r="BE62" i="1"/>
  <c r="AR63" i="1"/>
  <c r="AS63" i="1"/>
  <c r="AY63" i="1"/>
  <c r="AX63" i="1"/>
  <c r="BD63" i="1"/>
  <c r="BE63" i="1"/>
  <c r="AS67" i="1"/>
  <c r="AY69" i="1"/>
  <c r="BD69" i="1"/>
  <c r="BE69" i="1"/>
  <c r="AU30" i="1"/>
  <c r="BA7" i="1"/>
  <c r="BG20" i="1"/>
  <c r="AJ24" i="1"/>
  <c r="AJ26" i="1" s="1"/>
  <c r="AN24" i="1"/>
  <c r="BH32" i="1"/>
  <c r="BG67" i="1"/>
  <c r="AU68" i="1"/>
  <c r="BA68" i="1"/>
  <c r="BG68" i="1"/>
  <c r="AV48" i="5"/>
  <c r="H41" i="1"/>
  <c r="U41" i="1"/>
  <c r="AH9" i="5"/>
  <c r="AV48" i="1"/>
  <c r="AO61" i="11"/>
  <c r="AA61" i="11"/>
  <c r="Y61" i="11"/>
  <c r="X61" i="11"/>
  <c r="AM18" i="7"/>
  <c r="AF18" i="7"/>
  <c r="AO18" i="7"/>
  <c r="AH18" i="7"/>
  <c r="AJ18" i="7"/>
  <c r="AL18" i="7"/>
  <c r="AE18" i="7"/>
  <c r="AN18" i="7"/>
  <c r="AG18" i="7"/>
  <c r="AP18" i="7"/>
  <c r="AI18" i="7"/>
  <c r="AK18" i="7"/>
  <c r="AJ17" i="7"/>
  <c r="AL17" i="7"/>
  <c r="AE17" i="7"/>
  <c r="AN17" i="7"/>
  <c r="AG17" i="7"/>
  <c r="AP17" i="7"/>
  <c r="AI17" i="7"/>
  <c r="AK17" i="7"/>
  <c r="AM17" i="7"/>
  <c r="AF17" i="7"/>
  <c r="AO17" i="7"/>
  <c r="AH17" i="7"/>
  <c r="AF91" i="5"/>
  <c r="AF6" i="5" s="1"/>
  <c r="AI65" i="1"/>
  <c r="BV119" i="6" l="1"/>
  <c r="BV109" i="6"/>
  <c r="BV114" i="6"/>
  <c r="BV117" i="6"/>
  <c r="BV122" i="6"/>
  <c r="AI8" i="10"/>
  <c r="AI32" i="10" s="1"/>
  <c r="BV113" i="6"/>
  <c r="BV125" i="6"/>
  <c r="AY86" i="11"/>
  <c r="BV93" i="6"/>
  <c r="BV123" i="6"/>
  <c r="AY87" i="11"/>
  <c r="BV107" i="6"/>
  <c r="BV115" i="6"/>
  <c r="BV127" i="6"/>
  <c r="BV108" i="6"/>
  <c r="BV126" i="6"/>
  <c r="BV118" i="6"/>
  <c r="BV120" i="6"/>
  <c r="BV89" i="6"/>
  <c r="BV104" i="6"/>
  <c r="BV111" i="6"/>
  <c r="BL18" i="7"/>
  <c r="BV101" i="6"/>
  <c r="BJ28" i="7"/>
  <c r="AY90" i="11"/>
  <c r="BV99" i="6"/>
  <c r="BJ30" i="7"/>
  <c r="BV97" i="6"/>
  <c r="BF61" i="11"/>
  <c r="AY85" i="11"/>
  <c r="AG8" i="13"/>
  <c r="AG10" i="13" s="1"/>
  <c r="AG7" i="12" s="1"/>
  <c r="AG32" i="10"/>
  <c r="AI8" i="13"/>
  <c r="AI10" i="13" s="1"/>
  <c r="AI7" i="12" s="1"/>
  <c r="AY91" i="11"/>
  <c r="Y8" i="13"/>
  <c r="Y10" i="13" s="1"/>
  <c r="Y7" i="12" s="1"/>
  <c r="Y32" i="10"/>
  <c r="X8" i="13"/>
  <c r="X10" i="13" s="1"/>
  <c r="Y7" i="13" s="1"/>
  <c r="AC8" i="13"/>
  <c r="AC10" i="13" s="1"/>
  <c r="AC7" i="12" s="1"/>
  <c r="AC32" i="10"/>
  <c r="AB8" i="13"/>
  <c r="AB10" i="13" s="1"/>
  <c r="AB7" i="12" s="1"/>
  <c r="AB32" i="10"/>
  <c r="AF8" i="13"/>
  <c r="AF10" i="13" s="1"/>
  <c r="AG7" i="13" s="1"/>
  <c r="AF32" i="10"/>
  <c r="Z8" i="13"/>
  <c r="Z10" i="13" s="1"/>
  <c r="AA7" i="13" s="1"/>
  <c r="Z32" i="10"/>
  <c r="AA8" i="13"/>
  <c r="AA10" i="13" s="1"/>
  <c r="AB7" i="13" s="1"/>
  <c r="AA32" i="10"/>
  <c r="H61" i="11"/>
  <c r="BB61" i="11"/>
  <c r="BE61" i="11"/>
  <c r="BD61" i="11"/>
  <c r="X17" i="9"/>
  <c r="X30" i="9" s="1"/>
  <c r="K7" i="10"/>
  <c r="AU7" i="10" s="1"/>
  <c r="H7" i="10"/>
  <c r="H8" i="10" s="1"/>
  <c r="T95" i="11"/>
  <c r="T7" i="10"/>
  <c r="T8" i="10" s="1"/>
  <c r="N7" i="10"/>
  <c r="AV7" i="10" s="1"/>
  <c r="E7" i="10"/>
  <c r="E8" i="10" s="1"/>
  <c r="E61" i="11"/>
  <c r="K61" i="11"/>
  <c r="N61" i="11"/>
  <c r="BA61" i="11"/>
  <c r="BV105" i="6"/>
  <c r="BP23" i="7"/>
  <c r="BL17" i="7"/>
  <c r="BP29" i="7"/>
  <c r="BP31" i="7"/>
  <c r="BP38" i="7"/>
  <c r="BX23" i="7"/>
  <c r="BY23" i="7" s="1"/>
  <c r="BZ23" i="7" s="1"/>
  <c r="BP7" i="7"/>
  <c r="BP22" i="7"/>
  <c r="BP24" i="7"/>
  <c r="BP45" i="7"/>
  <c r="BP48" i="7"/>
  <c r="BP50" i="7"/>
  <c r="BP52" i="7"/>
  <c r="BP58" i="7"/>
  <c r="BP60" i="7"/>
  <c r="BP62" i="7"/>
  <c r="BP67" i="7"/>
  <c r="BP69" i="7"/>
  <c r="BP20" i="7"/>
  <c r="BN5" i="7"/>
  <c r="BM15" i="7"/>
  <c r="BM13" i="7"/>
  <c r="BM11" i="7"/>
  <c r="BM12" i="7"/>
  <c r="BM14" i="7"/>
  <c r="BM9" i="7"/>
  <c r="BR30" i="7"/>
  <c r="BS30" i="7" s="1"/>
  <c r="BT30" i="7" s="1"/>
  <c r="BW30" i="7" s="1"/>
  <c r="BP32" i="7"/>
  <c r="BP37" i="7"/>
  <c r="BP39" i="7"/>
  <c r="BP44" i="7"/>
  <c r="BP46" i="7"/>
  <c r="BP49" i="7"/>
  <c r="BP51" i="7"/>
  <c r="BP57" i="7"/>
  <c r="BP59" i="7"/>
  <c r="BP61" i="7"/>
  <c r="BP63" i="7"/>
  <c r="BP68" i="7"/>
  <c r="BP70" i="7"/>
  <c r="BX29" i="7"/>
  <c r="BY29" i="7" s="1"/>
  <c r="BZ29" i="7" s="1"/>
  <c r="BX31" i="7"/>
  <c r="BY31" i="7" s="1"/>
  <c r="BZ31" i="7" s="1"/>
  <c r="BM41" i="7"/>
  <c r="BN36" i="7"/>
  <c r="BJ36" i="7" s="1"/>
  <c r="BJ41" i="7" s="1"/>
  <c r="BX38" i="7"/>
  <c r="BY38" i="7" s="1"/>
  <c r="BZ38" i="7" s="1"/>
  <c r="BN43" i="7"/>
  <c r="BJ43" i="7" s="1"/>
  <c r="BJ54" i="7" s="1"/>
  <c r="BM54" i="7"/>
  <c r="BW7" i="7"/>
  <c r="BX22" i="7"/>
  <c r="BY22" i="7" s="1"/>
  <c r="BZ22" i="7" s="1"/>
  <c r="BX24" i="7"/>
  <c r="BY24" i="7" s="1"/>
  <c r="BZ24" i="7" s="1"/>
  <c r="BX45" i="7"/>
  <c r="BY45" i="7" s="1"/>
  <c r="BZ45" i="7" s="1"/>
  <c r="BX48" i="7"/>
  <c r="BY48" i="7" s="1"/>
  <c r="BZ48" i="7" s="1"/>
  <c r="BX50" i="7"/>
  <c r="BY50" i="7" s="1"/>
  <c r="BZ50" i="7" s="1"/>
  <c r="BX58" i="7"/>
  <c r="BY58" i="7" s="1"/>
  <c r="BZ58" i="7" s="1"/>
  <c r="BX60" i="7"/>
  <c r="BY60" i="7" s="1"/>
  <c r="BZ60" i="7" s="1"/>
  <c r="BX62" i="7"/>
  <c r="BY62" i="7" s="1"/>
  <c r="BZ62" i="7" s="1"/>
  <c r="BX67" i="7"/>
  <c r="BY67" i="7" s="1"/>
  <c r="BZ67" i="7" s="1"/>
  <c r="BX69" i="7"/>
  <c r="BY69" i="7" s="1"/>
  <c r="BZ69" i="7" s="1"/>
  <c r="BQ28" i="7"/>
  <c r="BN34" i="7"/>
  <c r="BM34" i="7"/>
  <c r="BX32" i="7"/>
  <c r="BY32" i="7" s="1"/>
  <c r="BZ32" i="7" s="1"/>
  <c r="BX37" i="7"/>
  <c r="BY37" i="7" s="1"/>
  <c r="BZ37" i="7" s="1"/>
  <c r="BX39" i="7"/>
  <c r="BY39" i="7" s="1"/>
  <c r="BZ39" i="7" s="1"/>
  <c r="BX44" i="7"/>
  <c r="BY44" i="7" s="1"/>
  <c r="BZ44" i="7" s="1"/>
  <c r="BX46" i="7"/>
  <c r="BY46" i="7" s="1"/>
  <c r="BZ46" i="7" s="1"/>
  <c r="BX49" i="7"/>
  <c r="BY49" i="7" s="1"/>
  <c r="BZ49" i="7" s="1"/>
  <c r="BX51" i="7"/>
  <c r="BY51" i="7" s="1"/>
  <c r="BZ51" i="7" s="1"/>
  <c r="BX57" i="7"/>
  <c r="BY57" i="7" s="1"/>
  <c r="BZ57" i="7" s="1"/>
  <c r="BX59" i="7"/>
  <c r="BY59" i="7" s="1"/>
  <c r="BZ59" i="7" s="1"/>
  <c r="BX61" i="7"/>
  <c r="BY61" i="7" s="1"/>
  <c r="BZ61" i="7" s="1"/>
  <c r="BX63" i="7"/>
  <c r="BY63" i="7" s="1"/>
  <c r="BZ63" i="7" s="1"/>
  <c r="BX68" i="7"/>
  <c r="BY68" i="7" s="1"/>
  <c r="BZ68" i="7" s="1"/>
  <c r="BX70" i="7"/>
  <c r="BY70" i="7" s="1"/>
  <c r="BZ70" i="7" s="1"/>
  <c r="BN21" i="7"/>
  <c r="BM26" i="7"/>
  <c r="Z56" i="7"/>
  <c r="Y65" i="7"/>
  <c r="Y56" i="1"/>
  <c r="AM56" i="7"/>
  <c r="AL65" i="7"/>
  <c r="AL56" i="1"/>
  <c r="BJ21" i="7"/>
  <c r="BJ26" i="7" s="1"/>
  <c r="AC133" i="6"/>
  <c r="Y133" i="6"/>
  <c r="W30" i="9"/>
  <c r="V102" i="9"/>
  <c r="V30" i="9"/>
  <c r="AA80" i="6"/>
  <c r="AA81" i="6"/>
  <c r="AA82" i="6"/>
  <c r="AA83" i="6"/>
  <c r="AA84" i="6"/>
  <c r="AA85" i="6"/>
  <c r="AA86" i="6"/>
  <c r="AA87" i="6"/>
  <c r="AA88" i="6"/>
  <c r="AA89" i="6"/>
  <c r="AA90" i="6"/>
  <c r="AA91" i="6"/>
  <c r="AA92" i="6"/>
  <c r="AA93" i="6"/>
  <c r="AA94" i="6"/>
  <c r="AA95" i="6"/>
  <c r="AA96" i="6"/>
  <c r="AA97" i="6"/>
  <c r="AA98" i="6"/>
  <c r="AA99" i="6"/>
  <c r="AA100" i="6"/>
  <c r="AA101" i="6"/>
  <c r="AA102" i="6"/>
  <c r="AA103" i="6"/>
  <c r="AA104" i="6"/>
  <c r="AA105" i="6"/>
  <c r="BX103" i="9"/>
  <c r="BX104" i="9"/>
  <c r="BP103" i="9"/>
  <c r="BP104" i="9"/>
  <c r="BV85" i="6"/>
  <c r="BV92" i="6"/>
  <c r="BL74" i="9"/>
  <c r="BM73" i="9"/>
  <c r="R94" i="11"/>
  <c r="R12" i="10" s="1"/>
  <c r="AZ61" i="11"/>
  <c r="BK61" i="11"/>
  <c r="BL7" i="10"/>
  <c r="W8" i="9"/>
  <c r="W79" i="9" s="1"/>
  <c r="W80" i="9" s="1"/>
  <c r="BQ61" i="11"/>
  <c r="BT7" i="10"/>
  <c r="BW61" i="11"/>
  <c r="CB7" i="10"/>
  <c r="AX69" i="1"/>
  <c r="BV86" i="6"/>
  <c r="BV94" i="6"/>
  <c r="BV87" i="6"/>
  <c r="BW103" i="9"/>
  <c r="BV98" i="6"/>
  <c r="BV90" i="6"/>
  <c r="BV96" i="6"/>
  <c r="BR64" i="9"/>
  <c r="BR96" i="9"/>
  <c r="BV88" i="6"/>
  <c r="BY132" i="6"/>
  <c r="BY31" i="9" s="1"/>
  <c r="BY101" i="9" s="1"/>
  <c r="BY131" i="6"/>
  <c r="BY6" i="6" s="1"/>
  <c r="BV84" i="6"/>
  <c r="BV91" i="6"/>
  <c r="BT50" i="9"/>
  <c r="BT58" i="9" s="1"/>
  <c r="BS58" i="9"/>
  <c r="BZ132" i="6"/>
  <c r="BZ31" i="9" s="1"/>
  <c r="BZ101" i="9" s="1"/>
  <c r="BZ103" i="9" s="1"/>
  <c r="BZ131" i="6"/>
  <c r="BZ6" i="6" s="1"/>
  <c r="BZ9" i="6" s="1"/>
  <c r="BV95" i="6"/>
  <c r="BV102" i="6"/>
  <c r="U17" i="9"/>
  <c r="AY84" i="11"/>
  <c r="AR69" i="1"/>
  <c r="H22" i="13"/>
  <c r="AN7" i="10"/>
  <c r="BH7" i="10" s="1"/>
  <c r="AY83" i="11"/>
  <c r="AZ95" i="11"/>
  <c r="BH61" i="11"/>
  <c r="AY89" i="11"/>
  <c r="AT17" i="9"/>
  <c r="AR17" i="9"/>
  <c r="AR18" i="9" s="1"/>
  <c r="AR20" i="9" s="1"/>
  <c r="BN57" i="9"/>
  <c r="BN73" i="9" s="1"/>
  <c r="BV102" i="9"/>
  <c r="AU88" i="9"/>
  <c r="AE7" i="10"/>
  <c r="BE7" i="10" s="1"/>
  <c r="AS61" i="11"/>
  <c r="AS95" i="11"/>
  <c r="AU61" i="11"/>
  <c r="AU95" i="11"/>
  <c r="AV61" i="11"/>
  <c r="AV95" i="11"/>
  <c r="AX61" i="11"/>
  <c r="AR61" i="11"/>
  <c r="AR95" i="11"/>
  <c r="BS53" i="9"/>
  <c r="BR54" i="9"/>
  <c r="AG9" i="5"/>
  <c r="BM63" i="9"/>
  <c r="AT61" i="11"/>
  <c r="AT95" i="11"/>
  <c r="AE9" i="5"/>
  <c r="BF17" i="7"/>
  <c r="BF18" i="7" s="1"/>
  <c r="Z17" i="9"/>
  <c r="AY61" i="11"/>
  <c r="AY95" i="11"/>
  <c r="BG61" i="11"/>
  <c r="S94" i="11"/>
  <c r="S88" i="9" s="1"/>
  <c r="V79" i="9"/>
  <c r="V80" i="9" s="1"/>
  <c r="K80" i="9"/>
  <c r="AV70" i="11"/>
  <c r="R64" i="9"/>
  <c r="X79" i="9"/>
  <c r="U79" i="9"/>
  <c r="U80" i="9" s="1"/>
  <c r="AA34" i="9"/>
  <c r="H80" i="9"/>
  <c r="AV69" i="11"/>
  <c r="AV88" i="9"/>
  <c r="AT88" i="9"/>
  <c r="AV67" i="11"/>
  <c r="AV71" i="11"/>
  <c r="AV76" i="11"/>
  <c r="AV75" i="11"/>
  <c r="AR78" i="11"/>
  <c r="AR97" i="11" s="1"/>
  <c r="AV66" i="11"/>
  <c r="AV74" i="11"/>
  <c r="AV72" i="11"/>
  <c r="E89" i="9"/>
  <c r="E92" i="9" s="1"/>
  <c r="E8" i="12" s="1"/>
  <c r="E13" i="14" s="1"/>
  <c r="AS88" i="9"/>
  <c r="AR88" i="9"/>
  <c r="R63" i="9"/>
  <c r="AV68" i="11"/>
  <c r="AV73" i="11"/>
  <c r="R88" i="9"/>
  <c r="V8" i="10"/>
  <c r="V8" i="13" s="1"/>
  <c r="AB17" i="9"/>
  <c r="AU12" i="10"/>
  <c r="V54" i="9"/>
  <c r="V46" i="9" s="1"/>
  <c r="AA54" i="9"/>
  <c r="AA44" i="9" s="1"/>
  <c r="AK8" i="10"/>
  <c r="AT12" i="10"/>
  <c r="AX21" i="1"/>
  <c r="T88" i="9"/>
  <c r="W34" i="9"/>
  <c r="AH77" i="9"/>
  <c r="AG65" i="11"/>
  <c r="AF76" i="11"/>
  <c r="AF67" i="11"/>
  <c r="AF71" i="11"/>
  <c r="AF75" i="11"/>
  <c r="AF68" i="11"/>
  <c r="AF72" i="11"/>
  <c r="AF69" i="11"/>
  <c r="AF73" i="11"/>
  <c r="AF66" i="11"/>
  <c r="AF70" i="11"/>
  <c r="AF74" i="11"/>
  <c r="AC34" i="9"/>
  <c r="V34" i="9"/>
  <c r="Y34" i="9"/>
  <c r="AA102" i="9"/>
  <c r="AA133" i="6"/>
  <c r="R65" i="9"/>
  <c r="R61" i="9"/>
  <c r="R54" i="9"/>
  <c r="R46" i="9" s="1"/>
  <c r="AN20" i="9"/>
  <c r="AL8" i="10"/>
  <c r="S8" i="10"/>
  <c r="S17" i="10" s="1"/>
  <c r="AZ7" i="10"/>
  <c r="I3" i="3" s="1"/>
  <c r="C22" i="3" s="1"/>
  <c r="W8" i="10"/>
  <c r="W17" i="10" s="1"/>
  <c r="AO8" i="10"/>
  <c r="T65" i="9"/>
  <c r="T61" i="9"/>
  <c r="T64" i="9"/>
  <c r="T63" i="9"/>
  <c r="T54" i="9"/>
  <c r="S63" i="9"/>
  <c r="S65" i="9"/>
  <c r="S61" i="9"/>
  <c r="S64" i="9"/>
  <c r="S54" i="9"/>
  <c r="AV12" i="10"/>
  <c r="AS12" i="10"/>
  <c r="R7" i="9"/>
  <c r="R8" i="9" s="1"/>
  <c r="P9" i="9"/>
  <c r="O11" i="9" s="1"/>
  <c r="P82" i="9"/>
  <c r="R76" i="11"/>
  <c r="R68" i="11"/>
  <c r="R72" i="11"/>
  <c r="R66" i="11"/>
  <c r="R70" i="11"/>
  <c r="R74" i="11"/>
  <c r="R69" i="11"/>
  <c r="R73" i="11"/>
  <c r="R67" i="11"/>
  <c r="R71" i="11"/>
  <c r="R75" i="11"/>
  <c r="BE6" i="10"/>
  <c r="M2" i="3" s="1"/>
  <c r="B25" i="3" s="1"/>
  <c r="AR12" i="10"/>
  <c r="AM8" i="10"/>
  <c r="AR48" i="1"/>
  <c r="AS48" i="1"/>
  <c r="BH24" i="1"/>
  <c r="BH26" i="1" s="1"/>
  <c r="BA67" i="1"/>
  <c r="BG24" i="1"/>
  <c r="BG26" i="1" s="1"/>
  <c r="AV67" i="1"/>
  <c r="BE21" i="1"/>
  <c r="G71" i="1"/>
  <c r="G18" i="13" s="1"/>
  <c r="BB67" i="1"/>
  <c r="AA17" i="13"/>
  <c r="L27" i="12"/>
  <c r="K25" i="14"/>
  <c r="AK26" i="1"/>
  <c r="AZ67" i="1"/>
  <c r="Y102" i="9"/>
  <c r="Y54" i="9"/>
  <c r="W102" i="9"/>
  <c r="W54" i="9"/>
  <c r="M14" i="12"/>
  <c r="BD67" i="1"/>
  <c r="BA34" i="1"/>
  <c r="AU67" i="1"/>
  <c r="BD21" i="1"/>
  <c r="BG17" i="7"/>
  <c r="BG18" i="7" s="1"/>
  <c r="AZ6" i="10"/>
  <c r="I2" i="3" s="1"/>
  <c r="B22" i="3" s="1"/>
  <c r="BA6" i="10"/>
  <c r="F8" i="14"/>
  <c r="F20" i="14" s="1"/>
  <c r="F22" i="14" s="1"/>
  <c r="F18" i="13"/>
  <c r="E22" i="14"/>
  <c r="U8" i="10"/>
  <c r="N71" i="6"/>
  <c r="BE6" i="5"/>
  <c r="BE9" i="5" s="1"/>
  <c r="BE67" i="1"/>
  <c r="AT67" i="1"/>
  <c r="H17" i="13"/>
  <c r="AJ8" i="10"/>
  <c r="AP8" i="10"/>
  <c r="AP32" i="10" s="1"/>
  <c r="J27" i="14"/>
  <c r="AT25" i="14"/>
  <c r="AT27" i="14" s="1"/>
  <c r="AC54" i="9"/>
  <c r="AC102" i="9"/>
  <c r="F17" i="10"/>
  <c r="F8" i="13"/>
  <c r="F10" i="13" s="1"/>
  <c r="M17" i="10"/>
  <c r="M8" i="13"/>
  <c r="L17" i="10"/>
  <c r="L8" i="13"/>
  <c r="J17" i="10"/>
  <c r="J8" i="13"/>
  <c r="J10" i="13" s="1"/>
  <c r="G17" i="10"/>
  <c r="G8" i="13"/>
  <c r="G10" i="13" s="1"/>
  <c r="P17" i="10"/>
  <c r="P8" i="13"/>
  <c r="AF7" i="12"/>
  <c r="O17" i="10"/>
  <c r="O8" i="13"/>
  <c r="I17" i="10"/>
  <c r="I8" i="13"/>
  <c r="I10" i="13" s="1"/>
  <c r="G13" i="12"/>
  <c r="BD48" i="1"/>
  <c r="BB65" i="1"/>
  <c r="AX67" i="1"/>
  <c r="Z7" i="9"/>
  <c r="Y9" i="9"/>
  <c r="Y8" i="9" s="1"/>
  <c r="Y79" i="9" s="1"/>
  <c r="Y80" i="9" s="1"/>
  <c r="AA12" i="9"/>
  <c r="AA11" i="9" s="1"/>
  <c r="AM18" i="9"/>
  <c r="AN16" i="9"/>
  <c r="P11" i="13"/>
  <c r="BF7" i="10"/>
  <c r="N3" i="3" s="1"/>
  <c r="C26" i="3" s="1"/>
  <c r="BG7" i="10"/>
  <c r="O3" i="3" s="1"/>
  <c r="C27" i="3" s="1"/>
  <c r="BH17" i="7"/>
  <c r="BH18" i="7" s="1"/>
  <c r="AT69" i="1"/>
  <c r="AZ34" i="1"/>
  <c r="AY6" i="10"/>
  <c r="H2" i="3" s="1"/>
  <c r="B21" i="3" s="1"/>
  <c r="AX6" i="10"/>
  <c r="G2" i="3" s="1"/>
  <c r="B11" i="3" s="1"/>
  <c r="R8" i="10"/>
  <c r="AX48" i="1"/>
  <c r="AR67" i="1"/>
  <c r="BH6" i="10"/>
  <c r="P2" i="3" s="1"/>
  <c r="B28" i="3" s="1"/>
  <c r="BF6" i="10"/>
  <c r="AH8" i="10"/>
  <c r="I63" i="8"/>
  <c r="I72" i="8" s="1"/>
  <c r="H71" i="7"/>
  <c r="BE17" i="7"/>
  <c r="BE18" i="7" s="1"/>
  <c r="AS71" i="7"/>
  <c r="AS73" i="7" s="1"/>
  <c r="BG6" i="10"/>
  <c r="BB6" i="10"/>
  <c r="BG34" i="1"/>
  <c r="AR21" i="1"/>
  <c r="BD6" i="10"/>
  <c r="L2" i="3" s="1"/>
  <c r="B12" i="3" s="1"/>
  <c r="BH41" i="1"/>
  <c r="BD17" i="7"/>
  <c r="BD18" i="7" s="1"/>
  <c r="I71" i="5"/>
  <c r="AV41" i="1"/>
  <c r="AV65" i="1"/>
  <c r="BB41" i="1"/>
  <c r="BH65" i="1"/>
  <c r="AR41" i="1"/>
  <c r="AT34" i="1"/>
  <c r="AS65" i="1"/>
  <c r="AY41" i="1"/>
  <c r="BH34" i="1"/>
  <c r="AX34" i="1"/>
  <c r="BB34" i="1"/>
  <c r="BD34" i="1"/>
  <c r="BD6" i="5"/>
  <c r="BD9" i="5" s="1"/>
  <c r="BE65" i="1"/>
  <c r="AY65" i="1"/>
  <c r="AU65" i="1"/>
  <c r="AU41" i="1"/>
  <c r="BF34" i="1"/>
  <c r="BF65" i="1"/>
  <c r="AV34" i="1"/>
  <c r="AN26" i="1"/>
  <c r="AF9" i="5"/>
  <c r="AX65" i="1"/>
  <c r="BD65" i="1"/>
  <c r="AR65" i="1"/>
  <c r="BE41" i="1"/>
  <c r="AS41" i="1"/>
  <c r="BA41" i="1"/>
  <c r="BF24" i="1"/>
  <c r="BF26" i="1" s="1"/>
  <c r="AY34" i="1"/>
  <c r="AS34" i="1"/>
  <c r="AT41" i="1"/>
  <c r="BE34" i="1"/>
  <c r="BD41" i="1"/>
  <c r="AX41" i="1"/>
  <c r="BG65" i="1"/>
  <c r="BA65" i="1"/>
  <c r="BG41" i="1"/>
  <c r="AR34" i="1"/>
  <c r="AZ65" i="1"/>
  <c r="AT65" i="1"/>
  <c r="AZ41" i="1"/>
  <c r="AU34" i="1"/>
  <c r="BF41" i="1"/>
  <c r="V133" i="6" l="1"/>
  <c r="V110" i="6"/>
  <c r="V107" i="6"/>
  <c r="V112" i="6"/>
  <c r="V120" i="6"/>
  <c r="V115" i="6"/>
  <c r="V123" i="6"/>
  <c r="V106" i="6"/>
  <c r="V111" i="6"/>
  <c r="V114" i="6"/>
  <c r="V125" i="6"/>
  <c r="V108" i="6"/>
  <c r="V117" i="6"/>
  <c r="V129" i="6"/>
  <c r="V124" i="6"/>
  <c r="V113" i="6"/>
  <c r="V128" i="6"/>
  <c r="V109" i="6"/>
  <c r="V118" i="6"/>
  <c r="V121" i="6"/>
  <c r="V126" i="6"/>
  <c r="V116" i="6"/>
  <c r="V119" i="6"/>
  <c r="V122" i="6"/>
  <c r="V127" i="6"/>
  <c r="BJ34" i="7"/>
  <c r="W133" i="6"/>
  <c r="W113" i="6"/>
  <c r="W109" i="6"/>
  <c r="W116" i="6"/>
  <c r="W124" i="6"/>
  <c r="W118" i="6"/>
  <c r="W121" i="6"/>
  <c r="W126" i="6"/>
  <c r="W128" i="6"/>
  <c r="W106" i="6"/>
  <c r="W111" i="6"/>
  <c r="W114" i="6"/>
  <c r="W125" i="6"/>
  <c r="W108" i="6"/>
  <c r="W117" i="6"/>
  <c r="W120" i="6"/>
  <c r="W129" i="6"/>
  <c r="W110" i="6"/>
  <c r="W123" i="6"/>
  <c r="W112" i="6"/>
  <c r="W122" i="6"/>
  <c r="W127" i="6"/>
  <c r="W115" i="6"/>
  <c r="W119" i="6"/>
  <c r="W107" i="6"/>
  <c r="X81" i="6"/>
  <c r="X106" i="6"/>
  <c r="X107" i="6"/>
  <c r="X108" i="6"/>
  <c r="X109" i="6"/>
  <c r="X110" i="6"/>
  <c r="X111" i="6"/>
  <c r="X112" i="6"/>
  <c r="X113" i="6"/>
  <c r="X114" i="6"/>
  <c r="X115" i="6"/>
  <c r="X116" i="6"/>
  <c r="X117" i="6"/>
  <c r="X118" i="6"/>
  <c r="X119" i="6"/>
  <c r="X120" i="6"/>
  <c r="X121" i="6"/>
  <c r="X122" i="6"/>
  <c r="X123" i="6"/>
  <c r="X124" i="6"/>
  <c r="X125" i="6"/>
  <c r="X126" i="6"/>
  <c r="X127" i="6"/>
  <c r="X128" i="6"/>
  <c r="X129" i="6"/>
  <c r="X83" i="6"/>
  <c r="AJ7" i="13"/>
  <c r="X54" i="9"/>
  <c r="X46" i="9" s="1"/>
  <c r="X99" i="6"/>
  <c r="Z7" i="12"/>
  <c r="X34" i="9"/>
  <c r="X35" i="9" s="1"/>
  <c r="X36" i="9" s="1"/>
  <c r="X37" i="9" s="1"/>
  <c r="X95" i="6"/>
  <c r="X103" i="6"/>
  <c r="X87" i="6"/>
  <c r="AA132" i="6"/>
  <c r="AA31" i="9" s="1"/>
  <c r="AA101" i="9" s="1"/>
  <c r="AA103" i="9" s="1"/>
  <c r="X91" i="6"/>
  <c r="AX32" i="10"/>
  <c r="BB32" i="10"/>
  <c r="BA32" i="10"/>
  <c r="X104" i="6"/>
  <c r="X100" i="6"/>
  <c r="X96" i="6"/>
  <c r="X92" i="6"/>
  <c r="X88" i="6"/>
  <c r="X84" i="6"/>
  <c r="X7" i="12"/>
  <c r="Y12" i="14" s="1"/>
  <c r="AC7" i="13"/>
  <c r="X133" i="6"/>
  <c r="X105" i="6"/>
  <c r="X101" i="6"/>
  <c r="X97" i="6"/>
  <c r="X93" i="6"/>
  <c r="X89" i="6"/>
  <c r="X85" i="6"/>
  <c r="X80" i="6"/>
  <c r="AB9" i="13"/>
  <c r="X102" i="9"/>
  <c r="X102" i="6"/>
  <c r="X98" i="6"/>
  <c r="X94" i="6"/>
  <c r="X90" i="6"/>
  <c r="X86" i="6"/>
  <c r="X82" i="6"/>
  <c r="AE7" i="13"/>
  <c r="AG9" i="13"/>
  <c r="AA9" i="13"/>
  <c r="AC9" i="13"/>
  <c r="AA7" i="12"/>
  <c r="AB12" i="14" s="1"/>
  <c r="Z7" i="13"/>
  <c r="Z9" i="13" s="1"/>
  <c r="Y9" i="13"/>
  <c r="AO8" i="13"/>
  <c r="AO32" i="10"/>
  <c r="AL8" i="13"/>
  <c r="AL32" i="10"/>
  <c r="AH8" i="13"/>
  <c r="AH10" i="13" s="1"/>
  <c r="AH7" i="12" s="1"/>
  <c r="AH32" i="10"/>
  <c r="AJ8" i="13"/>
  <c r="AJ10" i="13" s="1"/>
  <c r="AJ7" i="12" s="1"/>
  <c r="AJ12" i="14" s="1"/>
  <c r="AJ32" i="10"/>
  <c r="AH7" i="13"/>
  <c r="AK8" i="13"/>
  <c r="AK32" i="10"/>
  <c r="AM8" i="13"/>
  <c r="AM32" i="10"/>
  <c r="AG12" i="14"/>
  <c r="AZ8" i="9"/>
  <c r="AN8" i="10"/>
  <c r="V42" i="9"/>
  <c r="AA35" i="9"/>
  <c r="AA36" i="9" s="1"/>
  <c r="AA37" i="9" s="1"/>
  <c r="BV38" i="7"/>
  <c r="BP30" i="7"/>
  <c r="K8" i="10"/>
  <c r="K8" i="13" s="1"/>
  <c r="K10" i="13" s="1"/>
  <c r="T17" i="10"/>
  <c r="T8" i="13"/>
  <c r="AX7" i="10"/>
  <c r="G3" i="3" s="1"/>
  <c r="C11" i="3" s="1"/>
  <c r="AY7" i="10"/>
  <c r="H3" i="3" s="1"/>
  <c r="C21" i="3" s="1"/>
  <c r="AT7" i="10"/>
  <c r="AT8" i="10" s="1"/>
  <c r="D4" i="3" s="1"/>
  <c r="D18" i="3" s="1"/>
  <c r="AS7" i="10"/>
  <c r="C3" i="3" s="1"/>
  <c r="C17" i="3" s="1"/>
  <c r="N8" i="10"/>
  <c r="N8" i="13" s="1"/>
  <c r="AR7" i="10"/>
  <c r="B3" i="3" s="1"/>
  <c r="C10" i="3" s="1"/>
  <c r="W8" i="13"/>
  <c r="BV23" i="7"/>
  <c r="BV70" i="7"/>
  <c r="BV68" i="7"/>
  <c r="BV63" i="7"/>
  <c r="BV61" i="7"/>
  <c r="BV59" i="7"/>
  <c r="BV57" i="7"/>
  <c r="BV51" i="7"/>
  <c r="BV49" i="7"/>
  <c r="BV46" i="7"/>
  <c r="BV44" i="7"/>
  <c r="BV39" i="7"/>
  <c r="BV37" i="7"/>
  <c r="BV32" i="7"/>
  <c r="BV69" i="7"/>
  <c r="BV67" i="7"/>
  <c r="BV62" i="7"/>
  <c r="BV60" i="7"/>
  <c r="BV58" i="7"/>
  <c r="BV50" i="7"/>
  <c r="BV48" i="7"/>
  <c r="BV45" i="7"/>
  <c r="BV24" i="7"/>
  <c r="BV22" i="7"/>
  <c r="BX7" i="7"/>
  <c r="BY7" i="7" s="1"/>
  <c r="BZ7" i="7" s="1"/>
  <c r="BQ43" i="7"/>
  <c r="BN54" i="7"/>
  <c r="BN41" i="7"/>
  <c r="BQ36" i="7"/>
  <c r="BV31" i="7"/>
  <c r="BV29" i="7"/>
  <c r="BX30" i="7"/>
  <c r="BY30" i="7" s="1"/>
  <c r="BZ30" i="7" s="1"/>
  <c r="BM18" i="7"/>
  <c r="BR28" i="7"/>
  <c r="BQ34" i="7"/>
  <c r="BM17" i="7"/>
  <c r="BQ5" i="7"/>
  <c r="BN13" i="7"/>
  <c r="BN15" i="7"/>
  <c r="BJ15" i="7" s="1"/>
  <c r="BN14" i="7"/>
  <c r="BJ14" i="7" s="1"/>
  <c r="BN12" i="7"/>
  <c r="BJ12" i="7" s="1"/>
  <c r="BN11" i="7"/>
  <c r="BJ11" i="7" s="1"/>
  <c r="BN9" i="7"/>
  <c r="BJ5" i="7"/>
  <c r="BJ9" i="7" s="1"/>
  <c r="AN56" i="7"/>
  <c r="AM65" i="7"/>
  <c r="AM56" i="1"/>
  <c r="BG56" i="1" s="1"/>
  <c r="BG56" i="7"/>
  <c r="BG65" i="7" s="1"/>
  <c r="BQ21" i="7"/>
  <c r="BN26" i="7"/>
  <c r="AA56" i="7"/>
  <c r="Z65" i="7"/>
  <c r="Z56" i="1"/>
  <c r="BA56" i="1" s="1"/>
  <c r="BA56" i="7"/>
  <c r="BA65" i="7" s="1"/>
  <c r="AB102" i="9"/>
  <c r="BB102" i="9" s="1"/>
  <c r="AB133" i="6"/>
  <c r="BA17" i="9"/>
  <c r="U54" i="9"/>
  <c r="U43" i="9" s="1"/>
  <c r="U30" i="9"/>
  <c r="V80" i="6"/>
  <c r="V81" i="6"/>
  <c r="V82" i="6"/>
  <c r="V83" i="6"/>
  <c r="V84" i="6"/>
  <c r="V85" i="6"/>
  <c r="V86" i="6"/>
  <c r="V87" i="6"/>
  <c r="V88" i="6"/>
  <c r="V89" i="6"/>
  <c r="V90" i="6"/>
  <c r="V91" i="6"/>
  <c r="V92" i="6"/>
  <c r="V93" i="6"/>
  <c r="V94" i="6"/>
  <c r="V95" i="6"/>
  <c r="V96" i="6"/>
  <c r="V97" i="6"/>
  <c r="V98" i="6"/>
  <c r="V99" i="6"/>
  <c r="V100" i="6"/>
  <c r="V101" i="6"/>
  <c r="V102" i="6"/>
  <c r="V103" i="6"/>
  <c r="V104" i="6"/>
  <c r="V105" i="6"/>
  <c r="W80" i="6"/>
  <c r="W81" i="6"/>
  <c r="W82" i="6"/>
  <c r="W83" i="6"/>
  <c r="W84" i="6"/>
  <c r="W85" i="6"/>
  <c r="W86" i="6"/>
  <c r="W87" i="6"/>
  <c r="W88" i="6"/>
  <c r="W89" i="6"/>
  <c r="W90" i="6"/>
  <c r="W91" i="6"/>
  <c r="W92" i="6"/>
  <c r="W93" i="6"/>
  <c r="W94" i="6"/>
  <c r="W95" i="6"/>
  <c r="W96" i="6"/>
  <c r="W97" i="6"/>
  <c r="W98" i="6"/>
  <c r="W99" i="6"/>
  <c r="W100" i="6"/>
  <c r="W101" i="6"/>
  <c r="W102" i="6"/>
  <c r="W103" i="6"/>
  <c r="W104" i="6"/>
  <c r="W105" i="6"/>
  <c r="Y80" i="6"/>
  <c r="Y81" i="6"/>
  <c r="Y82" i="6"/>
  <c r="Y83" i="6"/>
  <c r="Y84" i="6"/>
  <c r="Y85" i="6"/>
  <c r="Y86" i="6"/>
  <c r="Y87" i="6"/>
  <c r="Y88" i="6"/>
  <c r="Y89" i="6"/>
  <c r="Y90" i="6"/>
  <c r="Y91" i="6"/>
  <c r="Y92" i="6"/>
  <c r="Y93" i="6"/>
  <c r="Y94" i="6"/>
  <c r="Y95" i="6"/>
  <c r="Y96" i="6"/>
  <c r="Y97" i="6"/>
  <c r="Y98" i="6"/>
  <c r="Y99" i="6"/>
  <c r="Y100" i="6"/>
  <c r="Y101" i="6"/>
  <c r="Y102" i="6"/>
  <c r="Y103" i="6"/>
  <c r="Y104" i="6"/>
  <c r="Y105" i="6"/>
  <c r="AC80" i="6"/>
  <c r="AC81" i="6"/>
  <c r="AC82" i="6"/>
  <c r="AC83" i="6"/>
  <c r="AC84" i="6"/>
  <c r="AC85" i="6"/>
  <c r="AC86" i="6"/>
  <c r="AC87" i="6"/>
  <c r="AC88" i="6"/>
  <c r="AC89" i="6"/>
  <c r="AC90" i="6"/>
  <c r="AC91" i="6"/>
  <c r="AC92" i="6"/>
  <c r="AC93" i="6"/>
  <c r="AC94" i="6"/>
  <c r="AC95" i="6"/>
  <c r="AC96" i="6"/>
  <c r="AC97" i="6"/>
  <c r="AC98" i="6"/>
  <c r="AC99" i="6"/>
  <c r="AC100" i="6"/>
  <c r="AC101" i="6"/>
  <c r="AC102" i="6"/>
  <c r="AC103" i="6"/>
  <c r="AC104" i="6"/>
  <c r="AC105" i="6"/>
  <c r="BZ104" i="9"/>
  <c r="BY103" i="9"/>
  <c r="BY104" i="9"/>
  <c r="BN63" i="9"/>
  <c r="BM74" i="9"/>
  <c r="BV101" i="9"/>
  <c r="BV103" i="9" s="1"/>
  <c r="BS64" i="9"/>
  <c r="BS96" i="9"/>
  <c r="BY9" i="6"/>
  <c r="BV6" i="6"/>
  <c r="BV9" i="6" s="1"/>
  <c r="BV131" i="6"/>
  <c r="BT64" i="9"/>
  <c r="BT96" i="9"/>
  <c r="BV132" i="6"/>
  <c r="U34" i="9"/>
  <c r="U35" i="9" s="1"/>
  <c r="U38" i="9" s="1"/>
  <c r="U39" i="9" s="1"/>
  <c r="AZ17" i="9"/>
  <c r="U102" i="9"/>
  <c r="AZ102" i="9" s="1"/>
  <c r="AY94" i="11"/>
  <c r="Z54" i="9"/>
  <c r="Z46" i="9" s="1"/>
  <c r="Z102" i="9"/>
  <c r="AB54" i="9"/>
  <c r="AB44" i="9" s="1"/>
  <c r="F85" i="9"/>
  <c r="F87" i="9" s="1"/>
  <c r="F89" i="9" s="1"/>
  <c r="F92" i="9" s="1"/>
  <c r="F8" i="12" s="1"/>
  <c r="F13" i="14" s="1"/>
  <c r="R42" i="9"/>
  <c r="S12" i="10"/>
  <c r="AY12" i="10" s="1"/>
  <c r="R45" i="9"/>
  <c r="V45" i="9"/>
  <c r="AE8" i="10"/>
  <c r="R44" i="9"/>
  <c r="V44" i="9"/>
  <c r="R43" i="9"/>
  <c r="Z34" i="9"/>
  <c r="Z35" i="9" s="1"/>
  <c r="Z36" i="9" s="1"/>
  <c r="Z37" i="9" s="1"/>
  <c r="BQ57" i="9"/>
  <c r="Z133" i="6"/>
  <c r="BD7" i="10"/>
  <c r="L3" i="3" s="1"/>
  <c r="C12" i="3" s="1"/>
  <c r="BT53" i="9"/>
  <c r="BS54" i="9"/>
  <c r="N2" i="3"/>
  <c r="B26" i="3" s="1"/>
  <c r="G8" i="14"/>
  <c r="AS8" i="14" s="1"/>
  <c r="AZ79" i="9"/>
  <c r="AA46" i="9"/>
  <c r="AB34" i="9"/>
  <c r="AB35" i="9" s="1"/>
  <c r="AB36" i="9" s="1"/>
  <c r="AB37" i="9" s="1"/>
  <c r="AY86" i="9"/>
  <c r="R79" i="9"/>
  <c r="R80" i="9" s="1"/>
  <c r="X80" i="9"/>
  <c r="AX17" i="9"/>
  <c r="BB17" i="9"/>
  <c r="V43" i="9"/>
  <c r="R66" i="9"/>
  <c r="AV78" i="11"/>
  <c r="AV97" i="11" s="1"/>
  <c r="AA43" i="9"/>
  <c r="BA8" i="10"/>
  <c r="J2" i="3"/>
  <c r="B23" i="3" s="1"/>
  <c r="BE8" i="10"/>
  <c r="M3" i="3"/>
  <c r="C25" i="3" s="1"/>
  <c r="P3" i="3"/>
  <c r="C28" i="3" s="1"/>
  <c r="AV8" i="10"/>
  <c r="F4" i="3" s="1"/>
  <c r="D20" i="3" s="1"/>
  <c r="F3" i="3"/>
  <c r="C20" i="3" s="1"/>
  <c r="BB8" i="10"/>
  <c r="K2" i="3"/>
  <c r="B24" i="3" s="1"/>
  <c r="O2" i="3"/>
  <c r="B27" i="3" s="1"/>
  <c r="AU8" i="10"/>
  <c r="E4" i="3" s="1"/>
  <c r="D19" i="3" s="1"/>
  <c r="E3" i="3"/>
  <c r="C19" i="3" s="1"/>
  <c r="S8" i="13"/>
  <c r="AZ8" i="10"/>
  <c r="AA42" i="9"/>
  <c r="AA45" i="9"/>
  <c r="BH8" i="10"/>
  <c r="AN18" i="9"/>
  <c r="AN17" i="9" s="1"/>
  <c r="AN30" i="9" s="1"/>
  <c r="Y35" i="9"/>
  <c r="Y36" i="9" s="1"/>
  <c r="Y37" i="9" s="1"/>
  <c r="V35" i="9"/>
  <c r="V36" i="9" s="1"/>
  <c r="V37" i="9" s="1"/>
  <c r="W35" i="9"/>
  <c r="W36" i="9" s="1"/>
  <c r="W37" i="9" s="1"/>
  <c r="AI77" i="9"/>
  <c r="AH65" i="11"/>
  <c r="AC35" i="9"/>
  <c r="AC36" i="9" s="1"/>
  <c r="AC37" i="9" s="1"/>
  <c r="AG76" i="11"/>
  <c r="AG66" i="11"/>
  <c r="BE66" i="11" s="1"/>
  <c r="AG69" i="11"/>
  <c r="BE69" i="11" s="1"/>
  <c r="AG74" i="11"/>
  <c r="BE74" i="11" s="1"/>
  <c r="AG70" i="11"/>
  <c r="BE70" i="11" s="1"/>
  <c r="AG68" i="11"/>
  <c r="BE68" i="11" s="1"/>
  <c r="AG71" i="11"/>
  <c r="BE71" i="11" s="1"/>
  <c r="AG67" i="11"/>
  <c r="BE67" i="11" s="1"/>
  <c r="AG72" i="11"/>
  <c r="AG73" i="11"/>
  <c r="BE73" i="11" s="1"/>
  <c r="AG75" i="11"/>
  <c r="BE75" i="11" s="1"/>
  <c r="T66" i="9"/>
  <c r="AO20" i="9"/>
  <c r="BG8" i="10"/>
  <c r="S43" i="9"/>
  <c r="S44" i="9"/>
  <c r="S46" i="9"/>
  <c r="S42" i="9"/>
  <c r="S45" i="9"/>
  <c r="AC45" i="9"/>
  <c r="AC43" i="9"/>
  <c r="AC42" i="9"/>
  <c r="AC44" i="9"/>
  <c r="AC46" i="9"/>
  <c r="W43" i="9"/>
  <c r="W45" i="9"/>
  <c r="W46" i="9"/>
  <c r="W42" i="9"/>
  <c r="W44" i="9"/>
  <c r="Y45" i="9"/>
  <c r="Y46" i="9"/>
  <c r="Y44" i="9"/>
  <c r="Y43" i="9"/>
  <c r="Y42" i="9"/>
  <c r="T44" i="9"/>
  <c r="T46" i="9"/>
  <c r="T45" i="9"/>
  <c r="T43" i="9"/>
  <c r="T42" i="9"/>
  <c r="O82" i="9"/>
  <c r="P78" i="9" s="1"/>
  <c r="P7" i="9"/>
  <c r="P8" i="9" s="1"/>
  <c r="P79" i="9" s="1"/>
  <c r="O9" i="9"/>
  <c r="N11" i="9" s="1"/>
  <c r="S76" i="11"/>
  <c r="S66" i="11"/>
  <c r="S70" i="11"/>
  <c r="S74" i="11"/>
  <c r="S68" i="11"/>
  <c r="S72" i="11"/>
  <c r="S67" i="11"/>
  <c r="S71" i="11"/>
  <c r="S75" i="11"/>
  <c r="S69" i="11"/>
  <c r="S73" i="11"/>
  <c r="AS71" i="1"/>
  <c r="N14" i="12"/>
  <c r="N14" i="14" s="1"/>
  <c r="AP8" i="13"/>
  <c r="Z12" i="14"/>
  <c r="O71" i="6"/>
  <c r="M14" i="14"/>
  <c r="M27" i="12"/>
  <c r="L25" i="14"/>
  <c r="L27" i="14" s="1"/>
  <c r="U17" i="10"/>
  <c r="U8" i="13"/>
  <c r="H13" i="12"/>
  <c r="I13" i="12" s="1"/>
  <c r="K27" i="14"/>
  <c r="AC12" i="14"/>
  <c r="I7" i="12"/>
  <c r="J7" i="13"/>
  <c r="J9" i="13" s="1"/>
  <c r="G7" i="12"/>
  <c r="H7" i="13"/>
  <c r="G7" i="13"/>
  <c r="G9" i="13" s="1"/>
  <c r="F7" i="12"/>
  <c r="H17" i="10"/>
  <c r="H8" i="13"/>
  <c r="H10" i="13" s="1"/>
  <c r="E17" i="10"/>
  <c r="E8" i="13"/>
  <c r="E10" i="13" s="1"/>
  <c r="J7" i="12"/>
  <c r="K7" i="13"/>
  <c r="M10" i="13"/>
  <c r="R17" i="10"/>
  <c r="R8" i="13"/>
  <c r="BF8" i="10"/>
  <c r="AB12" i="9"/>
  <c r="AB11" i="9" s="1"/>
  <c r="R11" i="13"/>
  <c r="P10" i="13"/>
  <c r="J63" i="8"/>
  <c r="J72" i="8" s="1"/>
  <c r="I71" i="7"/>
  <c r="I71" i="1" s="1"/>
  <c r="H71" i="1"/>
  <c r="J71" i="5"/>
  <c r="X42" i="9" l="1"/>
  <c r="X44" i="9"/>
  <c r="AN110" i="6"/>
  <c r="AN118" i="6"/>
  <c r="AN126" i="6"/>
  <c r="AN109" i="6"/>
  <c r="AN117" i="6"/>
  <c r="AN125" i="6"/>
  <c r="AN114" i="6"/>
  <c r="AN115" i="6"/>
  <c r="AN116" i="6"/>
  <c r="AN111" i="6"/>
  <c r="AN124" i="6"/>
  <c r="AN106" i="6"/>
  <c r="AN119" i="6"/>
  <c r="AN128" i="6"/>
  <c r="AN123" i="6"/>
  <c r="AN112" i="6"/>
  <c r="AN107" i="6"/>
  <c r="AN120" i="6"/>
  <c r="AN129" i="6"/>
  <c r="AN127" i="6"/>
  <c r="AN113" i="6"/>
  <c r="AN122" i="6"/>
  <c r="AN108" i="6"/>
  <c r="AN121" i="6"/>
  <c r="X45" i="9"/>
  <c r="U122" i="6"/>
  <c r="AZ122" i="6" s="1"/>
  <c r="U114" i="6"/>
  <c r="AZ114" i="6" s="1"/>
  <c r="U106" i="6"/>
  <c r="AZ106" i="6" s="1"/>
  <c r="U128" i="6"/>
  <c r="AZ128" i="6" s="1"/>
  <c r="U120" i="6"/>
  <c r="AZ120" i="6" s="1"/>
  <c r="U110" i="6"/>
  <c r="AZ110" i="6" s="1"/>
  <c r="U127" i="6"/>
  <c r="AZ127" i="6" s="1"/>
  <c r="U119" i="6"/>
  <c r="AZ119" i="6" s="1"/>
  <c r="U109" i="6"/>
  <c r="AZ109" i="6" s="1"/>
  <c r="U118" i="6"/>
  <c r="AZ118" i="6" s="1"/>
  <c r="U108" i="6"/>
  <c r="AZ108" i="6" s="1"/>
  <c r="U125" i="6"/>
  <c r="AZ125" i="6" s="1"/>
  <c r="U115" i="6"/>
  <c r="AZ115" i="6" s="1"/>
  <c r="U126" i="6"/>
  <c r="AZ126" i="6" s="1"/>
  <c r="U116" i="6"/>
  <c r="AZ116" i="6" s="1"/>
  <c r="U107" i="6"/>
  <c r="AZ107" i="6" s="1"/>
  <c r="U121" i="6"/>
  <c r="AZ121" i="6" s="1"/>
  <c r="U112" i="6"/>
  <c r="AZ112" i="6" s="1"/>
  <c r="U129" i="6"/>
  <c r="AZ129" i="6" s="1"/>
  <c r="U117" i="6"/>
  <c r="AZ117" i="6" s="1"/>
  <c r="U111" i="6"/>
  <c r="AZ111" i="6" s="1"/>
  <c r="U124" i="6"/>
  <c r="AZ124" i="6" s="1"/>
  <c r="U123" i="6"/>
  <c r="AZ123" i="6" s="1"/>
  <c r="U113" i="6"/>
  <c r="AZ113" i="6" s="1"/>
  <c r="BA128" i="6"/>
  <c r="BA126" i="6"/>
  <c r="BA124" i="6"/>
  <c r="BA122" i="6"/>
  <c r="AX122" i="6"/>
  <c r="BA120" i="6"/>
  <c r="BA118" i="6"/>
  <c r="BA116" i="6"/>
  <c r="BA114" i="6"/>
  <c r="BA112" i="6"/>
  <c r="BA110" i="6"/>
  <c r="BA108" i="6"/>
  <c r="BA106" i="6"/>
  <c r="BA129" i="6"/>
  <c r="BA127" i="6"/>
  <c r="BA125" i="6"/>
  <c r="BA123" i="6"/>
  <c r="BA121" i="6"/>
  <c r="AX121" i="6"/>
  <c r="BA119" i="6"/>
  <c r="BA117" i="6"/>
  <c r="BA115" i="6"/>
  <c r="BA113" i="6"/>
  <c r="AX113" i="6"/>
  <c r="BA111" i="6"/>
  <c r="BA109" i="6"/>
  <c r="BA107" i="6"/>
  <c r="AX107" i="6"/>
  <c r="AP10" i="13"/>
  <c r="AP7" i="12" s="1"/>
  <c r="X43" i="9"/>
  <c r="AC132" i="6"/>
  <c r="W132" i="6"/>
  <c r="BF32" i="10"/>
  <c r="Y132" i="6"/>
  <c r="Y31" i="9" s="1"/>
  <c r="Y101" i="9" s="1"/>
  <c r="V132" i="6"/>
  <c r="V31" i="9" s="1"/>
  <c r="V101" i="9" s="1"/>
  <c r="V103" i="9" s="1"/>
  <c r="X132" i="6"/>
  <c r="X31" i="9" s="1"/>
  <c r="X101" i="9" s="1"/>
  <c r="X103" i="9" s="1"/>
  <c r="AL10" i="13"/>
  <c r="AM7" i="13" s="1"/>
  <c r="AS8" i="10"/>
  <c r="C4" i="3" s="1"/>
  <c r="D17" i="3" s="1"/>
  <c r="BG32" i="10"/>
  <c r="D3" i="3"/>
  <c r="C18" i="3" s="1"/>
  <c r="AM10" i="13"/>
  <c r="AN7" i="13" s="1"/>
  <c r="G85" i="9"/>
  <c r="G87" i="9" s="1"/>
  <c r="G89" i="9" s="1"/>
  <c r="H85" i="9" s="1"/>
  <c r="H87" i="9" s="1"/>
  <c r="H89" i="9" s="1"/>
  <c r="Z45" i="9"/>
  <c r="AK7" i="13"/>
  <c r="AK10" i="13"/>
  <c r="AL7" i="13" s="1"/>
  <c r="AH9" i="13"/>
  <c r="U44" i="9"/>
  <c r="U46" i="9"/>
  <c r="U42" i="9"/>
  <c r="U45" i="9"/>
  <c r="AA12" i="14"/>
  <c r="BB12" i="14" s="1"/>
  <c r="AJ9" i="13"/>
  <c r="P4" i="3"/>
  <c r="D28" i="3" s="1"/>
  <c r="M4" i="3"/>
  <c r="D25" i="3" s="1"/>
  <c r="AE8" i="13"/>
  <c r="AE10" i="13" s="1"/>
  <c r="AF7" i="13" s="1"/>
  <c r="AF9" i="13" s="1"/>
  <c r="AE32" i="10"/>
  <c r="N4" i="3"/>
  <c r="D26" i="3" s="1"/>
  <c r="O4" i="3"/>
  <c r="D27" i="3" s="1"/>
  <c r="K4" i="3"/>
  <c r="D24" i="3" s="1"/>
  <c r="J4" i="3"/>
  <c r="D23" i="3" s="1"/>
  <c r="AN8" i="13"/>
  <c r="AN10" i="13" s="1"/>
  <c r="AN7" i="12" s="1"/>
  <c r="AN32" i="10"/>
  <c r="BH32" i="10" s="1"/>
  <c r="AI7" i="13"/>
  <c r="AI9" i="13" s="1"/>
  <c r="AA38" i="9"/>
  <c r="AA39" i="9" s="1"/>
  <c r="Z43" i="9"/>
  <c r="AB42" i="9"/>
  <c r="AB43" i="9"/>
  <c r="V48" i="9"/>
  <c r="V57" i="9" s="1"/>
  <c r="U74" i="9" s="1"/>
  <c r="V70" i="9" s="1"/>
  <c r="AB46" i="9"/>
  <c r="K17" i="10"/>
  <c r="AX8" i="10"/>
  <c r="G4" i="3" s="1"/>
  <c r="D11" i="3" s="1"/>
  <c r="AY8" i="10"/>
  <c r="AY17" i="10" s="1"/>
  <c r="AR8" i="10"/>
  <c r="B4" i="3" s="1"/>
  <c r="D10" i="3" s="1"/>
  <c r="N17" i="10"/>
  <c r="BD8" i="10"/>
  <c r="BI28" i="10" s="1"/>
  <c r="BV30" i="7"/>
  <c r="BV7" i="7"/>
  <c r="BN18" i="7"/>
  <c r="BN17" i="7"/>
  <c r="BJ13" i="7"/>
  <c r="BJ17" i="7" s="1"/>
  <c r="BS28" i="7"/>
  <c r="BR34" i="7"/>
  <c r="BQ54" i="7"/>
  <c r="BR43" i="7"/>
  <c r="BR5" i="7"/>
  <c r="BQ14" i="7"/>
  <c r="BQ11" i="7"/>
  <c r="BQ13" i="7"/>
  <c r="BQ15" i="7"/>
  <c r="BQ12" i="7"/>
  <c r="BQ9" i="7"/>
  <c r="BJ18" i="7"/>
  <c r="BR36" i="7"/>
  <c r="BQ41" i="7"/>
  <c r="AB56" i="7"/>
  <c r="AA65" i="7"/>
  <c r="AA56" i="1"/>
  <c r="AO56" i="7"/>
  <c r="AN65" i="7"/>
  <c r="AN56" i="1"/>
  <c r="BR21" i="7"/>
  <c r="BQ26" i="7"/>
  <c r="AC31" i="9"/>
  <c r="AC101" i="9" s="1"/>
  <c r="W31" i="9"/>
  <c r="W101" i="9" s="1"/>
  <c r="U104" i="6"/>
  <c r="U102" i="6"/>
  <c r="U100" i="6"/>
  <c r="U98" i="6"/>
  <c r="U96" i="6"/>
  <c r="U94" i="6"/>
  <c r="U92" i="6"/>
  <c r="U90" i="6"/>
  <c r="U82" i="6"/>
  <c r="U84" i="6"/>
  <c r="U86" i="6"/>
  <c r="U88" i="6"/>
  <c r="U105" i="6"/>
  <c r="U103" i="6"/>
  <c r="U101" i="6"/>
  <c r="U99" i="6"/>
  <c r="U97" i="6"/>
  <c r="U95" i="6"/>
  <c r="U93" i="6"/>
  <c r="U91" i="6"/>
  <c r="U81" i="6"/>
  <c r="U83" i="6"/>
  <c r="U85" i="6"/>
  <c r="U87" i="6"/>
  <c r="U89" i="6"/>
  <c r="U80" i="6"/>
  <c r="Z80" i="6"/>
  <c r="Z81" i="6"/>
  <c r="BA81" i="6" s="1"/>
  <c r="Z82" i="6"/>
  <c r="BA82" i="6" s="1"/>
  <c r="Z83" i="6"/>
  <c r="BA83" i="6" s="1"/>
  <c r="Z84" i="6"/>
  <c r="BA84" i="6" s="1"/>
  <c r="Z85" i="6"/>
  <c r="BA85" i="6" s="1"/>
  <c r="Z86" i="6"/>
  <c r="BA86" i="6" s="1"/>
  <c r="Z87" i="6"/>
  <c r="BA87" i="6" s="1"/>
  <c r="Z88" i="6"/>
  <c r="BA88" i="6" s="1"/>
  <c r="Z89" i="6"/>
  <c r="BA89" i="6" s="1"/>
  <c r="Z90" i="6"/>
  <c r="BA90" i="6" s="1"/>
  <c r="Z91" i="6"/>
  <c r="BA91" i="6" s="1"/>
  <c r="Z92" i="6"/>
  <c r="BA92" i="6" s="1"/>
  <c r="Z93" i="6"/>
  <c r="BA93" i="6" s="1"/>
  <c r="Z94" i="6"/>
  <c r="BA94" i="6" s="1"/>
  <c r="Z95" i="6"/>
  <c r="BA95" i="6" s="1"/>
  <c r="Z96" i="6"/>
  <c r="BA96" i="6" s="1"/>
  <c r="Z97" i="6"/>
  <c r="BA97" i="6" s="1"/>
  <c r="Z98" i="6"/>
  <c r="BA98" i="6" s="1"/>
  <c r="Z99" i="6"/>
  <c r="BA99" i="6" s="1"/>
  <c r="Z100" i="6"/>
  <c r="BA100" i="6" s="1"/>
  <c r="Z101" i="6"/>
  <c r="BA101" i="6" s="1"/>
  <c r="Z102" i="6"/>
  <c r="BA102" i="6" s="1"/>
  <c r="Z103" i="6"/>
  <c r="BA103" i="6" s="1"/>
  <c r="Z104" i="6"/>
  <c r="BA104" i="6" s="1"/>
  <c r="Z105" i="6"/>
  <c r="BA105" i="6" s="1"/>
  <c r="AB80" i="6"/>
  <c r="AB81" i="6"/>
  <c r="BB81" i="6" s="1"/>
  <c r="AB82" i="6"/>
  <c r="BB82" i="6" s="1"/>
  <c r="AB83" i="6"/>
  <c r="BB83" i="6" s="1"/>
  <c r="AB84" i="6"/>
  <c r="BB84" i="6" s="1"/>
  <c r="AB85" i="6"/>
  <c r="BB85" i="6" s="1"/>
  <c r="AB86" i="6"/>
  <c r="BB86" i="6" s="1"/>
  <c r="AB87" i="6"/>
  <c r="BB87" i="6" s="1"/>
  <c r="AB88" i="6"/>
  <c r="BB88" i="6" s="1"/>
  <c r="AB89" i="6"/>
  <c r="BB89" i="6" s="1"/>
  <c r="AB90" i="6"/>
  <c r="BB90" i="6" s="1"/>
  <c r="AB91" i="6"/>
  <c r="BB91" i="6" s="1"/>
  <c r="AB92" i="6"/>
  <c r="BB92" i="6" s="1"/>
  <c r="AB93" i="6"/>
  <c r="BB93" i="6" s="1"/>
  <c r="AB94" i="6"/>
  <c r="BB94" i="6" s="1"/>
  <c r="AB95" i="6"/>
  <c r="BB95" i="6" s="1"/>
  <c r="AB96" i="6"/>
  <c r="BB96" i="6" s="1"/>
  <c r="AB97" i="6"/>
  <c r="BB97" i="6" s="1"/>
  <c r="AB98" i="6"/>
  <c r="BB98" i="6" s="1"/>
  <c r="AB99" i="6"/>
  <c r="BB99" i="6" s="1"/>
  <c r="AB100" i="6"/>
  <c r="BB100" i="6" s="1"/>
  <c r="AB101" i="6"/>
  <c r="BB101" i="6" s="1"/>
  <c r="AB102" i="6"/>
  <c r="BB102" i="6" s="1"/>
  <c r="AB103" i="6"/>
  <c r="BB103" i="6" s="1"/>
  <c r="AB104" i="6"/>
  <c r="BB104" i="6" s="1"/>
  <c r="AB105" i="6"/>
  <c r="BB105" i="6" s="1"/>
  <c r="AA104" i="9"/>
  <c r="BV104" i="9"/>
  <c r="BN74" i="9"/>
  <c r="BQ73" i="9"/>
  <c r="Y48" i="9"/>
  <c r="Y57" i="9" s="1"/>
  <c r="AC48" i="9"/>
  <c r="AC57" i="9" s="1"/>
  <c r="AC73" i="9" s="1"/>
  <c r="S48" i="9"/>
  <c r="S57" i="9" s="1"/>
  <c r="AX102" i="9"/>
  <c r="R48" i="9"/>
  <c r="R57" i="9" s="1"/>
  <c r="R73" i="9" s="1"/>
  <c r="AN49" i="9"/>
  <c r="AN102" i="9" s="1"/>
  <c r="T48" i="9"/>
  <c r="T57" i="9" s="1"/>
  <c r="BA102" i="9"/>
  <c r="AT17" i="10"/>
  <c r="W48" i="9"/>
  <c r="W57" i="9" s="1"/>
  <c r="AA48" i="9"/>
  <c r="AA57" i="9" s="1"/>
  <c r="AA73" i="9" s="1"/>
  <c r="BP96" i="9"/>
  <c r="BV157" i="6"/>
  <c r="BV154" i="6"/>
  <c r="BW50" i="9" s="1"/>
  <c r="Z44" i="9"/>
  <c r="Z42" i="9"/>
  <c r="AB45" i="9"/>
  <c r="G20" i="14"/>
  <c r="G22" i="14" s="1"/>
  <c r="BR57" i="9"/>
  <c r="BR73" i="9" s="1"/>
  <c r="BV53" i="9"/>
  <c r="BT54" i="9"/>
  <c r="BQ63" i="9"/>
  <c r="AN34" i="9"/>
  <c r="BE72" i="11"/>
  <c r="BE76" i="11"/>
  <c r="AU17" i="10"/>
  <c r="I4" i="3"/>
  <c r="D22" i="3" s="1"/>
  <c r="R2" i="3"/>
  <c r="R3" i="3"/>
  <c r="AV17" i="10"/>
  <c r="BL8" i="10"/>
  <c r="BL32" i="10" s="1"/>
  <c r="V38" i="9"/>
  <c r="V39" i="9" s="1"/>
  <c r="W38" i="9"/>
  <c r="W39" i="9" s="1"/>
  <c r="Y38" i="9"/>
  <c r="Y39" i="9" s="1"/>
  <c r="AP18" i="9"/>
  <c r="AJ77" i="9"/>
  <c r="AI65" i="11"/>
  <c r="AB38" i="9"/>
  <c r="AB39" i="9" s="1"/>
  <c r="X38" i="9"/>
  <c r="X39" i="9" s="1"/>
  <c r="AN54" i="9"/>
  <c r="AH76" i="11"/>
  <c r="AH68" i="11"/>
  <c r="AH72" i="11"/>
  <c r="AH69" i="11"/>
  <c r="AH73" i="11"/>
  <c r="AH66" i="11"/>
  <c r="AH70" i="11"/>
  <c r="AH74" i="11"/>
  <c r="AH67" i="11"/>
  <c r="AH71" i="11"/>
  <c r="AH75" i="11"/>
  <c r="AC38" i="9"/>
  <c r="AC39" i="9" s="1"/>
  <c r="Z38" i="9"/>
  <c r="Z39" i="9" s="1"/>
  <c r="AP16" i="9"/>
  <c r="AO18" i="9"/>
  <c r="AO16" i="9" s="1"/>
  <c r="AO17" i="9" s="1"/>
  <c r="AO30" i="9" s="1"/>
  <c r="G12" i="14"/>
  <c r="N9" i="9"/>
  <c r="M11" i="9" s="1"/>
  <c r="O7" i="9"/>
  <c r="O8" i="9" s="1"/>
  <c r="O79" i="9" s="1"/>
  <c r="N82" i="9"/>
  <c r="O78" i="9" s="1"/>
  <c r="P80" i="9"/>
  <c r="P22" i="13"/>
  <c r="T76" i="11"/>
  <c r="T66" i="11"/>
  <c r="AY66" i="11" s="1"/>
  <c r="T71" i="11"/>
  <c r="AY71" i="11" s="1"/>
  <c r="T74" i="11"/>
  <c r="T73" i="11"/>
  <c r="AY73" i="11" s="1"/>
  <c r="T68" i="11"/>
  <c r="AY68" i="11" s="1"/>
  <c r="T75" i="11"/>
  <c r="AY75" i="11" s="1"/>
  <c r="T69" i="11"/>
  <c r="AY69" i="11" s="1"/>
  <c r="T72" i="11"/>
  <c r="T67" i="11"/>
  <c r="AY67" i="11" s="1"/>
  <c r="T70" i="11"/>
  <c r="H8" i="14"/>
  <c r="H18" i="13"/>
  <c r="O14" i="12"/>
  <c r="I8" i="14"/>
  <c r="I20" i="14" s="1"/>
  <c r="I22" i="14" s="1"/>
  <c r="I18" i="13"/>
  <c r="N27" i="12"/>
  <c r="M25" i="14"/>
  <c r="P71" i="6"/>
  <c r="G92" i="9"/>
  <c r="G8" i="12" s="1"/>
  <c r="AU14" i="14"/>
  <c r="J12" i="14"/>
  <c r="AI12" i="14"/>
  <c r="AH12" i="14"/>
  <c r="L10" i="13"/>
  <c r="L7" i="12" s="1"/>
  <c r="N7" i="13"/>
  <c r="M7" i="12"/>
  <c r="H7" i="12"/>
  <c r="I12" i="14" s="1"/>
  <c r="H9" i="13"/>
  <c r="I7" i="13"/>
  <c r="I9" i="13" s="1"/>
  <c r="N10" i="13"/>
  <c r="O10" i="13"/>
  <c r="R7" i="13"/>
  <c r="P7" i="12"/>
  <c r="E7" i="12"/>
  <c r="E9" i="13"/>
  <c r="F7" i="13"/>
  <c r="F9" i="13" s="1"/>
  <c r="L7" i="13"/>
  <c r="K7" i="12"/>
  <c r="K9" i="13"/>
  <c r="J13" i="12"/>
  <c r="AC12" i="9"/>
  <c r="AC11" i="9" s="1"/>
  <c r="AL18" i="9"/>
  <c r="AM16" i="9"/>
  <c r="AM17" i="9" s="1"/>
  <c r="AM30" i="9" s="1"/>
  <c r="S11" i="13"/>
  <c r="R10" i="13"/>
  <c r="R7" i="12" s="1"/>
  <c r="K63" i="8"/>
  <c r="K72" i="8" s="1"/>
  <c r="J71" i="7"/>
  <c r="J71" i="1" s="1"/>
  <c r="K71" i="5"/>
  <c r="AT71" i="5"/>
  <c r="AS17" i="10" l="1"/>
  <c r="AX110" i="6"/>
  <c r="AX126" i="6"/>
  <c r="AX129" i="6"/>
  <c r="AX108" i="6"/>
  <c r="AX112" i="6"/>
  <c r="AX124" i="6"/>
  <c r="AX128" i="6"/>
  <c r="AX123" i="6"/>
  <c r="AX116" i="6"/>
  <c r="X48" i="9"/>
  <c r="X57" i="9" s="1"/>
  <c r="X63" i="9" s="1"/>
  <c r="AX127" i="6"/>
  <c r="AX106" i="6"/>
  <c r="AX111" i="6"/>
  <c r="AX119" i="6"/>
  <c r="AX118" i="6"/>
  <c r="AM113" i="6"/>
  <c r="AM121" i="6"/>
  <c r="AM129" i="6"/>
  <c r="AM112" i="6"/>
  <c r="AM120" i="6"/>
  <c r="AM128" i="6"/>
  <c r="AM117" i="6"/>
  <c r="AM118" i="6"/>
  <c r="AM119" i="6"/>
  <c r="AM106" i="6"/>
  <c r="AM107" i="6"/>
  <c r="AM108" i="6"/>
  <c r="AM115" i="6"/>
  <c r="AM110" i="6"/>
  <c r="AM123" i="6"/>
  <c r="AM127" i="6"/>
  <c r="AM114" i="6"/>
  <c r="AM109" i="6"/>
  <c r="AM122" i="6"/>
  <c r="AM116" i="6"/>
  <c r="AM125" i="6"/>
  <c r="AM111" i="6"/>
  <c r="AM124" i="6"/>
  <c r="AM126" i="6"/>
  <c r="AX120" i="6"/>
  <c r="AO107" i="6"/>
  <c r="AO115" i="6"/>
  <c r="AO123" i="6"/>
  <c r="AO106" i="6"/>
  <c r="AO114" i="6"/>
  <c r="AO122" i="6"/>
  <c r="AO111" i="6"/>
  <c r="AO112" i="6"/>
  <c r="AO113" i="6"/>
  <c r="AO120" i="6"/>
  <c r="AO129" i="6"/>
  <c r="AO124" i="6"/>
  <c r="AO117" i="6"/>
  <c r="AO110" i="6"/>
  <c r="AO119" i="6"/>
  <c r="AO128" i="6"/>
  <c r="AO118" i="6"/>
  <c r="AO109" i="6"/>
  <c r="AO127" i="6"/>
  <c r="AO108" i="6"/>
  <c r="AO121" i="6"/>
  <c r="AO116" i="6"/>
  <c r="AO125" i="6"/>
  <c r="AO126" i="6"/>
  <c r="AM9" i="13"/>
  <c r="AX114" i="6"/>
  <c r="AX115" i="6"/>
  <c r="AX109" i="6"/>
  <c r="AX117" i="6"/>
  <c r="AX125" i="6"/>
  <c r="AL7" i="12"/>
  <c r="AM7" i="12"/>
  <c r="AN12" i="14" s="1"/>
  <c r="AB132" i="6"/>
  <c r="AB31" i="9" s="1"/>
  <c r="AB101" i="9" s="1"/>
  <c r="U132" i="6"/>
  <c r="BA80" i="6"/>
  <c r="BA131" i="6" s="1"/>
  <c r="Z132" i="6"/>
  <c r="Z31" i="9" s="1"/>
  <c r="Z101" i="9" s="1"/>
  <c r="AL9" i="13"/>
  <c r="BD32" i="10"/>
  <c r="BI32" i="10" s="1"/>
  <c r="BE32" i="10"/>
  <c r="X104" i="9"/>
  <c r="V104" i="9"/>
  <c r="AK7" i="12"/>
  <c r="AK12" i="14" s="1"/>
  <c r="AK9" i="13"/>
  <c r="U48" i="9"/>
  <c r="U57" i="9" s="1"/>
  <c r="U63" i="9" s="1"/>
  <c r="AO7" i="13"/>
  <c r="AN9" i="13"/>
  <c r="AO10" i="13"/>
  <c r="AO7" i="12" s="1"/>
  <c r="AP12" i="14" s="1"/>
  <c r="H4" i="3"/>
  <c r="D21" i="3" s="1"/>
  <c r="AB48" i="9"/>
  <c r="AB57" i="9" s="1"/>
  <c r="AE7" i="12"/>
  <c r="AF12" i="14" s="1"/>
  <c r="AE9" i="13"/>
  <c r="AR17" i="10"/>
  <c r="BI7" i="10"/>
  <c r="BI8" i="10"/>
  <c r="BI6" i="10"/>
  <c r="BI29" i="10"/>
  <c r="L4" i="3"/>
  <c r="D12" i="3" s="1"/>
  <c r="BS36" i="7"/>
  <c r="BR41" i="7"/>
  <c r="BQ17" i="7"/>
  <c r="BQ18" i="7"/>
  <c r="BT28" i="7"/>
  <c r="BS34" i="7"/>
  <c r="BP28" i="7"/>
  <c r="BP34" i="7" s="1"/>
  <c r="BR11" i="7"/>
  <c r="BR13" i="7"/>
  <c r="BR14" i="7"/>
  <c r="BS5" i="7"/>
  <c r="BR12" i="7"/>
  <c r="BR15" i="7"/>
  <c r="BR9" i="7"/>
  <c r="BR54" i="7"/>
  <c r="BS43" i="7"/>
  <c r="BS21" i="7"/>
  <c r="BR26" i="7"/>
  <c r="AP56" i="7"/>
  <c r="BD56" i="7" s="1"/>
  <c r="BD65" i="7" s="1"/>
  <c r="AO65" i="7"/>
  <c r="AO56" i="1"/>
  <c r="AC56" i="7"/>
  <c r="AX56" i="7" s="1"/>
  <c r="AX65" i="7" s="1"/>
  <c r="AB65" i="7"/>
  <c r="AB56" i="1"/>
  <c r="AM49" i="9"/>
  <c r="AM102" i="9" s="1"/>
  <c r="AO49" i="9"/>
  <c r="AO102" i="9" s="1"/>
  <c r="BB80" i="6"/>
  <c r="BB131" i="6" s="1"/>
  <c r="AZ89" i="6"/>
  <c r="AX89" i="6"/>
  <c r="AZ85" i="6"/>
  <c r="AX85" i="6"/>
  <c r="AZ93" i="6"/>
  <c r="AX93" i="6"/>
  <c r="AZ97" i="6"/>
  <c r="AX97" i="6"/>
  <c r="AZ101" i="6"/>
  <c r="AX101" i="6"/>
  <c r="AZ105" i="6"/>
  <c r="AX105" i="6"/>
  <c r="AZ86" i="6"/>
  <c r="AX86" i="6"/>
  <c r="AZ82" i="6"/>
  <c r="AX82" i="6"/>
  <c r="AZ92" i="6"/>
  <c r="AX92" i="6"/>
  <c r="AZ96" i="6"/>
  <c r="AX96" i="6"/>
  <c r="AZ100" i="6"/>
  <c r="AX100" i="6"/>
  <c r="AZ104" i="6"/>
  <c r="AX104" i="6"/>
  <c r="W104" i="9"/>
  <c r="W103" i="9"/>
  <c r="AC104" i="9"/>
  <c r="AC103" i="9"/>
  <c r="AZ80" i="6"/>
  <c r="AX80" i="6"/>
  <c r="AZ87" i="6"/>
  <c r="AX87" i="6"/>
  <c r="AX83" i="6"/>
  <c r="AZ83" i="6"/>
  <c r="AZ91" i="6"/>
  <c r="AX91" i="6"/>
  <c r="AZ95" i="6"/>
  <c r="AX95" i="6"/>
  <c r="AZ99" i="6"/>
  <c r="AX99" i="6"/>
  <c r="AZ103" i="6"/>
  <c r="AX103" i="6"/>
  <c r="AZ88" i="6"/>
  <c r="AX88" i="6"/>
  <c r="AZ84" i="6"/>
  <c r="AX84" i="6"/>
  <c r="AZ90" i="6"/>
  <c r="AX90" i="6"/>
  <c r="AZ94" i="6"/>
  <c r="AX94" i="6"/>
  <c r="AZ98" i="6"/>
  <c r="AX98" i="6"/>
  <c r="AZ102" i="6"/>
  <c r="AX102" i="6"/>
  <c r="Y104" i="9"/>
  <c r="Y103" i="9"/>
  <c r="AN133" i="6"/>
  <c r="AN80" i="6"/>
  <c r="AN81" i="6"/>
  <c r="AN82" i="6"/>
  <c r="AN83" i="6"/>
  <c r="AN84" i="6"/>
  <c r="AN85" i="6"/>
  <c r="AN86" i="6"/>
  <c r="AN87" i="6"/>
  <c r="AN88" i="6"/>
  <c r="AN89" i="6"/>
  <c r="AN90" i="6"/>
  <c r="AN91" i="6"/>
  <c r="AN92" i="6"/>
  <c r="AN93" i="6"/>
  <c r="AN94" i="6"/>
  <c r="AN95" i="6"/>
  <c r="AN96" i="6"/>
  <c r="AN97" i="6"/>
  <c r="AN98" i="6"/>
  <c r="AN99" i="6"/>
  <c r="AN100" i="6"/>
  <c r="AN101" i="6"/>
  <c r="AN102" i="6"/>
  <c r="AN103" i="6"/>
  <c r="AN104" i="6"/>
  <c r="AN105" i="6"/>
  <c r="AS20" i="14"/>
  <c r="AS22" i="14" s="1"/>
  <c r="Z48" i="9"/>
  <c r="Z57" i="9" s="1"/>
  <c r="BR63" i="9"/>
  <c r="BQ74" i="9"/>
  <c r="AM34" i="9"/>
  <c r="BX50" i="9"/>
  <c r="BW58" i="9"/>
  <c r="BE78" i="11"/>
  <c r="BE79" i="11" s="1"/>
  <c r="V73" i="9"/>
  <c r="V63" i="9"/>
  <c r="BW53" i="9"/>
  <c r="BV54" i="9"/>
  <c r="BS57" i="9"/>
  <c r="AY74" i="11"/>
  <c r="AY70" i="11"/>
  <c r="BE65" i="11"/>
  <c r="AY72" i="11"/>
  <c r="AY76" i="11"/>
  <c r="BM8" i="10"/>
  <c r="BM32" i="10" s="1"/>
  <c r="Z74" i="9"/>
  <c r="AA70" i="9" s="1"/>
  <c r="AA63" i="9"/>
  <c r="S2" i="3"/>
  <c r="AR7" i="12"/>
  <c r="BK12" i="14" s="1"/>
  <c r="R4" i="3"/>
  <c r="S3" i="3"/>
  <c r="K13" i="12"/>
  <c r="AP17" i="9"/>
  <c r="AP30" i="9" s="1"/>
  <c r="AK77" i="9"/>
  <c r="AJ65" i="11"/>
  <c r="AO34" i="9"/>
  <c r="AN35" i="9"/>
  <c r="AI76" i="11"/>
  <c r="AI66" i="11"/>
  <c r="AI70" i="11"/>
  <c r="AI74" i="11"/>
  <c r="AI67" i="11"/>
  <c r="AI71" i="11"/>
  <c r="AI75" i="11"/>
  <c r="AI68" i="11"/>
  <c r="AI72" i="11"/>
  <c r="AI69" i="11"/>
  <c r="AI73" i="11"/>
  <c r="AO54" i="9"/>
  <c r="AC63" i="9"/>
  <c r="AB74" i="9"/>
  <c r="W63" i="9"/>
  <c r="V74" i="9"/>
  <c r="W73" i="9"/>
  <c r="S66" i="9"/>
  <c r="S73" i="9"/>
  <c r="R74" i="9"/>
  <c r="X73" i="9"/>
  <c r="T73" i="9"/>
  <c r="S74" i="9"/>
  <c r="T70" i="9" s="1"/>
  <c r="X74" i="9"/>
  <c r="Y70" i="9" s="1"/>
  <c r="Y63" i="9"/>
  <c r="Y73" i="9"/>
  <c r="M82" i="9"/>
  <c r="N78" i="9" s="1"/>
  <c r="N7" i="9"/>
  <c r="N8" i="9" s="1"/>
  <c r="M9" i="9"/>
  <c r="M8" i="9" s="1"/>
  <c r="O80" i="9"/>
  <c r="O22" i="13"/>
  <c r="U76" i="11"/>
  <c r="U68" i="11"/>
  <c r="U72" i="11"/>
  <c r="U66" i="11"/>
  <c r="U69" i="11"/>
  <c r="U73" i="11"/>
  <c r="U67" i="11"/>
  <c r="U71" i="11"/>
  <c r="U75" i="11"/>
  <c r="U70" i="11"/>
  <c r="U74" i="11"/>
  <c r="AR71" i="6"/>
  <c r="AR73" i="6" s="1"/>
  <c r="AV71" i="6"/>
  <c r="AV73" i="6" s="1"/>
  <c r="L9" i="13"/>
  <c r="H92" i="9"/>
  <c r="H8" i="12" s="1"/>
  <c r="H13" i="14" s="1"/>
  <c r="I85" i="9"/>
  <c r="I87" i="9" s="1"/>
  <c r="I89" i="9" s="1"/>
  <c r="O27" i="12"/>
  <c r="N25" i="14"/>
  <c r="P14" i="12"/>
  <c r="P14" i="14" s="1"/>
  <c r="J18" i="13"/>
  <c r="J8" i="14"/>
  <c r="J20" i="14" s="1"/>
  <c r="J22" i="14" s="1"/>
  <c r="R71" i="6"/>
  <c r="L12" i="14"/>
  <c r="G13" i="14"/>
  <c r="AS13" i="14" s="1"/>
  <c r="M27" i="14"/>
  <c r="AU25" i="14"/>
  <c r="AU27" i="14" s="1"/>
  <c r="O14" i="14"/>
  <c r="H20" i="14"/>
  <c r="K12" i="14"/>
  <c r="BF12" i="14"/>
  <c r="M12" i="14"/>
  <c r="R12" i="14"/>
  <c r="F12" i="14"/>
  <c r="E12" i="14"/>
  <c r="H12" i="14"/>
  <c r="AT12" i="14" s="1"/>
  <c r="M7" i="13"/>
  <c r="M9" i="13" s="1"/>
  <c r="O7" i="13"/>
  <c r="O9" i="13" s="1"/>
  <c r="N7" i="12"/>
  <c r="N12" i="14" s="1"/>
  <c r="N9" i="13"/>
  <c r="P7" i="13"/>
  <c r="P9" i="13" s="1"/>
  <c r="O7" i="12"/>
  <c r="P12" i="14" s="1"/>
  <c r="AM54" i="9"/>
  <c r="AE12" i="9"/>
  <c r="T11" i="13"/>
  <c r="S10" i="13"/>
  <c r="S7" i="13"/>
  <c r="R9" i="13"/>
  <c r="L63" i="8"/>
  <c r="L72" i="8" s="1"/>
  <c r="K71" i="7"/>
  <c r="K71" i="1" s="1"/>
  <c r="AT71" i="7"/>
  <c r="AT73" i="7" s="1"/>
  <c r="L71" i="5"/>
  <c r="AT71" i="1"/>
  <c r="W74" i="9" l="1"/>
  <c r="X70" i="9" s="1"/>
  <c r="AP112" i="6"/>
  <c r="AP120" i="6"/>
  <c r="AP128" i="6"/>
  <c r="AP111" i="6"/>
  <c r="AP119" i="6"/>
  <c r="AP127" i="6"/>
  <c r="AP108" i="6"/>
  <c r="AP109" i="6"/>
  <c r="AP110" i="6"/>
  <c r="AP129" i="6"/>
  <c r="AP107" i="6"/>
  <c r="AP116" i="6"/>
  <c r="AP125" i="6"/>
  <c r="AP123" i="6"/>
  <c r="AP113" i="6"/>
  <c r="AP115" i="6"/>
  <c r="AP106" i="6"/>
  <c r="AP124" i="6"/>
  <c r="AP114" i="6"/>
  <c r="AP117" i="6"/>
  <c r="AP126" i="6"/>
  <c r="AP121" i="6"/>
  <c r="AP118" i="6"/>
  <c r="AP122" i="6"/>
  <c r="AM12" i="14"/>
  <c r="AP7" i="13"/>
  <c r="AP9" i="13" s="1"/>
  <c r="AN132" i="6"/>
  <c r="AN31" i="9" s="1"/>
  <c r="AN101" i="9" s="1"/>
  <c r="AN104" i="9" s="1"/>
  <c r="AB63" i="9"/>
  <c r="AA74" i="9"/>
  <c r="AB70" i="9" s="1"/>
  <c r="U73" i="9"/>
  <c r="U72" i="9" s="1"/>
  <c r="AL12" i="14"/>
  <c r="AO9" i="13"/>
  <c r="T74" i="9"/>
  <c r="U70" i="9" s="1"/>
  <c r="AE12" i="14"/>
  <c r="BE12" i="14" s="1"/>
  <c r="S4" i="3"/>
  <c r="BT43" i="7"/>
  <c r="BS54" i="7"/>
  <c r="BR18" i="7"/>
  <c r="BW28" i="7"/>
  <c r="BT34" i="7"/>
  <c r="BS41" i="7"/>
  <c r="BT36" i="7"/>
  <c r="BP36" i="7" s="1"/>
  <c r="BP41" i="7" s="1"/>
  <c r="BS9" i="7"/>
  <c r="BS15" i="7"/>
  <c r="BS12" i="7"/>
  <c r="BS13" i="7"/>
  <c r="BS14" i="7"/>
  <c r="BT5" i="7"/>
  <c r="BP5" i="7" s="1"/>
  <c r="BP9" i="7" s="1"/>
  <c r="BS11" i="7"/>
  <c r="BR17" i="7"/>
  <c r="AC65" i="7"/>
  <c r="AC56" i="1"/>
  <c r="BB56" i="7"/>
  <c r="BB65" i="7" s="1"/>
  <c r="AP65" i="7"/>
  <c r="AP56" i="1"/>
  <c r="BH56" i="7"/>
  <c r="BT21" i="7"/>
  <c r="BP21" i="7" s="1"/>
  <c r="BS26" i="7"/>
  <c r="AB73" i="9"/>
  <c r="BB73" i="9" s="1"/>
  <c r="Z104" i="9"/>
  <c r="Z103" i="9"/>
  <c r="BA101" i="9"/>
  <c r="BA103" i="9" s="1"/>
  <c r="AB104" i="9"/>
  <c r="AB103" i="9"/>
  <c r="BB101" i="9"/>
  <c r="BB103" i="9" s="1"/>
  <c r="AP49" i="9"/>
  <c r="AP102" i="9" s="1"/>
  <c r="AM80" i="6"/>
  <c r="AM81" i="6"/>
  <c r="AM82" i="6"/>
  <c r="AM83" i="6"/>
  <c r="AM84" i="6"/>
  <c r="AM85" i="6"/>
  <c r="AM86" i="6"/>
  <c r="AM87" i="6"/>
  <c r="AM88" i="6"/>
  <c r="AM89" i="6"/>
  <c r="AM90" i="6"/>
  <c r="AM91" i="6"/>
  <c r="AM92" i="6"/>
  <c r="AM93" i="6"/>
  <c r="AM94" i="6"/>
  <c r="AM95" i="6"/>
  <c r="AM96" i="6"/>
  <c r="AM97" i="6"/>
  <c r="AM98" i="6"/>
  <c r="AM99" i="6"/>
  <c r="AM100" i="6"/>
  <c r="AM101" i="6"/>
  <c r="AM102" i="6"/>
  <c r="AM103" i="6"/>
  <c r="AM104" i="6"/>
  <c r="AM105" i="6"/>
  <c r="AO80" i="6"/>
  <c r="AO81" i="6"/>
  <c r="AO82" i="6"/>
  <c r="AO83" i="6"/>
  <c r="AO84" i="6"/>
  <c r="AO85" i="6"/>
  <c r="AO86" i="6"/>
  <c r="AO87" i="6"/>
  <c r="AO88" i="6"/>
  <c r="AO89" i="6"/>
  <c r="AO90" i="6"/>
  <c r="AO91" i="6"/>
  <c r="AO92" i="6"/>
  <c r="AO93" i="6"/>
  <c r="AO94" i="6"/>
  <c r="AO95" i="6"/>
  <c r="AO96" i="6"/>
  <c r="AO97" i="6"/>
  <c r="AO98" i="6"/>
  <c r="AO99" i="6"/>
  <c r="AO100" i="6"/>
  <c r="AO101" i="6"/>
  <c r="AO102" i="6"/>
  <c r="AO103" i="6"/>
  <c r="AO104" i="6"/>
  <c r="AO105" i="6"/>
  <c r="BR74" i="9"/>
  <c r="BS73" i="9"/>
  <c r="AO133" i="6"/>
  <c r="AM133" i="6"/>
  <c r="Z73" i="9"/>
  <c r="BA73" i="9" s="1"/>
  <c r="Y74" i="9"/>
  <c r="Z70" i="9" s="1"/>
  <c r="Z63" i="9"/>
  <c r="AS7" i="12"/>
  <c r="BL12" i="14" s="1"/>
  <c r="BY50" i="9"/>
  <c r="BX58" i="9"/>
  <c r="BW96" i="9"/>
  <c r="BW64" i="9"/>
  <c r="AN131" i="6"/>
  <c r="AN6" i="6" s="1"/>
  <c r="BT57" i="9"/>
  <c r="AF12" i="9"/>
  <c r="AE11" i="9"/>
  <c r="BS63" i="9"/>
  <c r="BX53" i="9"/>
  <c r="BW54" i="9"/>
  <c r="AY78" i="11"/>
  <c r="AY97" i="11" s="1"/>
  <c r="BH17" i="9"/>
  <c r="N79" i="9"/>
  <c r="AV79" i="9" s="1"/>
  <c r="AV8" i="9"/>
  <c r="M79" i="9"/>
  <c r="M80" i="9" s="1"/>
  <c r="AU8" i="9"/>
  <c r="AR8" i="9"/>
  <c r="AR9" i="9" s="1"/>
  <c r="AR11" i="9" s="1"/>
  <c r="AJ67" i="11"/>
  <c r="AJ66" i="11"/>
  <c r="BF66" i="11" s="1"/>
  <c r="BN8" i="10"/>
  <c r="BN32" i="10" s="1"/>
  <c r="AP34" i="9"/>
  <c r="AP35" i="9" s="1"/>
  <c r="AP36" i="9" s="1"/>
  <c r="AP37" i="9" s="1"/>
  <c r="AP54" i="9"/>
  <c r="BK7" i="10"/>
  <c r="T3" i="3"/>
  <c r="BK6" i="10"/>
  <c r="Q2" i="3" s="1"/>
  <c r="B13" i="3" s="1"/>
  <c r="T2" i="3"/>
  <c r="L13" i="12"/>
  <c r="AO12" i="14"/>
  <c r="BH12" i="14" s="1"/>
  <c r="AR14" i="14"/>
  <c r="T72" i="9"/>
  <c r="T71" i="9" s="1"/>
  <c r="T22" i="13" s="1"/>
  <c r="AL77" i="9"/>
  <c r="AK65" i="11"/>
  <c r="AO35" i="9"/>
  <c r="AO36" i="9" s="1"/>
  <c r="AJ76" i="11"/>
  <c r="BF76" i="11" s="1"/>
  <c r="AJ68" i="11"/>
  <c r="BF68" i="11" s="1"/>
  <c r="AJ72" i="11"/>
  <c r="BF72" i="11" s="1"/>
  <c r="AJ69" i="11"/>
  <c r="BF69" i="11" s="1"/>
  <c r="AJ73" i="11"/>
  <c r="BF73" i="11" s="1"/>
  <c r="AJ70" i="11"/>
  <c r="BF70" i="11" s="1"/>
  <c r="AJ74" i="11"/>
  <c r="BF74" i="11" s="1"/>
  <c r="AJ71" i="11"/>
  <c r="BF71" i="11" s="1"/>
  <c r="AJ75" i="11"/>
  <c r="BF75" i="11" s="1"/>
  <c r="AB72" i="9"/>
  <c r="AC70" i="9"/>
  <c r="W72" i="9"/>
  <c r="S72" i="9"/>
  <c r="W70" i="9"/>
  <c r="V72" i="9"/>
  <c r="V71" i="9" s="1"/>
  <c r="V22" i="13" s="1"/>
  <c r="S70" i="9"/>
  <c r="R72" i="9"/>
  <c r="R71" i="9" s="1"/>
  <c r="X72" i="9"/>
  <c r="V76" i="11"/>
  <c r="V69" i="11"/>
  <c r="V73" i="11"/>
  <c r="V66" i="11"/>
  <c r="V70" i="11"/>
  <c r="V74" i="11"/>
  <c r="V68" i="11"/>
  <c r="V72" i="11"/>
  <c r="V67" i="11"/>
  <c r="V71" i="11"/>
  <c r="V75" i="11"/>
  <c r="AT8" i="14"/>
  <c r="S71" i="6"/>
  <c r="J85" i="9"/>
  <c r="J87" i="9" s="1"/>
  <c r="J89" i="9" s="1"/>
  <c r="I92" i="9"/>
  <c r="I8" i="12" s="1"/>
  <c r="I13" i="14" s="1"/>
  <c r="R14" i="12"/>
  <c r="AT20" i="14"/>
  <c r="AT22" i="14" s="1"/>
  <c r="H22" i="14"/>
  <c r="N27" i="14"/>
  <c r="K8" i="14"/>
  <c r="K18" i="13"/>
  <c r="AV14" i="14"/>
  <c r="P27" i="12"/>
  <c r="O25" i="14"/>
  <c r="O27" i="14" s="1"/>
  <c r="AU12" i="14"/>
  <c r="AS12" i="14"/>
  <c r="O12" i="14"/>
  <c r="AV12" i="14" s="1"/>
  <c r="T7" i="13"/>
  <c r="S7" i="12"/>
  <c r="AL16" i="9"/>
  <c r="AL17" i="9" s="1"/>
  <c r="AL30" i="9" s="1"/>
  <c r="AK18" i="9"/>
  <c r="U11" i="13"/>
  <c r="T10" i="13"/>
  <c r="T7" i="12" s="1"/>
  <c r="S9" i="13"/>
  <c r="M63" i="8"/>
  <c r="M72" i="8" s="1"/>
  <c r="L71" i="7"/>
  <c r="L71" i="1" s="1"/>
  <c r="M71" i="5"/>
  <c r="X71" i="9" l="1"/>
  <c r="X22" i="13" s="1"/>
  <c r="BG12" i="14"/>
  <c r="N80" i="9"/>
  <c r="AB71" i="9"/>
  <c r="AA72" i="9"/>
  <c r="AA71" i="9" s="1"/>
  <c r="AL108" i="6"/>
  <c r="AL116" i="6"/>
  <c r="AL124" i="6"/>
  <c r="AL107" i="6"/>
  <c r="AL115" i="6"/>
  <c r="AL123" i="6"/>
  <c r="AL120" i="6"/>
  <c r="AL121" i="6"/>
  <c r="AL122" i="6"/>
  <c r="AL109" i="6"/>
  <c r="AL110" i="6"/>
  <c r="AL111" i="6"/>
  <c r="AL106" i="6"/>
  <c r="AL119" i="6"/>
  <c r="AL128" i="6"/>
  <c r="AL117" i="6"/>
  <c r="AL114" i="6"/>
  <c r="AL127" i="6"/>
  <c r="AL118" i="6"/>
  <c r="AL113" i="6"/>
  <c r="AL112" i="6"/>
  <c r="AL126" i="6"/>
  <c r="AL129" i="6"/>
  <c r="AL125" i="6"/>
  <c r="AZ73" i="9"/>
  <c r="AM132" i="6"/>
  <c r="AO132" i="6"/>
  <c r="AO31" i="9" s="1"/>
  <c r="AO101" i="9" s="1"/>
  <c r="U71" i="9"/>
  <c r="U22" i="13" s="1"/>
  <c r="T4" i="3"/>
  <c r="Z72" i="9"/>
  <c r="Z71" i="9" s="1"/>
  <c r="AX73" i="9"/>
  <c r="BS17" i="7"/>
  <c r="BW5" i="7"/>
  <c r="BT13" i="7"/>
  <c r="BT15" i="7"/>
  <c r="BP15" i="7" s="1"/>
  <c r="BT11" i="7"/>
  <c r="BP11" i="7" s="1"/>
  <c r="BT12" i="7"/>
  <c r="BP12" i="7" s="1"/>
  <c r="BT14" i="7"/>
  <c r="BP14" i="7" s="1"/>
  <c r="BT9" i="7"/>
  <c r="BW34" i="7"/>
  <c r="BX28" i="7"/>
  <c r="BS18" i="7"/>
  <c r="BT41" i="7"/>
  <c r="BW36" i="7"/>
  <c r="BT54" i="7"/>
  <c r="BW43" i="7"/>
  <c r="BP43" i="7"/>
  <c r="BP54" i="7" s="1"/>
  <c r="BH65" i="7"/>
  <c r="BK56" i="7"/>
  <c r="AX56" i="1"/>
  <c r="BB56" i="1"/>
  <c r="BP26" i="7"/>
  <c r="BW21" i="7"/>
  <c r="BT26" i="7"/>
  <c r="BD56" i="1"/>
  <c r="BH56" i="1"/>
  <c r="AL49" i="9"/>
  <c r="AL102" i="9" s="1"/>
  <c r="AP80" i="6"/>
  <c r="AP81" i="6"/>
  <c r="BH81" i="6" s="1"/>
  <c r="AP82" i="6"/>
  <c r="BH82" i="6" s="1"/>
  <c r="AP83" i="6"/>
  <c r="BH83" i="6" s="1"/>
  <c r="AP84" i="6"/>
  <c r="BH84" i="6" s="1"/>
  <c r="AP85" i="6"/>
  <c r="BH85" i="6" s="1"/>
  <c r="AP86" i="6"/>
  <c r="BH86" i="6" s="1"/>
  <c r="AP87" i="6"/>
  <c r="BH87" i="6" s="1"/>
  <c r="AP88" i="6"/>
  <c r="BH88" i="6" s="1"/>
  <c r="AP89" i="6"/>
  <c r="BH89" i="6" s="1"/>
  <c r="AP90" i="6"/>
  <c r="BH90" i="6" s="1"/>
  <c r="AP91" i="6"/>
  <c r="BH91" i="6" s="1"/>
  <c r="AP92" i="6"/>
  <c r="BH92" i="6" s="1"/>
  <c r="AP93" i="6"/>
  <c r="BH93" i="6" s="1"/>
  <c r="AP94" i="6"/>
  <c r="BH94" i="6" s="1"/>
  <c r="AP95" i="6"/>
  <c r="BH95" i="6" s="1"/>
  <c r="AP96" i="6"/>
  <c r="BH96" i="6" s="1"/>
  <c r="AP97" i="6"/>
  <c r="BH97" i="6" s="1"/>
  <c r="AP98" i="6"/>
  <c r="BH98" i="6" s="1"/>
  <c r="AP99" i="6"/>
  <c r="BH99" i="6" s="1"/>
  <c r="AP100" i="6"/>
  <c r="BH100" i="6" s="1"/>
  <c r="AP101" i="6"/>
  <c r="BH101" i="6" s="1"/>
  <c r="AP102" i="6"/>
  <c r="BH102" i="6" s="1"/>
  <c r="AP103" i="6"/>
  <c r="BH103" i="6" s="1"/>
  <c r="AP104" i="6"/>
  <c r="BH104" i="6" s="1"/>
  <c r="AP105" i="6"/>
  <c r="BH105" i="6" s="1"/>
  <c r="BS74" i="9"/>
  <c r="BT73" i="9"/>
  <c r="BP73" i="9" s="1"/>
  <c r="AP133" i="6"/>
  <c r="Y72" i="9"/>
  <c r="Y71" i="9" s="1"/>
  <c r="Y22" i="13" s="1"/>
  <c r="AN103" i="9"/>
  <c r="AO131" i="6"/>
  <c r="AO6" i="6" s="1"/>
  <c r="AO6" i="1" s="1"/>
  <c r="AO9" i="1" s="1"/>
  <c r="AN36" i="9"/>
  <c r="BZ50" i="9"/>
  <c r="BZ58" i="9" s="1"/>
  <c r="BY58" i="9"/>
  <c r="AN9" i="6"/>
  <c r="AN6" i="1"/>
  <c r="BX96" i="9"/>
  <c r="BX64" i="9"/>
  <c r="AM131" i="6"/>
  <c r="AM6" i="6" s="1"/>
  <c r="AM31" i="9"/>
  <c r="AM101" i="9" s="1"/>
  <c r="BY53" i="9"/>
  <c r="BX54" i="9"/>
  <c r="AG12" i="9"/>
  <c r="AF11" i="9"/>
  <c r="BT63" i="9"/>
  <c r="N22" i="13"/>
  <c r="R22" i="13"/>
  <c r="BH102" i="9"/>
  <c r="AK67" i="11"/>
  <c r="AK66" i="11"/>
  <c r="AU79" i="9"/>
  <c r="AR79" i="9"/>
  <c r="AR80" i="9" s="1"/>
  <c r="M22" i="13"/>
  <c r="AT7" i="12"/>
  <c r="BM12" i="14" s="1"/>
  <c r="BF67" i="11"/>
  <c r="BF78" i="11" s="1"/>
  <c r="BF79" i="11" s="1"/>
  <c r="Q3" i="3"/>
  <c r="C13" i="3" s="1"/>
  <c r="BQ7" i="10"/>
  <c r="U2" i="3"/>
  <c r="U3" i="3"/>
  <c r="BO8" i="10"/>
  <c r="BO32" i="10" s="1"/>
  <c r="BD12" i="14"/>
  <c r="M13" i="12"/>
  <c r="AO37" i="9"/>
  <c r="AO38" i="9" s="1"/>
  <c r="AO39" i="9" s="1"/>
  <c r="BQ6" i="10"/>
  <c r="BK8" i="10"/>
  <c r="Q4" i="3" s="1"/>
  <c r="D13" i="3" s="1"/>
  <c r="AK76" i="11"/>
  <c r="AK68" i="11"/>
  <c r="AK73" i="11"/>
  <c r="AK75" i="11"/>
  <c r="AK69" i="11"/>
  <c r="AK70" i="11"/>
  <c r="AK71" i="11"/>
  <c r="AK72" i="11"/>
  <c r="AK74" i="11"/>
  <c r="AL34" i="9"/>
  <c r="AM35" i="9"/>
  <c r="AM77" i="9"/>
  <c r="AL65" i="11"/>
  <c r="AP38" i="9"/>
  <c r="AP39" i="9" s="1"/>
  <c r="S71" i="9"/>
  <c r="S22" i="13" s="1"/>
  <c r="W71" i="9"/>
  <c r="W22" i="13" s="1"/>
  <c r="W76" i="11"/>
  <c r="AZ76" i="11" s="1"/>
  <c r="W67" i="11"/>
  <c r="AZ67" i="11" s="1"/>
  <c r="W71" i="11"/>
  <c r="AZ71" i="11" s="1"/>
  <c r="W75" i="11"/>
  <c r="AZ75" i="11" s="1"/>
  <c r="W68" i="11"/>
  <c r="AZ68" i="11" s="1"/>
  <c r="W72" i="11"/>
  <c r="AZ72" i="11" s="1"/>
  <c r="W69" i="11"/>
  <c r="AZ69" i="11" s="1"/>
  <c r="AZ65" i="11" s="1"/>
  <c r="W66" i="11"/>
  <c r="AZ66" i="11" s="1"/>
  <c r="W70" i="11"/>
  <c r="AZ70" i="11" s="1"/>
  <c r="W74" i="11"/>
  <c r="AZ74" i="11" s="1"/>
  <c r="W73" i="11"/>
  <c r="AZ73" i="11" s="1"/>
  <c r="S14" i="12"/>
  <c r="S14" i="14" s="1"/>
  <c r="K20" i="14"/>
  <c r="R14" i="14"/>
  <c r="T71" i="6"/>
  <c r="AY71" i="6" s="1"/>
  <c r="AY73" i="6" s="1"/>
  <c r="J92" i="9"/>
  <c r="J8" i="12" s="1"/>
  <c r="J13" i="14" s="1"/>
  <c r="AT13" i="14" s="1"/>
  <c r="K85" i="9"/>
  <c r="K87" i="9" s="1"/>
  <c r="K89" i="9" s="1"/>
  <c r="P25" i="14"/>
  <c r="R27" i="12"/>
  <c r="L8" i="14"/>
  <c r="L20" i="14" s="1"/>
  <c r="L22" i="14" s="1"/>
  <c r="L18" i="13"/>
  <c r="AR12" i="14"/>
  <c r="T12" i="14"/>
  <c r="S12" i="14"/>
  <c r="AL54" i="9"/>
  <c r="V11" i="13"/>
  <c r="U10" i="13"/>
  <c r="U7" i="13"/>
  <c r="T9" i="13"/>
  <c r="N63" i="8"/>
  <c r="N72" i="8" s="1"/>
  <c r="M71" i="7"/>
  <c r="AU71" i="7" s="1"/>
  <c r="AU73" i="7" s="1"/>
  <c r="AU71" i="5"/>
  <c r="N71" i="5"/>
  <c r="BP18" i="7" l="1"/>
  <c r="BH80" i="6"/>
  <c r="AP132" i="6"/>
  <c r="BK32" i="10"/>
  <c r="BW54" i="7"/>
  <c r="BX43" i="7"/>
  <c r="BW41" i="7"/>
  <c r="BX36" i="7"/>
  <c r="BX34" i="7"/>
  <c r="BY28" i="7"/>
  <c r="BX5" i="7"/>
  <c r="BW12" i="7"/>
  <c r="BW15" i="7"/>
  <c r="BW14" i="7"/>
  <c r="BW11" i="7"/>
  <c r="BW13" i="7"/>
  <c r="BW9" i="7"/>
  <c r="BT18" i="7"/>
  <c r="BT17" i="7"/>
  <c r="BP13" i="7"/>
  <c r="BP17" i="7" s="1"/>
  <c r="BX21" i="7"/>
  <c r="BW26" i="7"/>
  <c r="BK65" i="7"/>
  <c r="BL56" i="7"/>
  <c r="AL80" i="6"/>
  <c r="AL81" i="6"/>
  <c r="AL82" i="6"/>
  <c r="AL83" i="6"/>
  <c r="AL84" i="6"/>
  <c r="AL85" i="6"/>
  <c r="AL86" i="6"/>
  <c r="AL87" i="6"/>
  <c r="AL88" i="6"/>
  <c r="AL89" i="6"/>
  <c r="AL90" i="6"/>
  <c r="AL91" i="6"/>
  <c r="AL92" i="6"/>
  <c r="AL93" i="6"/>
  <c r="AL94" i="6"/>
  <c r="AL95" i="6"/>
  <c r="AL96" i="6"/>
  <c r="AL97" i="6"/>
  <c r="AL98" i="6"/>
  <c r="AL99" i="6"/>
  <c r="AL100" i="6"/>
  <c r="AL101" i="6"/>
  <c r="AL102" i="6"/>
  <c r="AL103" i="6"/>
  <c r="AL104" i="6"/>
  <c r="AL105" i="6"/>
  <c r="AL133" i="6"/>
  <c r="AM103" i="9"/>
  <c r="AM104" i="9"/>
  <c r="AO103" i="9"/>
  <c r="AO104" i="9"/>
  <c r="BA71" i="9"/>
  <c r="AO9" i="6"/>
  <c r="BH131" i="6"/>
  <c r="AP31" i="9"/>
  <c r="AP101" i="9" s="1"/>
  <c r="AP131" i="6"/>
  <c r="AP6" i="6" s="1"/>
  <c r="AP6" i="1" s="1"/>
  <c r="AM9" i="6"/>
  <c r="AM6" i="1"/>
  <c r="AM9" i="1" s="1"/>
  <c r="AN9" i="1"/>
  <c r="BZ96" i="9"/>
  <c r="BZ64" i="9"/>
  <c r="BY64" i="9"/>
  <c r="BY96" i="9"/>
  <c r="BZ53" i="9"/>
  <c r="BZ54" i="9" s="1"/>
  <c r="BY54" i="9"/>
  <c r="BW57" i="9"/>
  <c r="AH12" i="9"/>
  <c r="AG11" i="9"/>
  <c r="AY71" i="9"/>
  <c r="AR90" i="9"/>
  <c r="AZ71" i="9"/>
  <c r="AZ78" i="11"/>
  <c r="AZ79" i="11" s="1"/>
  <c r="BF65" i="11"/>
  <c r="AL66" i="11"/>
  <c r="AL67" i="11"/>
  <c r="BT8" i="10"/>
  <c r="AW7" i="12" s="1"/>
  <c r="BU8" i="10"/>
  <c r="W3" i="3"/>
  <c r="N13" i="12"/>
  <c r="AU7" i="12"/>
  <c r="BN12" i="14" s="1"/>
  <c r="BJ12" i="14" s="1"/>
  <c r="U4" i="3"/>
  <c r="W2" i="3"/>
  <c r="BP6" i="10"/>
  <c r="BP28" i="10"/>
  <c r="BP29" i="10"/>
  <c r="BP8" i="10"/>
  <c r="BQ8" i="10"/>
  <c r="BP7" i="10"/>
  <c r="AN77" i="9"/>
  <c r="AM65" i="11"/>
  <c r="AL76" i="11"/>
  <c r="AL69" i="11"/>
  <c r="AL73" i="11"/>
  <c r="AL70" i="11"/>
  <c r="AL74" i="11"/>
  <c r="AL71" i="11"/>
  <c r="AL75" i="11"/>
  <c r="AL68" i="11"/>
  <c r="AL72" i="11"/>
  <c r="X76" i="11"/>
  <c r="X68" i="11"/>
  <c r="X69" i="11"/>
  <c r="X74" i="11"/>
  <c r="X70" i="11"/>
  <c r="X73" i="11"/>
  <c r="X71" i="11"/>
  <c r="X75" i="11"/>
  <c r="X72" i="11"/>
  <c r="V78" i="11"/>
  <c r="V79" i="11" s="1"/>
  <c r="P27" i="14"/>
  <c r="AR25" i="14"/>
  <c r="AR27" i="14" s="1"/>
  <c r="AH78" i="11"/>
  <c r="AB78" i="11"/>
  <c r="W78" i="11"/>
  <c r="AI78" i="11"/>
  <c r="AV25" i="14"/>
  <c r="AV27" i="14" s="1"/>
  <c r="S27" i="12"/>
  <c r="R25" i="14"/>
  <c r="U78" i="11"/>
  <c r="U81" i="9" s="1"/>
  <c r="T14" i="12"/>
  <c r="T14" i="14" s="1"/>
  <c r="H78" i="11"/>
  <c r="H81" i="9" s="1"/>
  <c r="T78" i="11"/>
  <c r="AK78" i="11"/>
  <c r="N78" i="11"/>
  <c r="AF78" i="11"/>
  <c r="L85" i="9"/>
  <c r="L87" i="9" s="1"/>
  <c r="L89" i="9" s="1"/>
  <c r="K92" i="9"/>
  <c r="K8" i="12" s="1"/>
  <c r="K13" i="14" s="1"/>
  <c r="K22" i="14"/>
  <c r="AG78" i="11"/>
  <c r="AC78" i="11"/>
  <c r="S78" i="11"/>
  <c r="AJ78" i="11"/>
  <c r="AJ79" i="11" s="1"/>
  <c r="AE78" i="11"/>
  <c r="U71" i="6"/>
  <c r="AY12" i="14"/>
  <c r="V7" i="13"/>
  <c r="U7" i="12"/>
  <c r="M71" i="1"/>
  <c r="AJ18" i="9"/>
  <c r="AK16" i="9"/>
  <c r="AK17" i="9" s="1"/>
  <c r="AK30" i="9" s="1"/>
  <c r="W11" i="13"/>
  <c r="W10" i="13" s="1"/>
  <c r="V10" i="13"/>
  <c r="U9" i="13"/>
  <c r="O63" i="8"/>
  <c r="O72" i="8" s="1"/>
  <c r="N71" i="7"/>
  <c r="N71" i="1" s="1"/>
  <c r="O71" i="5"/>
  <c r="AP172" i="5"/>
  <c r="AP45" i="5" s="1"/>
  <c r="AP45" i="1" s="1"/>
  <c r="AO172" i="5"/>
  <c r="AO45" i="5" s="1"/>
  <c r="AO45" i="1" s="1"/>
  <c r="AN172" i="5"/>
  <c r="AN45" i="5" s="1"/>
  <c r="AM172" i="5"/>
  <c r="AM45" i="5" s="1"/>
  <c r="AM45" i="1" s="1"/>
  <c r="AL172" i="5"/>
  <c r="AL45" i="5" s="1"/>
  <c r="AL45" i="1" s="1"/>
  <c r="AK172" i="5"/>
  <c r="AK45" i="5" s="1"/>
  <c r="AJ172" i="5"/>
  <c r="AJ45" i="5" s="1"/>
  <c r="AJ45" i="1" s="1"/>
  <c r="AI172" i="5"/>
  <c r="AI45" i="5" s="1"/>
  <c r="AI45" i="1" s="1"/>
  <c r="AG172" i="5"/>
  <c r="AG45" i="5" s="1"/>
  <c r="AG45" i="1" s="1"/>
  <c r="AF172" i="5"/>
  <c r="AF45" i="5" s="1"/>
  <c r="AF45" i="1" s="1"/>
  <c r="AE172" i="5"/>
  <c r="AE45" i="5" s="1"/>
  <c r="AC172" i="5"/>
  <c r="AC45" i="5" s="1"/>
  <c r="AC45" i="1" s="1"/>
  <c r="AB172" i="5"/>
  <c r="AB45" i="5" s="1"/>
  <c r="AB45" i="1" s="1"/>
  <c r="AA172" i="5"/>
  <c r="AA45" i="5" s="1"/>
  <c r="Z172" i="5"/>
  <c r="Z45" i="5" s="1"/>
  <c r="Z45" i="1" s="1"/>
  <c r="Y172" i="5"/>
  <c r="Y45" i="5" s="1"/>
  <c r="Y45" i="1" s="1"/>
  <c r="X172" i="5"/>
  <c r="X45" i="5" s="1"/>
  <c r="W172" i="5"/>
  <c r="W45" i="5" s="1"/>
  <c r="W45" i="1" s="1"/>
  <c r="V172" i="5"/>
  <c r="V45" i="5" s="1"/>
  <c r="V45" i="1" s="1"/>
  <c r="U172" i="5"/>
  <c r="U45" i="5" s="1"/>
  <c r="T172" i="5"/>
  <c r="T45" i="5" s="1"/>
  <c r="T45" i="1" s="1"/>
  <c r="S172" i="5"/>
  <c r="S45" i="5" s="1"/>
  <c r="S45" i="1" s="1"/>
  <c r="R172" i="5"/>
  <c r="R45" i="5" s="1"/>
  <c r="P172" i="5"/>
  <c r="P45" i="5" s="1"/>
  <c r="P45" i="1" s="1"/>
  <c r="O172" i="5"/>
  <c r="O45" i="5" s="1"/>
  <c r="O45" i="1" s="1"/>
  <c r="N172" i="5"/>
  <c r="N45" i="5" s="1"/>
  <c r="L172" i="5"/>
  <c r="L45" i="5" s="1"/>
  <c r="L45" i="1" s="1"/>
  <c r="K172" i="5"/>
  <c r="K45" i="5" s="1"/>
  <c r="J172" i="5"/>
  <c r="J45" i="5" s="1"/>
  <c r="J45" i="1" s="1"/>
  <c r="I172" i="5"/>
  <c r="I45" i="5" s="1"/>
  <c r="I45" i="1" s="1"/>
  <c r="H172" i="5"/>
  <c r="H45" i="5" s="1"/>
  <c r="G172" i="5"/>
  <c r="G45" i="5" s="1"/>
  <c r="G45" i="1" s="1"/>
  <c r="F172" i="5"/>
  <c r="F45" i="5" s="1"/>
  <c r="F45" i="1" s="1"/>
  <c r="AP178" i="5"/>
  <c r="AP51" i="5" s="1"/>
  <c r="AP51" i="1" s="1"/>
  <c r="AO178" i="5"/>
  <c r="AO51" i="5" s="1"/>
  <c r="AO51" i="1" s="1"/>
  <c r="AN178" i="5"/>
  <c r="AN51" i="5" s="1"/>
  <c r="AM178" i="5"/>
  <c r="AM51" i="5" s="1"/>
  <c r="AM51" i="1" s="1"/>
  <c r="AL178" i="5"/>
  <c r="AL51" i="5" s="1"/>
  <c r="AL51" i="1" s="1"/>
  <c r="AK178" i="5"/>
  <c r="AK51" i="5" s="1"/>
  <c r="AJ178" i="5"/>
  <c r="AJ51" i="5" s="1"/>
  <c r="AJ51" i="1" s="1"/>
  <c r="AI178" i="5"/>
  <c r="AI51" i="5" s="1"/>
  <c r="AI51" i="1" s="1"/>
  <c r="AH178" i="5"/>
  <c r="AH51" i="5" s="1"/>
  <c r="AG178" i="5"/>
  <c r="AG51" i="5" s="1"/>
  <c r="AG51" i="1" s="1"/>
  <c r="AF178" i="5"/>
  <c r="AF51" i="5" s="1"/>
  <c r="AF51" i="1" s="1"/>
  <c r="AE178" i="5"/>
  <c r="AE51" i="5" s="1"/>
  <c r="AC178" i="5"/>
  <c r="AC51" i="5" s="1"/>
  <c r="AC51" i="1" s="1"/>
  <c r="AB178" i="5"/>
  <c r="AB51" i="5" s="1"/>
  <c r="AB51" i="1" s="1"/>
  <c r="AA178" i="5"/>
  <c r="AA51" i="5" s="1"/>
  <c r="Z178" i="5"/>
  <c r="Z51" i="5" s="1"/>
  <c r="Z51" i="1" s="1"/>
  <c r="Y178" i="5"/>
  <c r="Y51" i="5" s="1"/>
  <c r="Y51" i="1" s="1"/>
  <c r="X178" i="5"/>
  <c r="X51" i="5" s="1"/>
  <c r="W178" i="5"/>
  <c r="W51" i="5" s="1"/>
  <c r="W51" i="1" s="1"/>
  <c r="V178" i="5"/>
  <c r="V51" i="5" s="1"/>
  <c r="V51" i="1" s="1"/>
  <c r="U178" i="5"/>
  <c r="U51" i="5" s="1"/>
  <c r="T178" i="5"/>
  <c r="T51" i="5" s="1"/>
  <c r="T51" i="1" s="1"/>
  <c r="S178" i="5"/>
  <c r="S51" i="5" s="1"/>
  <c r="S51" i="1" s="1"/>
  <c r="R178" i="5"/>
  <c r="R51" i="5" s="1"/>
  <c r="P178" i="5"/>
  <c r="P51" i="5" s="1"/>
  <c r="P51" i="1" s="1"/>
  <c r="O178" i="5"/>
  <c r="O51" i="5" s="1"/>
  <c r="O51" i="1" s="1"/>
  <c r="N178" i="5"/>
  <c r="N51" i="5" s="1"/>
  <c r="M178" i="5"/>
  <c r="M51" i="5" s="1"/>
  <c r="M51" i="1" s="1"/>
  <c r="L178" i="5"/>
  <c r="L51" i="5" s="1"/>
  <c r="L51" i="1" s="1"/>
  <c r="K178" i="5"/>
  <c r="K51" i="5" s="1"/>
  <c r="J178" i="5"/>
  <c r="J51" i="5" s="1"/>
  <c r="J51" i="1" s="1"/>
  <c r="I178" i="5"/>
  <c r="I51" i="5" s="1"/>
  <c r="I51" i="1" s="1"/>
  <c r="H178" i="5"/>
  <c r="H51" i="5" s="1"/>
  <c r="G178" i="5"/>
  <c r="G51" i="5" s="1"/>
  <c r="G51" i="1" s="1"/>
  <c r="F178" i="5"/>
  <c r="F51" i="5" s="1"/>
  <c r="F51" i="1" s="1"/>
  <c r="E178" i="5"/>
  <c r="E51" i="5" s="1"/>
  <c r="AP143" i="5"/>
  <c r="AP44" i="5" s="1"/>
  <c r="AP44" i="1" s="1"/>
  <c r="AO143" i="5"/>
  <c r="AO44" i="5" s="1"/>
  <c r="AO44" i="1" s="1"/>
  <c r="AN143" i="5"/>
  <c r="AN44" i="5" s="1"/>
  <c r="AM143" i="5"/>
  <c r="AM44" i="5" s="1"/>
  <c r="AM44" i="1" s="1"/>
  <c r="AL143" i="5"/>
  <c r="AL44" i="5" s="1"/>
  <c r="AL44" i="1" s="1"/>
  <c r="AK143" i="5"/>
  <c r="AK44" i="5" s="1"/>
  <c r="AJ143" i="5"/>
  <c r="AJ44" i="5" s="1"/>
  <c r="AJ44" i="1" s="1"/>
  <c r="AI143" i="5"/>
  <c r="AI44" i="5" s="1"/>
  <c r="AI44" i="1" s="1"/>
  <c r="AH143" i="5"/>
  <c r="AH44" i="5" s="1"/>
  <c r="AG143" i="5"/>
  <c r="AG44" i="5" s="1"/>
  <c r="AG44" i="1" s="1"/>
  <c r="AF143" i="5"/>
  <c r="AF44" i="5" s="1"/>
  <c r="AF44" i="1" s="1"/>
  <c r="AE143" i="5"/>
  <c r="AE44" i="5" s="1"/>
  <c r="AC143" i="5"/>
  <c r="AC44" i="5" s="1"/>
  <c r="AC44" i="1" s="1"/>
  <c r="AB143" i="5"/>
  <c r="AB44" i="5" s="1"/>
  <c r="AB44" i="1" s="1"/>
  <c r="AA143" i="5"/>
  <c r="AA44" i="5" s="1"/>
  <c r="Z143" i="5"/>
  <c r="Z44" i="5" s="1"/>
  <c r="Z44" i="1" s="1"/>
  <c r="Y143" i="5"/>
  <c r="Y44" i="5" s="1"/>
  <c r="Y44" i="1" s="1"/>
  <c r="X143" i="5"/>
  <c r="X44" i="5" s="1"/>
  <c r="W143" i="5"/>
  <c r="W44" i="5" s="1"/>
  <c r="W44" i="1" s="1"/>
  <c r="V143" i="5"/>
  <c r="V44" i="5" s="1"/>
  <c r="V44" i="1" s="1"/>
  <c r="U143" i="5"/>
  <c r="U44" i="5" s="1"/>
  <c r="T143" i="5"/>
  <c r="T44" i="5" s="1"/>
  <c r="T44" i="1" s="1"/>
  <c r="S143" i="5"/>
  <c r="S44" i="5" s="1"/>
  <c r="S44" i="1" s="1"/>
  <c r="R143" i="5"/>
  <c r="R44" i="5" s="1"/>
  <c r="P143" i="5"/>
  <c r="P44" i="5" s="1"/>
  <c r="P44" i="1" s="1"/>
  <c r="O143" i="5"/>
  <c r="O44" i="5" s="1"/>
  <c r="O44" i="1" s="1"/>
  <c r="N143" i="5"/>
  <c r="N44" i="5" s="1"/>
  <c r="M143" i="5"/>
  <c r="M44" i="5" s="1"/>
  <c r="M44" i="1" s="1"/>
  <c r="L143" i="5"/>
  <c r="L44" i="5" s="1"/>
  <c r="L44" i="1" s="1"/>
  <c r="K143" i="5"/>
  <c r="K44" i="5" s="1"/>
  <c r="J143" i="5"/>
  <c r="J44" i="5" s="1"/>
  <c r="J44" i="1" s="1"/>
  <c r="I143" i="5"/>
  <c r="I44" i="5" s="1"/>
  <c r="I44" i="1" s="1"/>
  <c r="H143" i="5"/>
  <c r="H44" i="5" s="1"/>
  <c r="G143" i="5"/>
  <c r="G44" i="5" s="1"/>
  <c r="G44" i="1" s="1"/>
  <c r="F143" i="5"/>
  <c r="F44" i="5" s="1"/>
  <c r="F44" i="1" s="1"/>
  <c r="E143" i="5"/>
  <c r="E44" i="5" s="1"/>
  <c r="AP131" i="5"/>
  <c r="AP43" i="5" s="1"/>
  <c r="AO131" i="5"/>
  <c r="AO43" i="5" s="1"/>
  <c r="AN131" i="5"/>
  <c r="AN43" i="5" s="1"/>
  <c r="AM131" i="5"/>
  <c r="AM43" i="5" s="1"/>
  <c r="AL131" i="5"/>
  <c r="AL43" i="5" s="1"/>
  <c r="AK131" i="5"/>
  <c r="AK43" i="5" s="1"/>
  <c r="AJ131" i="5"/>
  <c r="AJ43" i="5" s="1"/>
  <c r="AI131" i="5"/>
  <c r="AI43" i="5" s="1"/>
  <c r="AH131" i="5"/>
  <c r="AH43" i="5" s="1"/>
  <c r="AG131" i="5"/>
  <c r="AG43" i="5" s="1"/>
  <c r="AF131" i="5"/>
  <c r="AF43" i="5" s="1"/>
  <c r="AE131" i="5"/>
  <c r="AE43" i="5" s="1"/>
  <c r="AC131" i="5"/>
  <c r="AC43" i="5" s="1"/>
  <c r="AC43" i="1" s="1"/>
  <c r="AB131" i="5"/>
  <c r="AB43" i="5" s="1"/>
  <c r="AB43" i="1" s="1"/>
  <c r="AA131" i="5"/>
  <c r="AA43" i="5" s="1"/>
  <c r="Z131" i="5"/>
  <c r="Z43" i="5" s="1"/>
  <c r="Z43" i="1" s="1"/>
  <c r="Y131" i="5"/>
  <c r="Y43" i="5" s="1"/>
  <c r="Y43" i="1" s="1"/>
  <c r="X131" i="5"/>
  <c r="X43" i="5" s="1"/>
  <c r="W131" i="5"/>
  <c r="W43" i="5" s="1"/>
  <c r="W43" i="1" s="1"/>
  <c r="V131" i="5"/>
  <c r="V43" i="5" s="1"/>
  <c r="V43" i="1" s="1"/>
  <c r="U131" i="5"/>
  <c r="U43" i="5" s="1"/>
  <c r="T131" i="5"/>
  <c r="T43" i="5" s="1"/>
  <c r="T43" i="1" s="1"/>
  <c r="S131" i="5"/>
  <c r="S43" i="5" s="1"/>
  <c r="S43" i="1" s="1"/>
  <c r="R131" i="5"/>
  <c r="R43" i="5" s="1"/>
  <c r="P131" i="5"/>
  <c r="P43" i="5" s="1"/>
  <c r="P43" i="1" s="1"/>
  <c r="O131" i="5"/>
  <c r="O43" i="5" s="1"/>
  <c r="O43" i="1" s="1"/>
  <c r="N131" i="5"/>
  <c r="N43" i="5" s="1"/>
  <c r="M131" i="5"/>
  <c r="M43" i="5" s="1"/>
  <c r="M43" i="1" s="1"/>
  <c r="L131" i="5"/>
  <c r="L43" i="5" s="1"/>
  <c r="L43" i="1" s="1"/>
  <c r="K131" i="5"/>
  <c r="K43" i="5" s="1"/>
  <c r="J131" i="5"/>
  <c r="J43" i="5" s="1"/>
  <c r="J43" i="1" s="1"/>
  <c r="I131" i="5"/>
  <c r="I43" i="5" s="1"/>
  <c r="I43" i="1" s="1"/>
  <c r="H131" i="5"/>
  <c r="H43" i="5" s="1"/>
  <c r="G131" i="5"/>
  <c r="G43" i="5" s="1"/>
  <c r="G43" i="1" s="1"/>
  <c r="F131" i="5"/>
  <c r="F43" i="5" s="1"/>
  <c r="F43" i="1" s="1"/>
  <c r="E131" i="5"/>
  <c r="E43" i="5" s="1"/>
  <c r="AK111" i="6" l="1"/>
  <c r="AK119" i="6"/>
  <c r="AK127" i="6"/>
  <c r="AK110" i="6"/>
  <c r="AK118" i="6"/>
  <c r="AK126" i="6"/>
  <c r="AK123" i="6"/>
  <c r="AK124" i="6"/>
  <c r="AK125" i="6"/>
  <c r="AK112" i="6"/>
  <c r="AK113" i="6"/>
  <c r="AK114" i="6"/>
  <c r="AK108" i="6"/>
  <c r="AK122" i="6"/>
  <c r="AK117" i="6"/>
  <c r="AK109" i="6"/>
  <c r="AK121" i="6"/>
  <c r="AK116" i="6"/>
  <c r="AK107" i="6"/>
  <c r="AK120" i="6"/>
  <c r="AK106" i="6"/>
  <c r="AK115" i="6"/>
  <c r="AK128" i="6"/>
  <c r="AK129" i="6"/>
  <c r="AL132" i="6"/>
  <c r="AL31" i="9" s="1"/>
  <c r="AL101" i="9" s="1"/>
  <c r="BQ32" i="10"/>
  <c r="BP32" i="10"/>
  <c r="BW17" i="7"/>
  <c r="BW18" i="7"/>
  <c r="BZ28" i="7"/>
  <c r="BY34" i="7"/>
  <c r="BX54" i="7"/>
  <c r="BY43" i="7"/>
  <c r="BY5" i="7"/>
  <c r="BX12" i="7"/>
  <c r="BX11" i="7"/>
  <c r="BX14" i="7"/>
  <c r="BX13" i="7"/>
  <c r="BX15" i="7"/>
  <c r="BX9" i="7"/>
  <c r="BY36" i="7"/>
  <c r="BX41" i="7"/>
  <c r="BM56" i="7"/>
  <c r="BL65" i="7"/>
  <c r="BY21" i="7"/>
  <c r="BX26" i="7"/>
  <c r="BT74" i="9"/>
  <c r="BW73" i="9"/>
  <c r="AP103" i="9"/>
  <c r="AP104" i="9"/>
  <c r="BH101" i="9"/>
  <c r="BH103" i="9" s="1"/>
  <c r="BH6" i="6"/>
  <c r="BH9" i="6" s="1"/>
  <c r="O13" i="12"/>
  <c r="BV96" i="9"/>
  <c r="AP9" i="1"/>
  <c r="BH6" i="1"/>
  <c r="BH9" i="1" s="1"/>
  <c r="AP9" i="6"/>
  <c r="AL131" i="6"/>
  <c r="AL6" i="6" s="1"/>
  <c r="BX57" i="9"/>
  <c r="H11" i="10"/>
  <c r="AI12" i="9"/>
  <c r="AH11" i="9"/>
  <c r="BW63" i="9"/>
  <c r="AL35" i="9"/>
  <c r="AM66" i="11"/>
  <c r="BG66" i="11" s="1"/>
  <c r="AM67" i="11"/>
  <c r="BG67" i="11" s="1"/>
  <c r="W4" i="3"/>
  <c r="AX7" i="12"/>
  <c r="BR12" i="14" s="1"/>
  <c r="X4" i="3"/>
  <c r="X3" i="3"/>
  <c r="X2" i="3"/>
  <c r="BQ12" i="14"/>
  <c r="AL78" i="11"/>
  <c r="AL79" i="11" s="1"/>
  <c r="Y54" i="1"/>
  <c r="AC54" i="1"/>
  <c r="AO77" i="9"/>
  <c r="AN65" i="11"/>
  <c r="AM76" i="11"/>
  <c r="BG76" i="11" s="1"/>
  <c r="AM71" i="11"/>
  <c r="BG71" i="11" s="1"/>
  <c r="AM75" i="11"/>
  <c r="BG75" i="11" s="1"/>
  <c r="AM68" i="11"/>
  <c r="BG68" i="11" s="1"/>
  <c r="AM72" i="11"/>
  <c r="BG72" i="11" s="1"/>
  <c r="AM69" i="11"/>
  <c r="BG69" i="11" s="1"/>
  <c r="AM73" i="11"/>
  <c r="BG73" i="11" s="1"/>
  <c r="AM70" i="11"/>
  <c r="BG70" i="11" s="1"/>
  <c r="AM74" i="11"/>
  <c r="BG74" i="11" s="1"/>
  <c r="AK34" i="9"/>
  <c r="AK81" i="9"/>
  <c r="AK79" i="11"/>
  <c r="X78" i="11"/>
  <c r="X11" i="10" s="1"/>
  <c r="Y76" i="11"/>
  <c r="Y69" i="11"/>
  <c r="Y73" i="11"/>
  <c r="Y75" i="11"/>
  <c r="Y66" i="11"/>
  <c r="Y70" i="11"/>
  <c r="Y74" i="11"/>
  <c r="Y67" i="11"/>
  <c r="Y71" i="11"/>
  <c r="Y68" i="11"/>
  <c r="Y72" i="11"/>
  <c r="AE81" i="9"/>
  <c r="AE79" i="11"/>
  <c r="AE11" i="10"/>
  <c r="AC81" i="9"/>
  <c r="AC79" i="11"/>
  <c r="AC11" i="10"/>
  <c r="AB81" i="9"/>
  <c r="AB79" i="11"/>
  <c r="AB11" i="10"/>
  <c r="AJ81" i="9"/>
  <c r="AJ11" i="10"/>
  <c r="AG81" i="9"/>
  <c r="AG79" i="11"/>
  <c r="AG11" i="10"/>
  <c r="V81" i="9"/>
  <c r="V11" i="10"/>
  <c r="S81" i="9"/>
  <c r="S11" i="10"/>
  <c r="S97" i="11"/>
  <c r="T81" i="9"/>
  <c r="T11" i="10"/>
  <c r="T97" i="11"/>
  <c r="W81" i="9"/>
  <c r="W11" i="10"/>
  <c r="AH81" i="9"/>
  <c r="AH79" i="11"/>
  <c r="AH11" i="10"/>
  <c r="N81" i="9"/>
  <c r="N11" i="10"/>
  <c r="N97" i="11"/>
  <c r="AI81" i="9"/>
  <c r="AI79" i="11"/>
  <c r="AI11" i="10"/>
  <c r="T27" i="12"/>
  <c r="S25" i="14"/>
  <c r="S27" i="14" s="1"/>
  <c r="H97" i="11"/>
  <c r="O78" i="11"/>
  <c r="AY14" i="14"/>
  <c r="R78" i="11"/>
  <c r="G78" i="11"/>
  <c r="U11" i="10"/>
  <c r="AK11" i="10"/>
  <c r="M85" i="9"/>
  <c r="M87" i="9" s="1"/>
  <c r="M89" i="9" s="1"/>
  <c r="L92" i="9"/>
  <c r="L8" i="12" s="1"/>
  <c r="I78" i="11"/>
  <c r="U14" i="12"/>
  <c r="U14" i="14" s="1"/>
  <c r="AF81" i="9"/>
  <c r="AF79" i="11"/>
  <c r="AU71" i="1"/>
  <c r="M8" i="14"/>
  <c r="M18" i="13"/>
  <c r="M78" i="11"/>
  <c r="T54" i="1"/>
  <c r="AB54" i="1"/>
  <c r="N8" i="14"/>
  <c r="N18" i="13"/>
  <c r="AF11" i="10"/>
  <c r="V71" i="6"/>
  <c r="L78" i="11"/>
  <c r="R27" i="14"/>
  <c r="F78" i="11"/>
  <c r="K78" i="11"/>
  <c r="P78" i="11"/>
  <c r="J78" i="11"/>
  <c r="U12" i="14"/>
  <c r="AK54" i="9"/>
  <c r="X7" i="13"/>
  <c r="X9" i="13" s="1"/>
  <c r="W7" i="12"/>
  <c r="X12" i="14" s="1"/>
  <c r="BA12" i="14" s="1"/>
  <c r="W7" i="13"/>
  <c r="W9" i="13" s="1"/>
  <c r="V7" i="12"/>
  <c r="V9" i="13"/>
  <c r="V54" i="1"/>
  <c r="Z54" i="1"/>
  <c r="P63" i="8"/>
  <c r="P72" i="8" s="1"/>
  <c r="O71" i="7"/>
  <c r="O71" i="1" s="1"/>
  <c r="S54" i="1"/>
  <c r="W54" i="1"/>
  <c r="P71" i="5"/>
  <c r="E43" i="1"/>
  <c r="AS43" i="5"/>
  <c r="AR43" i="5"/>
  <c r="R43" i="1"/>
  <c r="AX43" i="5"/>
  <c r="AY43" i="5"/>
  <c r="BD43" i="5"/>
  <c r="BE43" i="5"/>
  <c r="AI43" i="1"/>
  <c r="AI54" i="1" s="1"/>
  <c r="AI54" i="5"/>
  <c r="AM43" i="1"/>
  <c r="AM54" i="1" s="1"/>
  <c r="AM54" i="5"/>
  <c r="AR44" i="5"/>
  <c r="AS44" i="5"/>
  <c r="E44" i="1"/>
  <c r="AY44" i="5"/>
  <c r="AX44" i="5"/>
  <c r="R44" i="1"/>
  <c r="BD44" i="5"/>
  <c r="BE44" i="5"/>
  <c r="AE44" i="1"/>
  <c r="AS51" i="5"/>
  <c r="AR51" i="5"/>
  <c r="E51" i="1"/>
  <c r="AX51" i="5"/>
  <c r="AY51" i="5"/>
  <c r="R51" i="1"/>
  <c r="BD51" i="5"/>
  <c r="BE51" i="5"/>
  <c r="AE51" i="1"/>
  <c r="BA45" i="5"/>
  <c r="X45" i="1"/>
  <c r="BA45" i="1" s="1"/>
  <c r="H43" i="1"/>
  <c r="AT43" i="1" s="1"/>
  <c r="AT43" i="5"/>
  <c r="U43" i="1"/>
  <c r="AZ43" i="5"/>
  <c r="BF43" i="5"/>
  <c r="AH43" i="1"/>
  <c r="AL43" i="1"/>
  <c r="AL54" i="1" s="1"/>
  <c r="AL54" i="5"/>
  <c r="AP43" i="1"/>
  <c r="AP54" i="1" s="1"/>
  <c r="AP54" i="5"/>
  <c r="AT44" i="5"/>
  <c r="H44" i="1"/>
  <c r="AT44" i="1" s="1"/>
  <c r="AZ44" i="5"/>
  <c r="U44" i="1"/>
  <c r="AZ44" i="1" s="1"/>
  <c r="BF44" i="5"/>
  <c r="AH44" i="1"/>
  <c r="BF44" i="1" s="1"/>
  <c r="AT51" i="5"/>
  <c r="H51" i="1"/>
  <c r="AT51" i="1" s="1"/>
  <c r="AZ51" i="5"/>
  <c r="U51" i="1"/>
  <c r="AZ51" i="1" s="1"/>
  <c r="BF51" i="5"/>
  <c r="AH51" i="1"/>
  <c r="BF51" i="1" s="1"/>
  <c r="AV45" i="5"/>
  <c r="N45" i="1"/>
  <c r="AV45" i="1" s="1"/>
  <c r="BB45" i="5"/>
  <c r="AA45" i="1"/>
  <c r="BB45" i="1" s="1"/>
  <c r="BG45" i="5"/>
  <c r="AK45" i="1"/>
  <c r="BG45" i="1" s="1"/>
  <c r="K43" i="1"/>
  <c r="AU43" i="1" s="1"/>
  <c r="AU43" i="5"/>
  <c r="X43" i="1"/>
  <c r="BA43" i="5"/>
  <c r="BG43" i="5"/>
  <c r="AK54" i="5"/>
  <c r="AK43" i="1"/>
  <c r="AO43" i="1"/>
  <c r="AO54" i="1" s="1"/>
  <c r="AO54" i="5"/>
  <c r="AU44" i="5"/>
  <c r="K44" i="1"/>
  <c r="AU44" i="1" s="1"/>
  <c r="BA44" i="5"/>
  <c r="X44" i="1"/>
  <c r="BA44" i="1" s="1"/>
  <c r="BG44" i="5"/>
  <c r="AK44" i="1"/>
  <c r="BG44" i="1" s="1"/>
  <c r="AU51" i="5"/>
  <c r="K51" i="1"/>
  <c r="AU51" i="1" s="1"/>
  <c r="BA51" i="5"/>
  <c r="X51" i="1"/>
  <c r="BA51" i="1" s="1"/>
  <c r="BG51" i="5"/>
  <c r="AK51" i="1"/>
  <c r="BG51" i="1" s="1"/>
  <c r="AT45" i="5"/>
  <c r="H45" i="1"/>
  <c r="AT45" i="1" s="1"/>
  <c r="AX45" i="5"/>
  <c r="AY45" i="5"/>
  <c r="R45" i="1"/>
  <c r="BE45" i="5"/>
  <c r="AE45" i="1"/>
  <c r="BH45" i="5"/>
  <c r="AN45" i="1"/>
  <c r="BH45" i="1" s="1"/>
  <c r="N43" i="1"/>
  <c r="AV43" i="1" s="1"/>
  <c r="AV43" i="5"/>
  <c r="AA43" i="1"/>
  <c r="BB43" i="5"/>
  <c r="AJ54" i="5"/>
  <c r="AJ43" i="1"/>
  <c r="AJ54" i="1" s="1"/>
  <c r="BH43" i="5"/>
  <c r="AN43" i="1"/>
  <c r="AN54" i="5"/>
  <c r="AV44" i="5"/>
  <c r="N44" i="1"/>
  <c r="AV44" i="1" s="1"/>
  <c r="BB44" i="5"/>
  <c r="AA44" i="1"/>
  <c r="BB44" i="1" s="1"/>
  <c r="BH44" i="5"/>
  <c r="AN44" i="1"/>
  <c r="BH44" i="1" s="1"/>
  <c r="AV51" i="5"/>
  <c r="N51" i="1"/>
  <c r="AV51" i="1" s="1"/>
  <c r="BB51" i="5"/>
  <c r="AA51" i="1"/>
  <c r="BB51" i="1" s="1"/>
  <c r="BH51" i="5"/>
  <c r="AN51" i="1"/>
  <c r="BH51" i="1" s="1"/>
  <c r="K45" i="1"/>
  <c r="AZ45" i="5"/>
  <c r="U45" i="1"/>
  <c r="AZ45" i="1" s="1"/>
  <c r="AE43" i="1"/>
  <c r="AE54" i="5"/>
  <c r="AG43" i="1"/>
  <c r="AG54" i="5"/>
  <c r="AF43" i="1"/>
  <c r="AF54" i="5"/>
  <c r="M168" i="5"/>
  <c r="M167" i="5"/>
  <c r="M166" i="5"/>
  <c r="M165" i="5"/>
  <c r="M164" i="5"/>
  <c r="E158" i="5"/>
  <c r="E157" i="5"/>
  <c r="E156" i="5"/>
  <c r="E155" i="5"/>
  <c r="E154" i="5"/>
  <c r="BX17" i="7" l="1"/>
  <c r="BZ36" i="7"/>
  <c r="BZ41" i="7" s="1"/>
  <c r="BY41" i="7"/>
  <c r="BV36" i="7"/>
  <c r="BV41" i="7" s="1"/>
  <c r="BX18" i="7"/>
  <c r="BY54" i="7"/>
  <c r="BZ43" i="7"/>
  <c r="BZ54" i="7" s="1"/>
  <c r="BY14" i="7"/>
  <c r="BZ5" i="7"/>
  <c r="BY12" i="7"/>
  <c r="BY15" i="7"/>
  <c r="BY11" i="7"/>
  <c r="BY13" i="7"/>
  <c r="BY9" i="7"/>
  <c r="BZ34" i="7"/>
  <c r="BV28" i="7"/>
  <c r="BV34" i="7" s="1"/>
  <c r="BZ21" i="7"/>
  <c r="BY26" i="7"/>
  <c r="BM65" i="7"/>
  <c r="BN56" i="7"/>
  <c r="BW74" i="9"/>
  <c r="BX73" i="9"/>
  <c r="AL103" i="9"/>
  <c r="AL104" i="9"/>
  <c r="P13" i="12"/>
  <c r="AK49" i="9"/>
  <c r="AK102" i="9" s="1"/>
  <c r="BG102" i="9" s="1"/>
  <c r="AN37" i="9"/>
  <c r="AN38" i="9" s="1"/>
  <c r="AN39" i="9" s="1"/>
  <c r="BG17" i="9"/>
  <c r="AM36" i="9"/>
  <c r="AL9" i="6"/>
  <c r="AL6" i="1"/>
  <c r="AL9" i="1" s="1"/>
  <c r="AZ81" i="9"/>
  <c r="BF11" i="10"/>
  <c r="BF10" i="10" s="1"/>
  <c r="BZ57" i="9"/>
  <c r="BF81" i="9"/>
  <c r="AJ12" i="9"/>
  <c r="AI11" i="9"/>
  <c r="BY57" i="9"/>
  <c r="BX63" i="9"/>
  <c r="BE81" i="9"/>
  <c r="AN67" i="11"/>
  <c r="AN66" i="11"/>
  <c r="BG78" i="11"/>
  <c r="BG79" i="11" s="1"/>
  <c r="BG65" i="11"/>
  <c r="AL11" i="10"/>
  <c r="AL81" i="9"/>
  <c r="Y3" i="3"/>
  <c r="Y2" i="3"/>
  <c r="BV8" i="10"/>
  <c r="AM78" i="11"/>
  <c r="AP77" i="9"/>
  <c r="AO65" i="11"/>
  <c r="AN76" i="11"/>
  <c r="AN69" i="11"/>
  <c r="AN73" i="11"/>
  <c r="AN70" i="11"/>
  <c r="AN74" i="11"/>
  <c r="AN71" i="11"/>
  <c r="AN75" i="11"/>
  <c r="AN68" i="11"/>
  <c r="AN72" i="11"/>
  <c r="AZ11" i="10"/>
  <c r="X81" i="9"/>
  <c r="X79" i="11"/>
  <c r="Z76" i="11"/>
  <c r="BA76" i="11" s="1"/>
  <c r="Z66" i="11"/>
  <c r="BA66" i="11" s="1"/>
  <c r="Z70" i="11"/>
  <c r="BA70" i="11" s="1"/>
  <c r="Z74" i="11"/>
  <c r="BA74" i="11" s="1"/>
  <c r="Z67" i="11"/>
  <c r="BA67" i="11" s="1"/>
  <c r="Z71" i="11"/>
  <c r="BA71" i="11" s="1"/>
  <c r="Z75" i="11"/>
  <c r="BA75" i="11" s="1"/>
  <c r="Z68" i="11"/>
  <c r="BA68" i="11" s="1"/>
  <c r="Z72" i="11"/>
  <c r="BA72" i="11" s="1"/>
  <c r="Z69" i="11"/>
  <c r="BA69" i="11" s="1"/>
  <c r="Z73" i="11"/>
  <c r="BA73" i="11" s="1"/>
  <c r="Y78" i="11"/>
  <c r="AA76" i="11"/>
  <c r="AA68" i="11"/>
  <c r="AA72" i="11"/>
  <c r="AA69" i="11"/>
  <c r="AA73" i="11"/>
  <c r="AA74" i="11"/>
  <c r="AA67" i="11"/>
  <c r="AA71" i="11"/>
  <c r="AA75" i="11"/>
  <c r="AA66" i="11"/>
  <c r="AA70" i="11"/>
  <c r="BE11" i="10"/>
  <c r="O8" i="14"/>
  <c r="O20" i="14" s="1"/>
  <c r="O22" i="14" s="1"/>
  <c r="O18" i="13"/>
  <c r="W71" i="6"/>
  <c r="AZ71" i="6" s="1"/>
  <c r="AZ73" i="6" s="1"/>
  <c r="M81" i="9"/>
  <c r="M97" i="11"/>
  <c r="M11" i="10"/>
  <c r="M92" i="9"/>
  <c r="M8" i="12" s="1"/>
  <c r="N85" i="9"/>
  <c r="N87" i="9" s="1"/>
  <c r="N89" i="9" s="1"/>
  <c r="N20" i="14"/>
  <c r="W12" i="14"/>
  <c r="P81" i="9"/>
  <c r="P11" i="10"/>
  <c r="P97" i="11"/>
  <c r="L81" i="9"/>
  <c r="L11" i="10"/>
  <c r="L97" i="11"/>
  <c r="I81" i="9"/>
  <c r="I97" i="11"/>
  <c r="I11" i="10"/>
  <c r="F81" i="9"/>
  <c r="F97" i="11"/>
  <c r="F11" i="10"/>
  <c r="V14" i="12"/>
  <c r="R81" i="9"/>
  <c r="R97" i="11"/>
  <c r="R11" i="10"/>
  <c r="T25" i="14"/>
  <c r="U27" i="12"/>
  <c r="V27" i="12" s="1"/>
  <c r="W27" i="12" s="1"/>
  <c r="X27" i="12" s="1"/>
  <c r="J81" i="9"/>
  <c r="J97" i="11"/>
  <c r="J11" i="10"/>
  <c r="K81" i="9"/>
  <c r="K97" i="11"/>
  <c r="K11" i="10"/>
  <c r="AU8" i="14"/>
  <c r="M20" i="14"/>
  <c r="L13" i="14"/>
  <c r="G81" i="9"/>
  <c r="G11" i="10"/>
  <c r="G97" i="11"/>
  <c r="O81" i="9"/>
  <c r="O97" i="11"/>
  <c r="O11" i="10"/>
  <c r="V12" i="14"/>
  <c r="AJ16" i="9"/>
  <c r="AI18" i="9"/>
  <c r="P71" i="7"/>
  <c r="P71" i="1" s="1"/>
  <c r="R63" i="8"/>
  <c r="R72" i="8" s="1"/>
  <c r="R71" i="5"/>
  <c r="AR71" i="5"/>
  <c r="AV71" i="5"/>
  <c r="BE43" i="1"/>
  <c r="BD43" i="1"/>
  <c r="BE45" i="1"/>
  <c r="BD44" i="1"/>
  <c r="BE44" i="1"/>
  <c r="AR43" i="1"/>
  <c r="AS43" i="1"/>
  <c r="AV54" i="5"/>
  <c r="BG54" i="5"/>
  <c r="AT54" i="1"/>
  <c r="AX54" i="5"/>
  <c r="AA54" i="1"/>
  <c r="BB43" i="1"/>
  <c r="BB54" i="1" s="1"/>
  <c r="AX45" i="1"/>
  <c r="AY45" i="1"/>
  <c r="BD51" i="1"/>
  <c r="BE51" i="1"/>
  <c r="AX44" i="1"/>
  <c r="AY44" i="1"/>
  <c r="BH54" i="5"/>
  <c r="BF43" i="1"/>
  <c r="AT54" i="5"/>
  <c r="AY54" i="5"/>
  <c r="BH43" i="1"/>
  <c r="BH54" i="1" s="1"/>
  <c r="AN54" i="1"/>
  <c r="BG43" i="1"/>
  <c r="BG54" i="1" s="1"/>
  <c r="AK54" i="1"/>
  <c r="X54" i="1"/>
  <c r="BA43" i="1"/>
  <c r="BA54" i="1" s="1"/>
  <c r="U54" i="1"/>
  <c r="AZ43" i="1"/>
  <c r="AZ54" i="1" s="1"/>
  <c r="AY51" i="1"/>
  <c r="AX51" i="1"/>
  <c r="AR44" i="1"/>
  <c r="AS44" i="1"/>
  <c r="BB54" i="5"/>
  <c r="AR51" i="1"/>
  <c r="AS51" i="1"/>
  <c r="R54" i="1"/>
  <c r="AX43" i="1"/>
  <c r="AY43" i="1"/>
  <c r="AV54" i="1"/>
  <c r="BA54" i="5"/>
  <c r="AZ54" i="5"/>
  <c r="BE54" i="5"/>
  <c r="AE54" i="1"/>
  <c r="AF54" i="1"/>
  <c r="AG54" i="1"/>
  <c r="M172" i="5"/>
  <c r="M45" i="5" s="1"/>
  <c r="M54" i="5" s="1"/>
  <c r="AH172" i="5"/>
  <c r="AH45" i="5" s="1"/>
  <c r="E172" i="5"/>
  <c r="E45" i="5" s="1"/>
  <c r="E54" i="5" s="1"/>
  <c r="F70" i="5"/>
  <c r="F96" i="5"/>
  <c r="G96" i="5" s="1"/>
  <c r="AC267" i="4"/>
  <c r="AB267" i="4"/>
  <c r="AA267" i="4"/>
  <c r="Z267" i="4"/>
  <c r="Y267" i="4"/>
  <c r="X267" i="4"/>
  <c r="W267" i="4"/>
  <c r="V267" i="4"/>
  <c r="U267" i="4"/>
  <c r="T267" i="4"/>
  <c r="S267" i="4"/>
  <c r="R267" i="4"/>
  <c r="AC248" i="4"/>
  <c r="AB248" i="4"/>
  <c r="AA248" i="4"/>
  <c r="Z248" i="4"/>
  <c r="Y248" i="4"/>
  <c r="X248" i="4"/>
  <c r="W248" i="4"/>
  <c r="V248" i="4"/>
  <c r="U248" i="4"/>
  <c r="T248" i="4"/>
  <c r="T6" i="4" s="1"/>
  <c r="S248" i="4"/>
  <c r="S6" i="4" s="1"/>
  <c r="R248" i="4"/>
  <c r="R6" i="4" s="1"/>
  <c r="AC73" i="4"/>
  <c r="AB73" i="4"/>
  <c r="AA73" i="4"/>
  <c r="Z73" i="4"/>
  <c r="Y73" i="4"/>
  <c r="X73" i="4"/>
  <c r="W73" i="4"/>
  <c r="V73" i="4"/>
  <c r="U73" i="4"/>
  <c r="T73" i="4"/>
  <c r="S73" i="4"/>
  <c r="R73" i="4"/>
  <c r="AC65" i="4"/>
  <c r="AB65" i="4"/>
  <c r="AA65" i="4"/>
  <c r="Z65" i="4"/>
  <c r="Y65" i="4"/>
  <c r="X65" i="4"/>
  <c r="W65" i="4"/>
  <c r="V65" i="4"/>
  <c r="U65" i="4"/>
  <c r="T65" i="4"/>
  <c r="S65" i="4"/>
  <c r="R65" i="4"/>
  <c r="AC54" i="4"/>
  <c r="AB54" i="4"/>
  <c r="AA54" i="4"/>
  <c r="Z54" i="4"/>
  <c r="Y54" i="4"/>
  <c r="X54" i="4"/>
  <c r="W54" i="4"/>
  <c r="V54" i="4"/>
  <c r="U54" i="4"/>
  <c r="T54" i="4"/>
  <c r="S54" i="4"/>
  <c r="R54" i="4"/>
  <c r="AC34" i="4"/>
  <c r="AB34" i="4"/>
  <c r="AA34" i="4"/>
  <c r="Z34" i="4"/>
  <c r="Y34" i="4"/>
  <c r="X34" i="4"/>
  <c r="W34" i="4"/>
  <c r="V34" i="4"/>
  <c r="U34" i="4"/>
  <c r="T34" i="4"/>
  <c r="S34" i="4"/>
  <c r="R34" i="4"/>
  <c r="AC24" i="4"/>
  <c r="AC26" i="4" s="1"/>
  <c r="AB24" i="4"/>
  <c r="AB26" i="4" s="1"/>
  <c r="AA24" i="4"/>
  <c r="Z24" i="4"/>
  <c r="Z26" i="4" s="1"/>
  <c r="Y24" i="4"/>
  <c r="Y26" i="4" s="1"/>
  <c r="X24" i="4"/>
  <c r="W24" i="4"/>
  <c r="W26" i="4" s="1"/>
  <c r="V24" i="4"/>
  <c r="V26" i="4" s="1"/>
  <c r="U24" i="4"/>
  <c r="T24" i="4"/>
  <c r="T26" i="4" s="1"/>
  <c r="S24" i="4"/>
  <c r="S26" i="4" s="1"/>
  <c r="R24" i="4"/>
  <c r="AC6" i="4"/>
  <c r="AB6" i="4"/>
  <c r="AA6" i="4"/>
  <c r="Z6" i="4"/>
  <c r="Y6" i="4"/>
  <c r="X6" i="4"/>
  <c r="W6" i="4"/>
  <c r="V6" i="4"/>
  <c r="U6" i="4"/>
  <c r="AB87" i="5"/>
  <c r="AA87" i="5"/>
  <c r="BB87" i="5" s="1"/>
  <c r="Z87" i="5"/>
  <c r="Y87" i="5"/>
  <c r="X87" i="5"/>
  <c r="W87" i="5"/>
  <c r="V87" i="5"/>
  <c r="U87" i="5"/>
  <c r="AZ87" i="5" s="1"/>
  <c r="T87" i="5"/>
  <c r="S87" i="5"/>
  <c r="R87" i="5"/>
  <c r="AB86" i="5"/>
  <c r="AA86" i="5"/>
  <c r="Z86" i="5"/>
  <c r="Y86" i="5"/>
  <c r="X86" i="5"/>
  <c r="BA86" i="5" s="1"/>
  <c r="W86" i="5"/>
  <c r="V86" i="5"/>
  <c r="U86" i="5"/>
  <c r="T86" i="5"/>
  <c r="S86" i="5"/>
  <c r="R86" i="5"/>
  <c r="AB85" i="5"/>
  <c r="AA85" i="5"/>
  <c r="BB85" i="5" s="1"/>
  <c r="Z85" i="5"/>
  <c r="Y85" i="5"/>
  <c r="X85" i="5"/>
  <c r="W85" i="5"/>
  <c r="V85" i="5"/>
  <c r="U85" i="5"/>
  <c r="T85" i="5"/>
  <c r="S85" i="5"/>
  <c r="R85" i="5"/>
  <c r="AB84" i="5"/>
  <c r="AA84" i="5"/>
  <c r="Z84" i="5"/>
  <c r="Y84" i="5"/>
  <c r="X84" i="5"/>
  <c r="BA84" i="5" s="1"/>
  <c r="W84" i="5"/>
  <c r="V84" i="5"/>
  <c r="U84" i="5"/>
  <c r="T84" i="5"/>
  <c r="S84" i="5"/>
  <c r="R84" i="5"/>
  <c r="AB83" i="5"/>
  <c r="AA83" i="5"/>
  <c r="BB83" i="5" s="1"/>
  <c r="Z83" i="5"/>
  <c r="Y83" i="5"/>
  <c r="X83" i="5"/>
  <c r="W83" i="5"/>
  <c r="V83" i="5"/>
  <c r="U83" i="5"/>
  <c r="AB82" i="5"/>
  <c r="AA82" i="5"/>
  <c r="BB82" i="5" s="1"/>
  <c r="Z82" i="5"/>
  <c r="Y82" i="5"/>
  <c r="X82" i="5"/>
  <c r="W82" i="5"/>
  <c r="V82" i="5"/>
  <c r="U82" i="5"/>
  <c r="T82" i="5"/>
  <c r="S82" i="5"/>
  <c r="R82" i="5"/>
  <c r="AB81" i="5"/>
  <c r="AA81" i="5"/>
  <c r="Z81" i="5"/>
  <c r="Y81" i="5"/>
  <c r="X81" i="5"/>
  <c r="W81" i="5"/>
  <c r="V81" i="5"/>
  <c r="U81" i="5"/>
  <c r="T81" i="5"/>
  <c r="S81" i="5"/>
  <c r="R81" i="5"/>
  <c r="AB80" i="5"/>
  <c r="AA80" i="5"/>
  <c r="Z80" i="5"/>
  <c r="Y80" i="5"/>
  <c r="X80" i="5"/>
  <c r="W80" i="5"/>
  <c r="V80" i="5"/>
  <c r="U80" i="5"/>
  <c r="T80" i="5"/>
  <c r="S80" i="5"/>
  <c r="R80" i="5"/>
  <c r="AC65" i="5"/>
  <c r="AB65" i="5"/>
  <c r="AA65" i="5"/>
  <c r="Z65" i="5"/>
  <c r="Y65" i="5"/>
  <c r="X65" i="5"/>
  <c r="W65" i="5"/>
  <c r="V65" i="5"/>
  <c r="U65" i="5"/>
  <c r="T65" i="5"/>
  <c r="S65" i="5"/>
  <c r="R65" i="5"/>
  <c r="AC54" i="5"/>
  <c r="AB54" i="5"/>
  <c r="AA54" i="5"/>
  <c r="Z54" i="5"/>
  <c r="Y54" i="5"/>
  <c r="X54" i="5"/>
  <c r="W54" i="5"/>
  <c r="V54" i="5"/>
  <c r="U54" i="5"/>
  <c r="T54" i="5"/>
  <c r="S54" i="5"/>
  <c r="R54" i="5"/>
  <c r="AC34" i="5"/>
  <c r="AB34" i="5"/>
  <c r="AA34" i="5"/>
  <c r="Z34" i="5"/>
  <c r="Y34" i="5"/>
  <c r="X34" i="5"/>
  <c r="W34" i="5"/>
  <c r="V34" i="5"/>
  <c r="U34" i="5"/>
  <c r="T34" i="5"/>
  <c r="S34" i="5"/>
  <c r="R34" i="5"/>
  <c r="AC152" i="6"/>
  <c r="AB152" i="6"/>
  <c r="AB24" i="6" s="1"/>
  <c r="AB26" i="6" s="1"/>
  <c r="AA152" i="6"/>
  <c r="Z152" i="6"/>
  <c r="Z24" i="6" s="1"/>
  <c r="Z26" i="6" s="1"/>
  <c r="Y152" i="6"/>
  <c r="X152" i="6"/>
  <c r="X24" i="6" s="1"/>
  <c r="W152" i="6"/>
  <c r="W24" i="6" s="1"/>
  <c r="W26" i="6" s="1"/>
  <c r="V152" i="6"/>
  <c r="V24" i="6" s="1"/>
  <c r="V26" i="6" s="1"/>
  <c r="U152" i="6"/>
  <c r="U24" i="6" s="1"/>
  <c r="T152" i="6"/>
  <c r="T24" i="6" s="1"/>
  <c r="T26" i="6" s="1"/>
  <c r="S152" i="6"/>
  <c r="R152" i="6"/>
  <c r="R24" i="6" s="1"/>
  <c r="AC131" i="6"/>
  <c r="AC6" i="6" s="1"/>
  <c r="AB131" i="6"/>
  <c r="AB6" i="6" s="1"/>
  <c r="AA131" i="6"/>
  <c r="AA6" i="6" s="1"/>
  <c r="Z131" i="6"/>
  <c r="Z6" i="6" s="1"/>
  <c r="Y131" i="6"/>
  <c r="Y6" i="6" s="1"/>
  <c r="X131" i="6"/>
  <c r="X6" i="6" s="1"/>
  <c r="W131" i="6"/>
  <c r="W6" i="6" s="1"/>
  <c r="V131" i="6"/>
  <c r="V6" i="6" s="1"/>
  <c r="T131" i="6"/>
  <c r="T6" i="6" s="1"/>
  <c r="S131" i="6"/>
  <c r="S6" i="6" s="1"/>
  <c r="R131" i="6"/>
  <c r="R6" i="6" s="1"/>
  <c r="V73" i="6"/>
  <c r="U73" i="6"/>
  <c r="T73" i="6"/>
  <c r="S73" i="6"/>
  <c r="R73" i="6"/>
  <c r="AC65" i="6"/>
  <c r="AB65" i="6"/>
  <c r="AA65" i="6"/>
  <c r="Z65" i="6"/>
  <c r="Y65" i="6"/>
  <c r="X65" i="6"/>
  <c r="W65" i="6"/>
  <c r="V65" i="6"/>
  <c r="U65" i="6"/>
  <c r="T65" i="6"/>
  <c r="S65" i="6"/>
  <c r="R65" i="6"/>
  <c r="AC54" i="6"/>
  <c r="AB54" i="6"/>
  <c r="AA54" i="6"/>
  <c r="Z54" i="6"/>
  <c r="Y54" i="6"/>
  <c r="X54" i="6"/>
  <c r="W54" i="6"/>
  <c r="V54" i="6"/>
  <c r="U54" i="6"/>
  <c r="T54" i="6"/>
  <c r="S54" i="6"/>
  <c r="R54" i="6"/>
  <c r="AC34" i="6"/>
  <c r="AB34" i="6"/>
  <c r="AA34" i="6"/>
  <c r="Z34" i="6"/>
  <c r="Y34" i="6"/>
  <c r="X34" i="6"/>
  <c r="W34" i="6"/>
  <c r="V34" i="6"/>
  <c r="U34" i="6"/>
  <c r="T34" i="6"/>
  <c r="S34" i="6"/>
  <c r="R34" i="6"/>
  <c r="AC24" i="6"/>
  <c r="AC26" i="6" s="1"/>
  <c r="AA24" i="6"/>
  <c r="Y24" i="6"/>
  <c r="Y26" i="6" s="1"/>
  <c r="S24" i="6"/>
  <c r="S26" i="6" s="1"/>
  <c r="AB110" i="7"/>
  <c r="AB24" i="7" s="1"/>
  <c r="AA110" i="7"/>
  <c r="AA24" i="7" s="1"/>
  <c r="Z110" i="7"/>
  <c r="Z24" i="7" s="1"/>
  <c r="Y110" i="7"/>
  <c r="Y24" i="7" s="1"/>
  <c r="X110" i="7"/>
  <c r="X24" i="7" s="1"/>
  <c r="W110" i="7"/>
  <c r="W24" i="7" s="1"/>
  <c r="V110" i="7"/>
  <c r="V24" i="7" s="1"/>
  <c r="U110" i="7"/>
  <c r="U24" i="7" s="1"/>
  <c r="T110" i="7"/>
  <c r="T24" i="7" s="1"/>
  <c r="S110" i="7"/>
  <c r="S24" i="7" s="1"/>
  <c r="R110" i="7"/>
  <c r="R24" i="7" s="1"/>
  <c r="AC6" i="7"/>
  <c r="AB91" i="7"/>
  <c r="AB6" i="7" s="1"/>
  <c r="AA91" i="7"/>
  <c r="AA6" i="7" s="1"/>
  <c r="Z91" i="7"/>
  <c r="Z6" i="7" s="1"/>
  <c r="Y91" i="7"/>
  <c r="Y6" i="7" s="1"/>
  <c r="X91" i="7"/>
  <c r="X6" i="7" s="1"/>
  <c r="W91" i="7"/>
  <c r="W6" i="7" s="1"/>
  <c r="V91" i="7"/>
  <c r="V6" i="7" s="1"/>
  <c r="U91" i="7"/>
  <c r="U6" i="7" s="1"/>
  <c r="T91" i="7"/>
  <c r="T6" i="7" s="1"/>
  <c r="S91" i="7"/>
  <c r="S6" i="7" s="1"/>
  <c r="R91" i="7"/>
  <c r="R6" i="7" s="1"/>
  <c r="AC54" i="7"/>
  <c r="AB54" i="7"/>
  <c r="AA54" i="7"/>
  <c r="Z54" i="7"/>
  <c r="Y54" i="7"/>
  <c r="X54" i="7"/>
  <c r="W54" i="7"/>
  <c r="V54" i="7"/>
  <c r="U54" i="7"/>
  <c r="T54" i="7"/>
  <c r="S54" i="7"/>
  <c r="R54" i="7"/>
  <c r="AC34" i="7"/>
  <c r="AB34" i="7"/>
  <c r="AA34" i="7"/>
  <c r="Z34" i="7"/>
  <c r="Y34" i="7"/>
  <c r="X34" i="7"/>
  <c r="W34" i="7"/>
  <c r="V34" i="7"/>
  <c r="U34" i="7"/>
  <c r="T34" i="7"/>
  <c r="S34" i="7"/>
  <c r="R34" i="7"/>
  <c r="AC24" i="7"/>
  <c r="C15" i="6"/>
  <c r="C14" i="6"/>
  <c r="C13" i="6"/>
  <c r="C12" i="6"/>
  <c r="C11" i="6"/>
  <c r="C15" i="5"/>
  <c r="C14" i="5"/>
  <c r="C13" i="5"/>
  <c r="C12" i="5"/>
  <c r="C11" i="5"/>
  <c r="C12" i="4"/>
  <c r="C13" i="4"/>
  <c r="C14" i="4"/>
  <c r="C15" i="4"/>
  <c r="C11" i="4"/>
  <c r="P87" i="5"/>
  <c r="O87" i="5"/>
  <c r="N87" i="5"/>
  <c r="AV87" i="5" s="1"/>
  <c r="M87" i="5"/>
  <c r="L87" i="5"/>
  <c r="K87" i="5"/>
  <c r="J87" i="5"/>
  <c r="I87" i="5"/>
  <c r="H87" i="5"/>
  <c r="G87" i="5"/>
  <c r="F87" i="5"/>
  <c r="E87" i="5"/>
  <c r="P86" i="5"/>
  <c r="O86" i="5"/>
  <c r="N86" i="5"/>
  <c r="AV86" i="5" s="1"/>
  <c r="M86" i="5"/>
  <c r="L86" i="5"/>
  <c r="K86" i="5"/>
  <c r="J86" i="5"/>
  <c r="I86" i="5"/>
  <c r="H86" i="5"/>
  <c r="G86" i="5"/>
  <c r="F86" i="5"/>
  <c r="E86" i="5"/>
  <c r="P85" i="5"/>
  <c r="O85" i="5"/>
  <c r="N85" i="5"/>
  <c r="AV85" i="5" s="1"/>
  <c r="M85" i="5"/>
  <c r="L85" i="5"/>
  <c r="K85" i="5"/>
  <c r="P84" i="5"/>
  <c r="O84" i="5"/>
  <c r="N84" i="5"/>
  <c r="M84" i="5"/>
  <c r="L84" i="5"/>
  <c r="K84" i="5"/>
  <c r="J84" i="5"/>
  <c r="I84" i="5"/>
  <c r="H84" i="5"/>
  <c r="AT84" i="5" s="1"/>
  <c r="G84" i="5"/>
  <c r="F84" i="5"/>
  <c r="E84" i="5"/>
  <c r="P83" i="5"/>
  <c r="O83" i="5"/>
  <c r="N83" i="5"/>
  <c r="M83" i="5"/>
  <c r="L83" i="5"/>
  <c r="K83" i="5"/>
  <c r="J83" i="5"/>
  <c r="I83" i="5"/>
  <c r="H83" i="5"/>
  <c r="P82" i="5"/>
  <c r="O82" i="5"/>
  <c r="N82" i="5"/>
  <c r="M82" i="5"/>
  <c r="L82" i="5"/>
  <c r="K82" i="5"/>
  <c r="J82" i="5"/>
  <c r="I82" i="5"/>
  <c r="H82" i="5"/>
  <c r="G82" i="5"/>
  <c r="F82" i="5"/>
  <c r="E82" i="5"/>
  <c r="P81" i="5"/>
  <c r="O81" i="5"/>
  <c r="N81" i="5"/>
  <c r="M81" i="5"/>
  <c r="L81" i="5"/>
  <c r="K81" i="5"/>
  <c r="J81" i="5"/>
  <c r="I81" i="5"/>
  <c r="H81" i="5"/>
  <c r="G81" i="5"/>
  <c r="F81" i="5"/>
  <c r="E81" i="5"/>
  <c r="P80" i="5"/>
  <c r="O80" i="5"/>
  <c r="N80" i="5"/>
  <c r="M80" i="5"/>
  <c r="L80" i="5"/>
  <c r="K80" i="5"/>
  <c r="J80" i="5"/>
  <c r="I80" i="5"/>
  <c r="H80" i="5"/>
  <c r="G80" i="5"/>
  <c r="F80" i="5"/>
  <c r="E80" i="5"/>
  <c r="P110" i="7"/>
  <c r="P24" i="7" s="1"/>
  <c r="O110" i="7"/>
  <c r="O24" i="7" s="1"/>
  <c r="N110" i="7"/>
  <c r="N24" i="7" s="1"/>
  <c r="M110" i="7"/>
  <c r="M24" i="7" s="1"/>
  <c r="L110" i="7"/>
  <c r="L24" i="7" s="1"/>
  <c r="K110" i="7"/>
  <c r="K24" i="7" s="1"/>
  <c r="J110" i="7"/>
  <c r="J24" i="7" s="1"/>
  <c r="I110" i="7"/>
  <c r="I24" i="7" s="1"/>
  <c r="H110" i="7"/>
  <c r="H24" i="7" s="1"/>
  <c r="G110" i="7"/>
  <c r="G24" i="7" s="1"/>
  <c r="F110" i="7"/>
  <c r="F24" i="7" s="1"/>
  <c r="E110" i="7"/>
  <c r="E24" i="7" s="1"/>
  <c r="P91" i="7"/>
  <c r="P6" i="7" s="1"/>
  <c r="O91" i="7"/>
  <c r="O6" i="7" s="1"/>
  <c r="N91" i="7"/>
  <c r="N6" i="7" s="1"/>
  <c r="M91" i="7"/>
  <c r="M6" i="7" s="1"/>
  <c r="L91" i="7"/>
  <c r="L6" i="7" s="1"/>
  <c r="K91" i="7"/>
  <c r="K6" i="7" s="1"/>
  <c r="J91" i="7"/>
  <c r="J6" i="7" s="1"/>
  <c r="I91" i="7"/>
  <c r="I6" i="7" s="1"/>
  <c r="H91" i="7"/>
  <c r="H6" i="7" s="1"/>
  <c r="G91" i="7"/>
  <c r="G6" i="7" s="1"/>
  <c r="F91" i="7"/>
  <c r="F6" i="7" s="1"/>
  <c r="E91" i="7"/>
  <c r="E6" i="7" s="1"/>
  <c r="E73" i="7"/>
  <c r="P54" i="7"/>
  <c r="O54" i="7"/>
  <c r="N54" i="7"/>
  <c r="M54" i="7"/>
  <c r="L54" i="7"/>
  <c r="K54" i="7"/>
  <c r="J54" i="7"/>
  <c r="I54" i="7"/>
  <c r="H54" i="7"/>
  <c r="G54" i="7"/>
  <c r="F54" i="7"/>
  <c r="E54" i="7"/>
  <c r="P34" i="7"/>
  <c r="O34" i="7"/>
  <c r="N34" i="7"/>
  <c r="M34" i="7"/>
  <c r="L34" i="7"/>
  <c r="K34" i="7"/>
  <c r="J34" i="7"/>
  <c r="I34" i="7"/>
  <c r="H34" i="7"/>
  <c r="G34" i="7"/>
  <c r="F34" i="7"/>
  <c r="E34" i="7"/>
  <c r="C17" i="7"/>
  <c r="P152" i="6"/>
  <c r="O152" i="6"/>
  <c r="N152" i="6"/>
  <c r="M152" i="6"/>
  <c r="L152" i="6"/>
  <c r="K152" i="6"/>
  <c r="J152" i="6"/>
  <c r="I152" i="6"/>
  <c r="H152" i="6"/>
  <c r="G152" i="6"/>
  <c r="F152" i="6"/>
  <c r="E152" i="6"/>
  <c r="P131" i="6"/>
  <c r="O131" i="6"/>
  <c r="N131" i="6"/>
  <c r="M131" i="6"/>
  <c r="L131" i="6"/>
  <c r="K131" i="6"/>
  <c r="J131" i="6"/>
  <c r="I131" i="6"/>
  <c r="H131" i="6"/>
  <c r="G131" i="6"/>
  <c r="F131" i="6"/>
  <c r="E131" i="6"/>
  <c r="P73" i="6"/>
  <c r="O73" i="6"/>
  <c r="N73" i="6"/>
  <c r="M73" i="6"/>
  <c r="L73" i="6"/>
  <c r="K73" i="6"/>
  <c r="J73" i="6"/>
  <c r="I73" i="6"/>
  <c r="H73" i="6"/>
  <c r="G73" i="6"/>
  <c r="F73" i="6"/>
  <c r="E73" i="6"/>
  <c r="P65" i="6"/>
  <c r="O65" i="6"/>
  <c r="N65" i="6"/>
  <c r="M65" i="6"/>
  <c r="L65" i="6"/>
  <c r="K65" i="6"/>
  <c r="J65" i="6"/>
  <c r="I65" i="6"/>
  <c r="H65" i="6"/>
  <c r="G65" i="6"/>
  <c r="F65" i="6"/>
  <c r="E65" i="6"/>
  <c r="P54" i="6"/>
  <c r="O54" i="6"/>
  <c r="N54" i="6"/>
  <c r="M54" i="6"/>
  <c r="L54" i="6"/>
  <c r="K54" i="6"/>
  <c r="J54" i="6"/>
  <c r="I54" i="6"/>
  <c r="H54" i="6"/>
  <c r="G54" i="6"/>
  <c r="F54" i="6"/>
  <c r="E54" i="6"/>
  <c r="P34" i="6"/>
  <c r="O34" i="6"/>
  <c r="N34" i="6"/>
  <c r="M34" i="6"/>
  <c r="L34" i="6"/>
  <c r="K34" i="6"/>
  <c r="J34" i="6"/>
  <c r="I34" i="6"/>
  <c r="H34" i="6"/>
  <c r="G34" i="6"/>
  <c r="F34" i="6"/>
  <c r="E34" i="6"/>
  <c r="P24" i="6"/>
  <c r="P26" i="6" s="1"/>
  <c r="O24" i="6"/>
  <c r="O26" i="6" s="1"/>
  <c r="N24" i="6"/>
  <c r="M24" i="6"/>
  <c r="M26" i="6" s="1"/>
  <c r="L24" i="6"/>
  <c r="L26" i="6" s="1"/>
  <c r="K24" i="6"/>
  <c r="J24" i="6"/>
  <c r="J26" i="6" s="1"/>
  <c r="I24" i="6"/>
  <c r="I26" i="6" s="1"/>
  <c r="H24" i="6"/>
  <c r="G24" i="6"/>
  <c r="G26" i="6" s="1"/>
  <c r="F24" i="6"/>
  <c r="F26" i="6" s="1"/>
  <c r="E24" i="6"/>
  <c r="P6" i="6"/>
  <c r="O6" i="6"/>
  <c r="N6" i="6"/>
  <c r="M6" i="6"/>
  <c r="L6" i="6"/>
  <c r="K6" i="6"/>
  <c r="J6" i="6"/>
  <c r="I6" i="6"/>
  <c r="H6" i="6"/>
  <c r="G6" i="6"/>
  <c r="F6" i="6"/>
  <c r="E6" i="6"/>
  <c r="E110" i="5"/>
  <c r="E24" i="5" s="1"/>
  <c r="E73" i="5"/>
  <c r="P65" i="5"/>
  <c r="O65" i="5"/>
  <c r="N65" i="5"/>
  <c r="M65" i="5"/>
  <c r="L65" i="5"/>
  <c r="K65" i="5"/>
  <c r="J65" i="5"/>
  <c r="I65" i="5"/>
  <c r="H65" i="5"/>
  <c r="G65" i="5"/>
  <c r="F65" i="5"/>
  <c r="E65" i="5"/>
  <c r="P54" i="5"/>
  <c r="O54" i="5"/>
  <c r="N54" i="5"/>
  <c r="L54" i="5"/>
  <c r="K54" i="5"/>
  <c r="J54" i="5"/>
  <c r="I54" i="5"/>
  <c r="H54" i="5"/>
  <c r="G54" i="5"/>
  <c r="F54" i="5"/>
  <c r="P34" i="5"/>
  <c r="O34" i="5"/>
  <c r="N34" i="5"/>
  <c r="M34" i="5"/>
  <c r="L34" i="5"/>
  <c r="K34" i="5"/>
  <c r="J34" i="5"/>
  <c r="I34" i="5"/>
  <c r="H34" i="5"/>
  <c r="G34" i="5"/>
  <c r="F34" i="5"/>
  <c r="E34" i="5"/>
  <c r="P267" i="4"/>
  <c r="O267" i="4"/>
  <c r="N267" i="4"/>
  <c r="M267" i="4"/>
  <c r="L267" i="4"/>
  <c r="K267" i="4"/>
  <c r="J267" i="4"/>
  <c r="I267" i="4"/>
  <c r="H267" i="4"/>
  <c r="G267" i="4"/>
  <c r="F267" i="4"/>
  <c r="E267" i="4"/>
  <c r="P248" i="4"/>
  <c r="P6" i="4" s="1"/>
  <c r="O248" i="4"/>
  <c r="N248" i="4"/>
  <c r="M248" i="4"/>
  <c r="L248" i="4"/>
  <c r="K248" i="4"/>
  <c r="J248" i="4"/>
  <c r="I248" i="4"/>
  <c r="H248" i="4"/>
  <c r="G248" i="4"/>
  <c r="F248" i="4"/>
  <c r="E248" i="4"/>
  <c r="P73" i="4"/>
  <c r="O73" i="4"/>
  <c r="N73" i="4"/>
  <c r="M73" i="4"/>
  <c r="L73" i="4"/>
  <c r="K73" i="4"/>
  <c r="J73" i="4"/>
  <c r="I73" i="4"/>
  <c r="H73" i="4"/>
  <c r="G73" i="4"/>
  <c r="F73" i="4"/>
  <c r="E73" i="4"/>
  <c r="P65" i="4"/>
  <c r="O65" i="4"/>
  <c r="N65" i="4"/>
  <c r="M65" i="4"/>
  <c r="L65" i="4"/>
  <c r="K65" i="4"/>
  <c r="J65" i="4"/>
  <c r="I65" i="4"/>
  <c r="H65" i="4"/>
  <c r="G65" i="4"/>
  <c r="F65" i="4"/>
  <c r="E65" i="4"/>
  <c r="P54" i="4"/>
  <c r="O54" i="4"/>
  <c r="N54" i="4"/>
  <c r="M54" i="4"/>
  <c r="L54" i="4"/>
  <c r="K54" i="4"/>
  <c r="J54" i="4"/>
  <c r="I54" i="4"/>
  <c r="H54" i="4"/>
  <c r="G54" i="4"/>
  <c r="F54" i="4"/>
  <c r="E54" i="4"/>
  <c r="P34" i="4"/>
  <c r="O34" i="4"/>
  <c r="N34" i="4"/>
  <c r="M34" i="4"/>
  <c r="L34" i="4"/>
  <c r="K34" i="4"/>
  <c r="J34" i="4"/>
  <c r="I34" i="4"/>
  <c r="H34" i="4"/>
  <c r="G34" i="4"/>
  <c r="F34" i="4"/>
  <c r="E34" i="4"/>
  <c r="P24" i="4"/>
  <c r="P26" i="4" s="1"/>
  <c r="O24" i="4"/>
  <c r="O26" i="4" s="1"/>
  <c r="N24" i="4"/>
  <c r="M24" i="4"/>
  <c r="M26" i="4" s="1"/>
  <c r="L24" i="4"/>
  <c r="L26" i="4" s="1"/>
  <c r="K24" i="4"/>
  <c r="J24" i="4"/>
  <c r="J26" i="4" s="1"/>
  <c r="I24" i="4"/>
  <c r="I26" i="4" s="1"/>
  <c r="H24" i="4"/>
  <c r="G24" i="4"/>
  <c r="G26" i="4" s="1"/>
  <c r="F24" i="4"/>
  <c r="F26" i="4" s="1"/>
  <c r="E24" i="4"/>
  <c r="O6" i="4"/>
  <c r="N6" i="4"/>
  <c r="M6" i="4"/>
  <c r="L6" i="4"/>
  <c r="K6" i="4"/>
  <c r="J6" i="4"/>
  <c r="I6" i="4"/>
  <c r="H6" i="4"/>
  <c r="G6" i="4"/>
  <c r="F6" i="4"/>
  <c r="E6" i="4"/>
  <c r="C17" i="1"/>
  <c r="P65" i="1"/>
  <c r="O65" i="1"/>
  <c r="N65" i="1"/>
  <c r="M65" i="1"/>
  <c r="L65" i="1"/>
  <c r="K65" i="1"/>
  <c r="J65" i="1"/>
  <c r="I65" i="1"/>
  <c r="H65" i="1"/>
  <c r="G65" i="1"/>
  <c r="F65" i="1"/>
  <c r="E73" i="1"/>
  <c r="E65" i="1"/>
  <c r="F54" i="1"/>
  <c r="G54" i="1"/>
  <c r="H54" i="1"/>
  <c r="I54" i="1"/>
  <c r="J54" i="1"/>
  <c r="K54" i="1"/>
  <c r="L54" i="1"/>
  <c r="N54" i="1"/>
  <c r="O54" i="1"/>
  <c r="P54" i="1"/>
  <c r="F34" i="1"/>
  <c r="G34" i="1"/>
  <c r="H34" i="1"/>
  <c r="I34" i="1"/>
  <c r="J34" i="1"/>
  <c r="K34" i="1"/>
  <c r="L34" i="1"/>
  <c r="M34" i="1"/>
  <c r="N34" i="1"/>
  <c r="O34" i="1"/>
  <c r="P34" i="1"/>
  <c r="E34" i="1"/>
  <c r="AZ85" i="5" l="1"/>
  <c r="AJ17" i="9"/>
  <c r="AJ34" i="9" s="1"/>
  <c r="BB86" i="5"/>
  <c r="AZ80" i="5"/>
  <c r="AU80" i="5"/>
  <c r="AU82" i="5"/>
  <c r="AV84" i="5"/>
  <c r="AT87" i="5"/>
  <c r="AU81" i="5"/>
  <c r="AV83" i="5"/>
  <c r="AT86" i="5"/>
  <c r="BB80" i="5"/>
  <c r="BA81" i="5"/>
  <c r="AZ82" i="5"/>
  <c r="R13" i="12"/>
  <c r="AT80" i="5"/>
  <c r="AV80" i="5"/>
  <c r="AT81" i="5"/>
  <c r="AV81" i="5"/>
  <c r="AT82" i="5"/>
  <c r="AV82" i="5"/>
  <c r="AU83" i="5"/>
  <c r="AR84" i="5"/>
  <c r="AS84" i="5"/>
  <c r="AU84" i="5"/>
  <c r="AU85" i="5"/>
  <c r="AR85" i="5"/>
  <c r="AR86" i="5"/>
  <c r="AS86" i="5"/>
  <c r="AU86" i="5"/>
  <c r="AS87" i="5"/>
  <c r="AR87" i="5"/>
  <c r="AU87" i="5"/>
  <c r="AY81" i="5"/>
  <c r="AX81" i="5"/>
  <c r="AZ83" i="5"/>
  <c r="AX83" i="5"/>
  <c r="AX84" i="5"/>
  <c r="AY84" i="5"/>
  <c r="AX86" i="5"/>
  <c r="AY86" i="5"/>
  <c r="BV43" i="7"/>
  <c r="BV54" i="7" s="1"/>
  <c r="AR80" i="5"/>
  <c r="AS80" i="5"/>
  <c r="AS81" i="5"/>
  <c r="AR81" i="5"/>
  <c r="AR82" i="5"/>
  <c r="AS82" i="5"/>
  <c r="AT83" i="5"/>
  <c r="AR83" i="5"/>
  <c r="AX80" i="5"/>
  <c r="AY80" i="5"/>
  <c r="BA80" i="5"/>
  <c r="AZ81" i="5"/>
  <c r="BB81" i="5"/>
  <c r="AX82" i="5"/>
  <c r="AY82" i="5"/>
  <c r="BA82" i="5"/>
  <c r="BA83" i="5"/>
  <c r="AZ84" i="5"/>
  <c r="BB84" i="5"/>
  <c r="AY85" i="5"/>
  <c r="AX85" i="5"/>
  <c r="BA85" i="5"/>
  <c r="AZ86" i="5"/>
  <c r="AY87" i="5"/>
  <c r="AX87" i="5"/>
  <c r="BA87" i="5"/>
  <c r="BY17" i="7"/>
  <c r="BY18" i="7"/>
  <c r="BV5" i="7"/>
  <c r="BV9" i="7" s="1"/>
  <c r="BZ11" i="7"/>
  <c r="BV11" i="7" s="1"/>
  <c r="BZ13" i="7"/>
  <c r="BV13" i="7" s="1"/>
  <c r="BZ14" i="7"/>
  <c r="BZ15" i="7"/>
  <c r="BV15" i="7" s="1"/>
  <c r="BZ12" i="7"/>
  <c r="BV12" i="7" s="1"/>
  <c r="BZ9" i="7"/>
  <c r="BJ56" i="7"/>
  <c r="BJ65" i="7" s="1"/>
  <c r="BQ56" i="7"/>
  <c r="BN65" i="7"/>
  <c r="BV21" i="7"/>
  <c r="BZ26" i="7"/>
  <c r="AK80" i="6"/>
  <c r="AK82" i="6"/>
  <c r="AK84" i="6"/>
  <c r="BG84" i="6" s="1"/>
  <c r="AK86" i="6"/>
  <c r="BG86" i="6" s="1"/>
  <c r="AK88" i="6"/>
  <c r="BG88" i="6" s="1"/>
  <c r="AK90" i="6"/>
  <c r="BG90" i="6" s="1"/>
  <c r="AK92" i="6"/>
  <c r="BG92" i="6" s="1"/>
  <c r="AK94" i="6"/>
  <c r="BG94" i="6" s="1"/>
  <c r="AK96" i="6"/>
  <c r="BG96" i="6" s="1"/>
  <c r="AK98" i="6"/>
  <c r="BG98" i="6" s="1"/>
  <c r="AK100" i="6"/>
  <c r="BG100" i="6" s="1"/>
  <c r="AK102" i="6"/>
  <c r="BG102" i="6" s="1"/>
  <c r="AK104" i="6"/>
  <c r="BG104" i="6" s="1"/>
  <c r="AK81" i="6"/>
  <c r="AK83" i="6"/>
  <c r="AK85" i="6"/>
  <c r="BG85" i="6" s="1"/>
  <c r="AK87" i="6"/>
  <c r="BG87" i="6" s="1"/>
  <c r="AK89" i="6"/>
  <c r="BG89" i="6" s="1"/>
  <c r="AK91" i="6"/>
  <c r="BG91" i="6" s="1"/>
  <c r="AK93" i="6"/>
  <c r="BG93" i="6" s="1"/>
  <c r="AK95" i="6"/>
  <c r="BG95" i="6" s="1"/>
  <c r="AK97" i="6"/>
  <c r="BG97" i="6" s="1"/>
  <c r="AK99" i="6"/>
  <c r="BG99" i="6" s="1"/>
  <c r="AK101" i="6"/>
  <c r="BG101" i="6" s="1"/>
  <c r="AK103" i="6"/>
  <c r="BG103" i="6" s="1"/>
  <c r="AK105" i="6"/>
  <c r="BG105" i="6" s="1"/>
  <c r="BX74" i="9"/>
  <c r="BY73" i="9"/>
  <c r="BY74" i="9"/>
  <c r="BZ74" i="9" s="1"/>
  <c r="BZ73" i="9"/>
  <c r="AK133" i="6"/>
  <c r="AM37" i="9"/>
  <c r="AM38" i="9" s="1"/>
  <c r="AM39" i="9" s="1"/>
  <c r="BW8" i="10"/>
  <c r="Z4" i="3" s="1"/>
  <c r="AP65" i="11"/>
  <c r="AP76" i="11" s="1"/>
  <c r="BK65" i="11"/>
  <c r="BK77" i="9"/>
  <c r="BN12" i="4"/>
  <c r="BL12" i="4"/>
  <c r="BM12" i="4"/>
  <c r="BR12" i="4"/>
  <c r="BK12" i="4"/>
  <c r="BQ12" i="4"/>
  <c r="BS12" i="4"/>
  <c r="BT12" i="4"/>
  <c r="BW12" i="4"/>
  <c r="BX12" i="4"/>
  <c r="BY12" i="4"/>
  <c r="BZ12" i="4"/>
  <c r="BY63" i="9"/>
  <c r="AK12" i="9"/>
  <c r="AJ11" i="9"/>
  <c r="BM14" i="4"/>
  <c r="BN14" i="4"/>
  <c r="BL14" i="4"/>
  <c r="BK14" i="4"/>
  <c r="BR14" i="4"/>
  <c r="BS14" i="4"/>
  <c r="BQ14" i="4"/>
  <c r="BT14" i="4"/>
  <c r="BX14" i="4"/>
  <c r="BY14" i="4"/>
  <c r="BZ14" i="4"/>
  <c r="BW14" i="4"/>
  <c r="AV81" i="9"/>
  <c r="BM11" i="4"/>
  <c r="BN11" i="4"/>
  <c r="BL11" i="4"/>
  <c r="BR11" i="4"/>
  <c r="BK11" i="4"/>
  <c r="BS11" i="4"/>
  <c r="BT11" i="4"/>
  <c r="BQ11" i="4"/>
  <c r="BZ11" i="4"/>
  <c r="BW11" i="4"/>
  <c r="BX11" i="4"/>
  <c r="BY11" i="4"/>
  <c r="BL15" i="4"/>
  <c r="BN15" i="4"/>
  <c r="BM15" i="4"/>
  <c r="BK15" i="4"/>
  <c r="BR15" i="4"/>
  <c r="BS15" i="4"/>
  <c r="BT15" i="4"/>
  <c r="BQ15" i="4"/>
  <c r="BW15" i="4"/>
  <c r="BX15" i="4"/>
  <c r="BY15" i="4"/>
  <c r="BZ15" i="4"/>
  <c r="BM13" i="4"/>
  <c r="BN13" i="4"/>
  <c r="BL13" i="4"/>
  <c r="BK13" i="4"/>
  <c r="BR13" i="4"/>
  <c r="BQ13" i="4"/>
  <c r="BT13" i="4"/>
  <c r="BS13" i="4"/>
  <c r="BW13" i="4"/>
  <c r="BX13" i="4"/>
  <c r="BY13" i="4"/>
  <c r="BZ13" i="4"/>
  <c r="AU81" i="9"/>
  <c r="BZ63" i="9"/>
  <c r="AT81" i="9"/>
  <c r="BZ14" i="6"/>
  <c r="BX14" i="6"/>
  <c r="BT14" i="6"/>
  <c r="BR14" i="6"/>
  <c r="BL14" i="6"/>
  <c r="BY14" i="6"/>
  <c r="BW14" i="6"/>
  <c r="BS14" i="6"/>
  <c r="BQ14" i="6"/>
  <c r="BM14" i="6"/>
  <c r="BN14" i="6"/>
  <c r="BM13" i="6"/>
  <c r="BN13" i="6"/>
  <c r="BY13" i="6"/>
  <c r="BW13" i="6"/>
  <c r="BS13" i="6"/>
  <c r="BQ13" i="6"/>
  <c r="BZ13" i="6"/>
  <c r="BX13" i="6"/>
  <c r="BT13" i="6"/>
  <c r="BR13" i="6"/>
  <c r="BL13" i="6"/>
  <c r="BY12" i="6"/>
  <c r="BW12" i="6"/>
  <c r="BS12" i="6"/>
  <c r="BQ12" i="6"/>
  <c r="BM12" i="6"/>
  <c r="BZ12" i="6"/>
  <c r="BX12" i="6"/>
  <c r="BT12" i="6"/>
  <c r="BR12" i="6"/>
  <c r="BN12" i="6"/>
  <c r="BL12" i="6"/>
  <c r="BZ11" i="6"/>
  <c r="BX11" i="6"/>
  <c r="BT11" i="6"/>
  <c r="BR11" i="6"/>
  <c r="BM11" i="6"/>
  <c r="BL11" i="6"/>
  <c r="BY11" i="6"/>
  <c r="BW11" i="6"/>
  <c r="BS11" i="6"/>
  <c r="BQ11" i="6"/>
  <c r="BN11" i="6"/>
  <c r="BZ15" i="6"/>
  <c r="BX15" i="6"/>
  <c r="BT15" i="6"/>
  <c r="BR15" i="6"/>
  <c r="BM15" i="6"/>
  <c r="BL15" i="6"/>
  <c r="BN15" i="6"/>
  <c r="BY15" i="6"/>
  <c r="BW15" i="6"/>
  <c r="BS15" i="6"/>
  <c r="BQ15" i="6"/>
  <c r="AY79" i="9"/>
  <c r="BA78" i="11"/>
  <c r="BA79" i="11" s="1"/>
  <c r="BA65" i="11"/>
  <c r="BB75" i="11"/>
  <c r="AX75" i="11"/>
  <c r="BB73" i="11"/>
  <c r="AX73" i="11"/>
  <c r="BB76" i="11"/>
  <c r="AX76" i="11"/>
  <c r="AX22" i="12" s="1"/>
  <c r="AY22" i="12" s="1"/>
  <c r="AZ22" i="12" s="1"/>
  <c r="BB22" i="12" s="1"/>
  <c r="BC22" i="12" s="1"/>
  <c r="BB68" i="11"/>
  <c r="AX68" i="11"/>
  <c r="BB70" i="11"/>
  <c r="AX70" i="11"/>
  <c r="BB67" i="11"/>
  <c r="AX67" i="11"/>
  <c r="BB72" i="11"/>
  <c r="AX72" i="11"/>
  <c r="BB66" i="11"/>
  <c r="AX66" i="11"/>
  <c r="BB74" i="11"/>
  <c r="AX74" i="11"/>
  <c r="BB71" i="11"/>
  <c r="AX71" i="11"/>
  <c r="BB69" i="11"/>
  <c r="AX69" i="11"/>
  <c r="AO66" i="11"/>
  <c r="AO67" i="11"/>
  <c r="AY7" i="12"/>
  <c r="BS12" i="14" s="1"/>
  <c r="Y4" i="3"/>
  <c r="Z3" i="3"/>
  <c r="BS7" i="10"/>
  <c r="Z2" i="3"/>
  <c r="W73" i="6"/>
  <c r="BS6" i="10"/>
  <c r="BY6" i="10" s="1"/>
  <c r="AM79" i="11"/>
  <c r="AM11" i="10"/>
  <c r="BG11" i="10" s="1"/>
  <c r="AM81" i="9"/>
  <c r="BG81" i="9" s="1"/>
  <c r="BB6" i="7"/>
  <c r="BB9" i="7" s="1"/>
  <c r="BB24" i="7"/>
  <c r="BB26" i="7" s="1"/>
  <c r="AT6" i="4"/>
  <c r="AT9" i="4" s="1"/>
  <c r="AN78" i="11"/>
  <c r="AO76" i="11"/>
  <c r="AO70" i="11"/>
  <c r="AO71" i="11"/>
  <c r="AO75" i="11"/>
  <c r="AO72" i="11"/>
  <c r="AO73" i="11"/>
  <c r="AO74" i="11"/>
  <c r="AO68" i="11"/>
  <c r="AO69" i="11"/>
  <c r="Z78" i="11"/>
  <c r="Y79" i="11"/>
  <c r="Y81" i="9"/>
  <c r="Y11" i="10"/>
  <c r="AA78" i="11"/>
  <c r="AV11" i="10"/>
  <c r="AY54" i="1"/>
  <c r="M22" i="14"/>
  <c r="AU20" i="14"/>
  <c r="AU22" i="14" s="1"/>
  <c r="T27" i="14"/>
  <c r="AY25" i="14"/>
  <c r="AY27" i="14" s="1"/>
  <c r="W14" i="12"/>
  <c r="AU6" i="4"/>
  <c r="AU9" i="4" s="1"/>
  <c r="AV6" i="6"/>
  <c r="AV9" i="6" s="1"/>
  <c r="M13" i="14"/>
  <c r="AU13" i="14" s="1"/>
  <c r="AU11" i="10"/>
  <c r="AT11" i="10"/>
  <c r="O85" i="9"/>
  <c r="O87" i="9" s="1"/>
  <c r="O89" i="9" s="1"/>
  <c r="N92" i="9"/>
  <c r="N8" i="12" s="1"/>
  <c r="U25" i="14"/>
  <c r="N22" i="14"/>
  <c r="X71" i="6"/>
  <c r="BA24" i="7"/>
  <c r="BA26" i="7" s="1"/>
  <c r="P8" i="14"/>
  <c r="P18" i="13"/>
  <c r="AX12" i="14"/>
  <c r="AY11" i="10"/>
  <c r="V14" i="14"/>
  <c r="AZ12" i="14"/>
  <c r="BA6" i="6"/>
  <c r="BA9" i="6" s="1"/>
  <c r="AH18" i="9"/>
  <c r="AI16" i="9"/>
  <c r="AZ6" i="4"/>
  <c r="AZ9" i="4" s="1"/>
  <c r="AH12" i="4"/>
  <c r="AK12" i="4"/>
  <c r="AN12" i="4"/>
  <c r="AM12" i="4"/>
  <c r="AL12" i="4"/>
  <c r="AO12" i="4"/>
  <c r="AP12" i="4"/>
  <c r="AF12" i="4"/>
  <c r="AE12" i="4"/>
  <c r="AG12" i="4"/>
  <c r="AJ12" i="4"/>
  <c r="AI12" i="4"/>
  <c r="AP13" i="6"/>
  <c r="AN13" i="6"/>
  <c r="AL13" i="6"/>
  <c r="AO13" i="6"/>
  <c r="AM13" i="6"/>
  <c r="X26" i="6"/>
  <c r="BA24" i="6"/>
  <c r="BA26" i="6" s="1"/>
  <c r="AR24" i="7"/>
  <c r="AR26" i="7" s="1"/>
  <c r="AS24" i="7"/>
  <c r="AS26" i="7" s="1"/>
  <c r="AG15" i="4"/>
  <c r="AJ15" i="4"/>
  <c r="AI15" i="4"/>
  <c r="AH15" i="4"/>
  <c r="AK15" i="4"/>
  <c r="AN15" i="4"/>
  <c r="AM15" i="4"/>
  <c r="AL15" i="4"/>
  <c r="AO15" i="4"/>
  <c r="AP15" i="4"/>
  <c r="AF15" i="4"/>
  <c r="AE15" i="4"/>
  <c r="AL14" i="6"/>
  <c r="AO14" i="6"/>
  <c r="AM14" i="6"/>
  <c r="AP14" i="6"/>
  <c r="AN14" i="6"/>
  <c r="BA6" i="7"/>
  <c r="BA9" i="7" s="1"/>
  <c r="U26" i="6"/>
  <c r="AZ24" i="6"/>
  <c r="AZ26" i="6" s="1"/>
  <c r="AY6" i="4"/>
  <c r="AY9" i="4" s="1"/>
  <c r="AX6" i="4"/>
  <c r="AX9" i="4" s="1"/>
  <c r="R26" i="4"/>
  <c r="AY24" i="4"/>
  <c r="AY26" i="4" s="1"/>
  <c r="AX24" i="4"/>
  <c r="AX26" i="4" s="1"/>
  <c r="AV6" i="4"/>
  <c r="AV9" i="4" s="1"/>
  <c r="N26" i="4"/>
  <c r="AV24" i="4"/>
  <c r="AV26" i="4" s="1"/>
  <c r="AT6" i="6"/>
  <c r="AT9" i="6" s="1"/>
  <c r="H26" i="6"/>
  <c r="AT24" i="6"/>
  <c r="AT26" i="6" s="1"/>
  <c r="AU6" i="7"/>
  <c r="AU9" i="7" s="1"/>
  <c r="AU24" i="7"/>
  <c r="AU26" i="7" s="1"/>
  <c r="AL13" i="4"/>
  <c r="AO13" i="4"/>
  <c r="AP13" i="4"/>
  <c r="AF13" i="4"/>
  <c r="AE13" i="4"/>
  <c r="AG13" i="4"/>
  <c r="AJ13" i="4"/>
  <c r="AI13" i="4"/>
  <c r="AH13" i="4"/>
  <c r="AK13" i="4"/>
  <c r="AN13" i="4"/>
  <c r="AM13" i="4"/>
  <c r="AP12" i="6"/>
  <c r="AN12" i="6"/>
  <c r="AL12" i="6"/>
  <c r="AO12" i="6"/>
  <c r="AM12" i="6"/>
  <c r="AX6" i="7"/>
  <c r="AX9" i="7" s="1"/>
  <c r="AY6" i="7"/>
  <c r="AY9" i="7" s="1"/>
  <c r="AY24" i="7"/>
  <c r="AY26" i="7" s="1"/>
  <c r="AX24" i="7"/>
  <c r="AX26" i="7" s="1"/>
  <c r="BB6" i="6"/>
  <c r="AA26" i="6"/>
  <c r="BB24" i="6"/>
  <c r="BB26" i="6" s="1"/>
  <c r="BA6" i="4"/>
  <c r="BA9" i="4" s="1"/>
  <c r="X26" i="4"/>
  <c r="BA24" i="4"/>
  <c r="BA26" i="4" s="1"/>
  <c r="K26" i="4"/>
  <c r="AU24" i="4"/>
  <c r="AU26" i="4" s="1"/>
  <c r="AR6" i="6"/>
  <c r="AS6" i="6"/>
  <c r="E26" i="6"/>
  <c r="AR24" i="6"/>
  <c r="AR26" i="6" s="1"/>
  <c r="AS24" i="6"/>
  <c r="AS26" i="6" s="1"/>
  <c r="AT6" i="7"/>
  <c r="AT9" i="7" s="1"/>
  <c r="AT24" i="7"/>
  <c r="AT26" i="7" s="1"/>
  <c r="AG11" i="4"/>
  <c r="AJ11" i="4"/>
  <c r="AI11" i="4"/>
  <c r="AH11" i="4"/>
  <c r="AK11" i="4"/>
  <c r="AN11" i="4"/>
  <c r="AM11" i="4"/>
  <c r="AL11" i="4"/>
  <c r="AO11" i="4"/>
  <c r="AP11" i="4"/>
  <c r="AF11" i="4"/>
  <c r="AE11" i="4"/>
  <c r="U26" i="4"/>
  <c r="AZ24" i="4"/>
  <c r="AZ26" i="4" s="1"/>
  <c r="H26" i="4"/>
  <c r="AT24" i="4"/>
  <c r="AT26" i="4" s="1"/>
  <c r="N26" i="6"/>
  <c r="AV24" i="6"/>
  <c r="AV26" i="6" s="1"/>
  <c r="AS6" i="7"/>
  <c r="AS9" i="7" s="1"/>
  <c r="AR6" i="7"/>
  <c r="AR9" i="7" s="1"/>
  <c r="S63" i="8"/>
  <c r="S72" i="8" s="1"/>
  <c r="R71" i="7"/>
  <c r="R71" i="1" s="1"/>
  <c r="AR6" i="4"/>
  <c r="AR9" i="4" s="1"/>
  <c r="AS6" i="4"/>
  <c r="AS9" i="4" s="1"/>
  <c r="E26" i="4"/>
  <c r="AS24" i="4"/>
  <c r="AS26" i="4" s="1"/>
  <c r="AR24" i="4"/>
  <c r="AR26" i="4" s="1"/>
  <c r="AU6" i="6"/>
  <c r="K26" i="6"/>
  <c r="AU24" i="6"/>
  <c r="AU26" i="6" s="1"/>
  <c r="AV6" i="7"/>
  <c r="AV9" i="7" s="1"/>
  <c r="AV24" i="7"/>
  <c r="AV26" i="7" s="1"/>
  <c r="AP14" i="4"/>
  <c r="AF14" i="4"/>
  <c r="AE14" i="4"/>
  <c r="AG14" i="4"/>
  <c r="AJ14" i="4"/>
  <c r="AI14" i="4"/>
  <c r="AH14" i="4"/>
  <c r="AK14" i="4"/>
  <c r="AN14" i="4"/>
  <c r="AM14" i="4"/>
  <c r="AL14" i="4"/>
  <c r="AO14" i="4"/>
  <c r="AL11" i="6"/>
  <c r="AO11" i="6"/>
  <c r="AM11" i="6"/>
  <c r="AP11" i="6"/>
  <c r="AN11" i="6"/>
  <c r="AL15" i="6"/>
  <c r="AO15" i="6"/>
  <c r="AM15" i="6"/>
  <c r="AP15" i="6"/>
  <c r="AN15" i="6"/>
  <c r="AZ6" i="7"/>
  <c r="AZ9" i="7" s="1"/>
  <c r="AZ24" i="7"/>
  <c r="AZ26" i="7" s="1"/>
  <c r="AY6" i="6"/>
  <c r="R26" i="6"/>
  <c r="AY24" i="6"/>
  <c r="AY26" i="6" s="1"/>
  <c r="AX24" i="6"/>
  <c r="AX26" i="6" s="1"/>
  <c r="BB6" i="4"/>
  <c r="BB9" i="4" s="1"/>
  <c r="AA26" i="4"/>
  <c r="BB24" i="4"/>
  <c r="BB26" i="4" s="1"/>
  <c r="AR71" i="7"/>
  <c r="AR73" i="7" s="1"/>
  <c r="AV71" i="7"/>
  <c r="AV73" i="7" s="1"/>
  <c r="S71" i="5"/>
  <c r="AR71" i="1"/>
  <c r="AV71" i="1"/>
  <c r="G91" i="5"/>
  <c r="G6" i="5" s="1"/>
  <c r="G6" i="1" s="1"/>
  <c r="G9" i="1" s="1"/>
  <c r="K91" i="5"/>
  <c r="K6" i="5" s="1"/>
  <c r="K11" i="5" s="1"/>
  <c r="O91" i="5"/>
  <c r="O6" i="5" s="1"/>
  <c r="O9" i="5" s="1"/>
  <c r="F110" i="5"/>
  <c r="F24" i="5" s="1"/>
  <c r="F26" i="5" s="1"/>
  <c r="AX54" i="1"/>
  <c r="AE13" i="5"/>
  <c r="AL13" i="5"/>
  <c r="AN13" i="5"/>
  <c r="AK13" i="5"/>
  <c r="AI13" i="5"/>
  <c r="AO13" i="5"/>
  <c r="AH13" i="5"/>
  <c r="AP13" i="5"/>
  <c r="AJ13" i="5"/>
  <c r="AG13" i="5"/>
  <c r="AM13" i="5"/>
  <c r="AF13" i="5"/>
  <c r="AR45" i="5"/>
  <c r="AR54" i="5" s="1"/>
  <c r="AS45" i="5"/>
  <c r="AS54" i="5" s="1"/>
  <c r="E45" i="1"/>
  <c r="J91" i="5"/>
  <c r="J6" i="5" s="1"/>
  <c r="J15" i="5" s="1"/>
  <c r="BE54" i="1"/>
  <c r="E26" i="5"/>
  <c r="AK12" i="5"/>
  <c r="AL12" i="5"/>
  <c r="AG12" i="5"/>
  <c r="AE12" i="5"/>
  <c r="AM12" i="5"/>
  <c r="AI12" i="5"/>
  <c r="AN12" i="5"/>
  <c r="AP12" i="5"/>
  <c r="AO12" i="5"/>
  <c r="AH12" i="5"/>
  <c r="AJ12" i="5"/>
  <c r="AF12" i="5"/>
  <c r="G70" i="5"/>
  <c r="G70" i="1" s="1"/>
  <c r="G73" i="1" s="1"/>
  <c r="F70" i="1"/>
  <c r="AG11" i="5"/>
  <c r="AE11" i="5"/>
  <c r="AP11" i="5"/>
  <c r="AI11" i="5"/>
  <c r="AO11" i="5"/>
  <c r="AL11" i="5"/>
  <c r="AJ11" i="5"/>
  <c r="AK11" i="5"/>
  <c r="AM11" i="5"/>
  <c r="AN11" i="5"/>
  <c r="AH11" i="5"/>
  <c r="AF11" i="5"/>
  <c r="AK15" i="5"/>
  <c r="AM15" i="5"/>
  <c r="AN15" i="5"/>
  <c r="AI15" i="5"/>
  <c r="AO15" i="5"/>
  <c r="AH15" i="5"/>
  <c r="AG15" i="5"/>
  <c r="AE15" i="5"/>
  <c r="AP15" i="5"/>
  <c r="AJ15" i="5"/>
  <c r="AL15" i="5"/>
  <c r="AF15" i="5"/>
  <c r="M45" i="1"/>
  <c r="AU45" i="5"/>
  <c r="AU54" i="5" s="1"/>
  <c r="AJ14" i="5"/>
  <c r="AM14" i="5"/>
  <c r="AG14" i="5"/>
  <c r="AP14" i="5"/>
  <c r="AK14" i="5"/>
  <c r="AO14" i="5"/>
  <c r="AE14" i="5"/>
  <c r="AL14" i="5"/>
  <c r="AH14" i="5"/>
  <c r="AN14" i="5"/>
  <c r="AI14" i="5"/>
  <c r="AF14" i="5"/>
  <c r="BF45" i="5"/>
  <c r="BF54" i="5" s="1"/>
  <c r="BD45" i="5"/>
  <c r="BD54" i="5" s="1"/>
  <c r="AH45" i="1"/>
  <c r="AH54" i="5"/>
  <c r="L26" i="7"/>
  <c r="P26" i="7"/>
  <c r="K26" i="7"/>
  <c r="U26" i="7"/>
  <c r="E26" i="7"/>
  <c r="E24" i="1"/>
  <c r="I26" i="7"/>
  <c r="M26" i="7"/>
  <c r="S26" i="7"/>
  <c r="R26" i="7"/>
  <c r="V26" i="7"/>
  <c r="Z26" i="7"/>
  <c r="AC26" i="7"/>
  <c r="F26" i="7"/>
  <c r="G26" i="7"/>
  <c r="O26" i="7"/>
  <c r="AA26" i="7"/>
  <c r="T26" i="7"/>
  <c r="X26" i="7"/>
  <c r="AB26" i="7"/>
  <c r="J26" i="7"/>
  <c r="H26" i="7"/>
  <c r="Y26" i="7"/>
  <c r="N26" i="7"/>
  <c r="W26" i="7"/>
  <c r="K15" i="7"/>
  <c r="K6" i="1"/>
  <c r="F9" i="7"/>
  <c r="N14" i="7"/>
  <c r="J6" i="1"/>
  <c r="J9" i="1" s="1"/>
  <c r="G15" i="7"/>
  <c r="O15" i="7"/>
  <c r="G15" i="4"/>
  <c r="K15" i="4"/>
  <c r="O15" i="4"/>
  <c r="F73" i="5"/>
  <c r="S91" i="5"/>
  <c r="S6" i="5" s="1"/>
  <c r="S6" i="1" s="1"/>
  <c r="S9" i="1" s="1"/>
  <c r="U91" i="5"/>
  <c r="U6" i="5" s="1"/>
  <c r="U12" i="5" s="1"/>
  <c r="Y91" i="5"/>
  <c r="Y6" i="5" s="1"/>
  <c r="Y6" i="1" s="1"/>
  <c r="Y9" i="1" s="1"/>
  <c r="F91" i="5"/>
  <c r="F6" i="5" s="1"/>
  <c r="F6" i="1" s="1"/>
  <c r="F9" i="1" s="1"/>
  <c r="N91" i="5"/>
  <c r="N6" i="5" s="1"/>
  <c r="N15" i="5" s="1"/>
  <c r="W91" i="5"/>
  <c r="W6" i="5" s="1"/>
  <c r="W6" i="1" s="1"/>
  <c r="W9" i="1" s="1"/>
  <c r="AA91" i="5"/>
  <c r="AA6" i="5" s="1"/>
  <c r="AA15" i="5" s="1"/>
  <c r="H91" i="5"/>
  <c r="H6" i="5" s="1"/>
  <c r="H11" i="5" s="1"/>
  <c r="L91" i="5"/>
  <c r="L6" i="5" s="1"/>
  <c r="L11" i="5" s="1"/>
  <c r="P91" i="5"/>
  <c r="P6" i="5" s="1"/>
  <c r="P6" i="1" s="1"/>
  <c r="P9" i="1" s="1"/>
  <c r="V91" i="5"/>
  <c r="V6" i="5" s="1"/>
  <c r="V12" i="5" s="1"/>
  <c r="Z91" i="5"/>
  <c r="Z6" i="5" s="1"/>
  <c r="Z6" i="1" s="1"/>
  <c r="Z9" i="1" s="1"/>
  <c r="R91" i="5"/>
  <c r="R6" i="5" s="1"/>
  <c r="R11" i="5" s="1"/>
  <c r="E91" i="5"/>
  <c r="E6" i="5" s="1"/>
  <c r="E9" i="5" s="1"/>
  <c r="I91" i="5"/>
  <c r="I6" i="5" s="1"/>
  <c r="I13" i="5" s="1"/>
  <c r="M91" i="5"/>
  <c r="M6" i="5" s="1"/>
  <c r="M6" i="1" s="1"/>
  <c r="M9" i="1" s="1"/>
  <c r="T91" i="5"/>
  <c r="T6" i="5" s="1"/>
  <c r="T13" i="5" s="1"/>
  <c r="X91" i="5"/>
  <c r="X6" i="5" s="1"/>
  <c r="X12" i="5" s="1"/>
  <c r="AB91" i="5"/>
  <c r="AB6" i="5" s="1"/>
  <c r="AB12" i="5" s="1"/>
  <c r="G15" i="6"/>
  <c r="K15" i="6"/>
  <c r="O15" i="6"/>
  <c r="F15" i="6"/>
  <c r="J15" i="6"/>
  <c r="N15" i="6"/>
  <c r="H96" i="5"/>
  <c r="I96" i="5" s="1"/>
  <c r="I110" i="5" s="1"/>
  <c r="I24" i="5" s="1"/>
  <c r="I26" i="5" s="1"/>
  <c r="G110" i="5"/>
  <c r="G24" i="5" s="1"/>
  <c r="G26" i="5" s="1"/>
  <c r="L110" i="5"/>
  <c r="L24" i="5" s="1"/>
  <c r="L26" i="5" s="1"/>
  <c r="K110" i="5"/>
  <c r="K24" i="5" s="1"/>
  <c r="F73" i="7"/>
  <c r="H15" i="6"/>
  <c r="L15" i="6"/>
  <c r="P15" i="6"/>
  <c r="C17" i="6"/>
  <c r="C17" i="5"/>
  <c r="J15" i="4"/>
  <c r="F15" i="4"/>
  <c r="N15" i="4"/>
  <c r="H15" i="4"/>
  <c r="L15" i="4"/>
  <c r="P15" i="4"/>
  <c r="S9" i="7"/>
  <c r="S11" i="7"/>
  <c r="AA11" i="7"/>
  <c r="W12" i="7"/>
  <c r="S13" i="7"/>
  <c r="S14" i="7"/>
  <c r="AA14" i="7"/>
  <c r="W15" i="7"/>
  <c r="R9" i="7"/>
  <c r="V9" i="7"/>
  <c r="Z9" i="7"/>
  <c r="R11" i="7"/>
  <c r="V11" i="7"/>
  <c r="Z11" i="7"/>
  <c r="R12" i="7"/>
  <c r="V12" i="7"/>
  <c r="Z12" i="7"/>
  <c r="R13" i="7"/>
  <c r="V13" i="7"/>
  <c r="Z13" i="7"/>
  <c r="R14" i="7"/>
  <c r="V14" i="7"/>
  <c r="Z14" i="7"/>
  <c r="R15" i="7"/>
  <c r="V15" i="7"/>
  <c r="Z15" i="7"/>
  <c r="R9" i="6"/>
  <c r="V9" i="6"/>
  <c r="Z9" i="6"/>
  <c r="R11" i="6"/>
  <c r="V11" i="6"/>
  <c r="Z11" i="6"/>
  <c r="R12" i="6"/>
  <c r="V12" i="6"/>
  <c r="Z12" i="6"/>
  <c r="R13" i="6"/>
  <c r="V13" i="6"/>
  <c r="Z13" i="6"/>
  <c r="R14" i="6"/>
  <c r="V14" i="6"/>
  <c r="Z14" i="6"/>
  <c r="R15" i="6"/>
  <c r="V15" i="6"/>
  <c r="Z15" i="6"/>
  <c r="U9" i="4"/>
  <c r="Y9" i="4"/>
  <c r="AC9" i="4"/>
  <c r="U11" i="4"/>
  <c r="Y11" i="4"/>
  <c r="AC11" i="4"/>
  <c r="U12" i="4"/>
  <c r="Y12" i="4"/>
  <c r="AC12" i="4"/>
  <c r="U13" i="4"/>
  <c r="Y13" i="4"/>
  <c r="AC13" i="4"/>
  <c r="U14" i="4"/>
  <c r="Y14" i="4"/>
  <c r="AC14" i="4"/>
  <c r="U15" i="4"/>
  <c r="Y15" i="4"/>
  <c r="AC15" i="4"/>
  <c r="W9" i="7"/>
  <c r="W11" i="7"/>
  <c r="S12" i="7"/>
  <c r="AA12" i="7"/>
  <c r="AA13" i="7"/>
  <c r="W14" i="7"/>
  <c r="S15" i="7"/>
  <c r="U9" i="7"/>
  <c r="Y9" i="7"/>
  <c r="AC9" i="7"/>
  <c r="U11" i="7"/>
  <c r="Y11" i="7"/>
  <c r="AC11" i="7"/>
  <c r="U12" i="7"/>
  <c r="Y12" i="7"/>
  <c r="AC12" i="7"/>
  <c r="U13" i="7"/>
  <c r="Y13" i="7"/>
  <c r="AC13" i="7"/>
  <c r="U14" i="7"/>
  <c r="Y14" i="7"/>
  <c r="AC14" i="7"/>
  <c r="U15" i="7"/>
  <c r="Y15" i="7"/>
  <c r="AC15" i="7"/>
  <c r="Y9" i="6"/>
  <c r="AC9" i="6"/>
  <c r="Y11" i="6"/>
  <c r="AC11" i="6"/>
  <c r="Y12" i="6"/>
  <c r="AC12" i="6"/>
  <c r="Y13" i="6"/>
  <c r="AC13" i="6"/>
  <c r="Y14" i="6"/>
  <c r="AC14" i="6"/>
  <c r="Y15" i="6"/>
  <c r="AC15" i="6"/>
  <c r="T9" i="4"/>
  <c r="X9" i="4"/>
  <c r="AB9" i="4"/>
  <c r="T11" i="4"/>
  <c r="X11" i="4"/>
  <c r="AB11" i="4"/>
  <c r="T12" i="4"/>
  <c r="X12" i="4"/>
  <c r="AB12" i="4"/>
  <c r="T13" i="4"/>
  <c r="X13" i="4"/>
  <c r="AB13" i="4"/>
  <c r="T14" i="4"/>
  <c r="X14" i="4"/>
  <c r="AB14" i="4"/>
  <c r="T15" i="4"/>
  <c r="X15" i="4"/>
  <c r="AB15" i="4"/>
  <c r="T9" i="7"/>
  <c r="X9" i="7"/>
  <c r="AB9" i="7"/>
  <c r="T11" i="7"/>
  <c r="X11" i="7"/>
  <c r="AB11" i="7"/>
  <c r="T12" i="7"/>
  <c r="X12" i="7"/>
  <c r="AB12" i="7"/>
  <c r="T13" i="7"/>
  <c r="X13" i="7"/>
  <c r="AB13" i="7"/>
  <c r="T14" i="7"/>
  <c r="X14" i="7"/>
  <c r="AB14" i="7"/>
  <c r="T15" i="7"/>
  <c r="X15" i="7"/>
  <c r="AB15" i="7"/>
  <c r="T9" i="6"/>
  <c r="X9" i="6"/>
  <c r="AB9" i="6"/>
  <c r="T11" i="6"/>
  <c r="X11" i="6"/>
  <c r="AB11" i="6"/>
  <c r="T12" i="6"/>
  <c r="X12" i="6"/>
  <c r="AB12" i="6"/>
  <c r="T13" i="6"/>
  <c r="X13" i="6"/>
  <c r="AB13" i="6"/>
  <c r="T14" i="6"/>
  <c r="X14" i="6"/>
  <c r="AB14" i="6"/>
  <c r="T15" i="6"/>
  <c r="X15" i="6"/>
  <c r="AB15" i="6"/>
  <c r="S9" i="4"/>
  <c r="W9" i="4"/>
  <c r="AA9" i="4"/>
  <c r="S11" i="4"/>
  <c r="W11" i="4"/>
  <c r="AA11" i="4"/>
  <c r="S12" i="4"/>
  <c r="W12" i="4"/>
  <c r="AA12" i="4"/>
  <c r="S13" i="4"/>
  <c r="W13" i="4"/>
  <c r="AA13" i="4"/>
  <c r="S14" i="4"/>
  <c r="W14" i="4"/>
  <c r="AA14" i="4"/>
  <c r="S15" i="4"/>
  <c r="W15" i="4"/>
  <c r="AA15" i="4"/>
  <c r="AA9" i="7"/>
  <c r="W13" i="7"/>
  <c r="AA15" i="7"/>
  <c r="S9" i="6"/>
  <c r="W9" i="6"/>
  <c r="AA9" i="6"/>
  <c r="S11" i="6"/>
  <c r="W11" i="6"/>
  <c r="AA11" i="6"/>
  <c r="S12" i="6"/>
  <c r="W12" i="6"/>
  <c r="AA12" i="6"/>
  <c r="S13" i="6"/>
  <c r="W13" i="6"/>
  <c r="AA13" i="6"/>
  <c r="S14" i="6"/>
  <c r="W14" i="6"/>
  <c r="AA14" i="6"/>
  <c r="S15" i="6"/>
  <c r="W15" i="6"/>
  <c r="AA15" i="6"/>
  <c r="R9" i="4"/>
  <c r="V9" i="4"/>
  <c r="Z9" i="4"/>
  <c r="R11" i="4"/>
  <c r="V11" i="4"/>
  <c r="Z11" i="4"/>
  <c r="R12" i="4"/>
  <c r="V12" i="4"/>
  <c r="Z12" i="4"/>
  <c r="R13" i="4"/>
  <c r="V13" i="4"/>
  <c r="Z13" i="4"/>
  <c r="R14" i="4"/>
  <c r="V14" i="4"/>
  <c r="Z14" i="4"/>
  <c r="R15" i="4"/>
  <c r="V15" i="4"/>
  <c r="Z15" i="4"/>
  <c r="C17" i="4"/>
  <c r="H15" i="7"/>
  <c r="H14" i="7"/>
  <c r="H13" i="7"/>
  <c r="H12" i="7"/>
  <c r="H11" i="7"/>
  <c r="H9" i="7"/>
  <c r="L15" i="7"/>
  <c r="L14" i="7"/>
  <c r="L13" i="7"/>
  <c r="L12" i="7"/>
  <c r="L11" i="7"/>
  <c r="L9" i="7"/>
  <c r="P15" i="7"/>
  <c r="P14" i="7"/>
  <c r="P13" i="7"/>
  <c r="P12" i="7"/>
  <c r="P11" i="7"/>
  <c r="P9" i="7"/>
  <c r="E15" i="7"/>
  <c r="E13" i="7"/>
  <c r="E14" i="7"/>
  <c r="E12" i="7"/>
  <c r="E11" i="7"/>
  <c r="E9" i="7"/>
  <c r="I14" i="7"/>
  <c r="I12" i="7"/>
  <c r="I11" i="7"/>
  <c r="I15" i="7"/>
  <c r="I13" i="7"/>
  <c r="I9" i="7"/>
  <c r="M15" i="7"/>
  <c r="M13" i="7"/>
  <c r="M9" i="7"/>
  <c r="M14" i="7"/>
  <c r="M12" i="7"/>
  <c r="M11" i="7"/>
  <c r="N9" i="7"/>
  <c r="J11" i="7"/>
  <c r="J12" i="7"/>
  <c r="N12" i="7"/>
  <c r="J13" i="7"/>
  <c r="F14" i="7"/>
  <c r="F15" i="7"/>
  <c r="N15" i="7"/>
  <c r="J9" i="7"/>
  <c r="F11" i="7"/>
  <c r="F12" i="7"/>
  <c r="F13" i="7"/>
  <c r="N13" i="7"/>
  <c r="J14" i="7"/>
  <c r="J15" i="7"/>
  <c r="G9" i="7"/>
  <c r="K9" i="7"/>
  <c r="O9" i="7"/>
  <c r="G11" i="7"/>
  <c r="K11" i="7"/>
  <c r="O11" i="7"/>
  <c r="G12" i="7"/>
  <c r="K12" i="7"/>
  <c r="O12" i="7"/>
  <c r="G13" i="7"/>
  <c r="K13" i="7"/>
  <c r="O13" i="7"/>
  <c r="G14" i="7"/>
  <c r="K14" i="7"/>
  <c r="O14" i="7"/>
  <c r="N11" i="7"/>
  <c r="E9" i="6"/>
  <c r="I9" i="6"/>
  <c r="M9" i="6"/>
  <c r="E11" i="6"/>
  <c r="I11" i="6"/>
  <c r="M11" i="6"/>
  <c r="E12" i="6"/>
  <c r="I12" i="6"/>
  <c r="M12" i="6"/>
  <c r="E13" i="6"/>
  <c r="I13" i="6"/>
  <c r="M13" i="6"/>
  <c r="E14" i="6"/>
  <c r="I14" i="6"/>
  <c r="M14" i="6"/>
  <c r="E15" i="6"/>
  <c r="I15" i="6"/>
  <c r="M15" i="6"/>
  <c r="H9" i="6"/>
  <c r="L9" i="6"/>
  <c r="P9" i="6"/>
  <c r="H11" i="6"/>
  <c r="L11" i="6"/>
  <c r="P11" i="6"/>
  <c r="H12" i="6"/>
  <c r="L12" i="6"/>
  <c r="P12" i="6"/>
  <c r="H13" i="6"/>
  <c r="L13" i="6"/>
  <c r="P13" i="6"/>
  <c r="H14" i="6"/>
  <c r="L14" i="6"/>
  <c r="P14" i="6"/>
  <c r="G9" i="6"/>
  <c r="K9" i="6"/>
  <c r="O9" i="6"/>
  <c r="G11" i="6"/>
  <c r="K11" i="6"/>
  <c r="O11" i="6"/>
  <c r="G12" i="6"/>
  <c r="K12" i="6"/>
  <c r="O12" i="6"/>
  <c r="G13" i="6"/>
  <c r="K13" i="6"/>
  <c r="O13" i="6"/>
  <c r="G14" i="6"/>
  <c r="K14" i="6"/>
  <c r="O14" i="6"/>
  <c r="F9" i="6"/>
  <c r="J9" i="6"/>
  <c r="N9" i="6"/>
  <c r="F11" i="6"/>
  <c r="J11" i="6"/>
  <c r="N11" i="6"/>
  <c r="F12" i="6"/>
  <c r="J12" i="6"/>
  <c r="N12" i="6"/>
  <c r="F13" i="6"/>
  <c r="J13" i="6"/>
  <c r="N13" i="6"/>
  <c r="F14" i="6"/>
  <c r="J14" i="6"/>
  <c r="N14" i="6"/>
  <c r="E13" i="5"/>
  <c r="M13" i="5"/>
  <c r="E9" i="4"/>
  <c r="I9" i="4"/>
  <c r="M9" i="4"/>
  <c r="E11" i="4"/>
  <c r="I11" i="4"/>
  <c r="M11" i="4"/>
  <c r="E12" i="4"/>
  <c r="I12" i="4"/>
  <c r="M12" i="4"/>
  <c r="E13" i="4"/>
  <c r="I13" i="4"/>
  <c r="M13" i="4"/>
  <c r="E14" i="4"/>
  <c r="I14" i="4"/>
  <c r="M14" i="4"/>
  <c r="E15" i="4"/>
  <c r="I15" i="4"/>
  <c r="M15" i="4"/>
  <c r="H9" i="4"/>
  <c r="L9" i="4"/>
  <c r="P9" i="4"/>
  <c r="H11" i="4"/>
  <c r="L11" i="4"/>
  <c r="P11" i="4"/>
  <c r="H12" i="4"/>
  <c r="L12" i="4"/>
  <c r="P12" i="4"/>
  <c r="H13" i="4"/>
  <c r="L13" i="4"/>
  <c r="P13" i="4"/>
  <c r="H14" i="4"/>
  <c r="L14" i="4"/>
  <c r="P14" i="4"/>
  <c r="G9" i="4"/>
  <c r="K9" i="4"/>
  <c r="O9" i="4"/>
  <c r="G11" i="4"/>
  <c r="K11" i="4"/>
  <c r="O11" i="4"/>
  <c r="G12" i="4"/>
  <c r="K12" i="4"/>
  <c r="O12" i="4"/>
  <c r="G13" i="4"/>
  <c r="K13" i="4"/>
  <c r="O13" i="4"/>
  <c r="G14" i="4"/>
  <c r="K14" i="4"/>
  <c r="O14" i="4"/>
  <c r="F9" i="4"/>
  <c r="J9" i="4"/>
  <c r="N9" i="4"/>
  <c r="F11" i="4"/>
  <c r="J11" i="4"/>
  <c r="N11" i="4"/>
  <c r="F12" i="4"/>
  <c r="J12" i="4"/>
  <c r="N12" i="4"/>
  <c r="F13" i="4"/>
  <c r="J13" i="4"/>
  <c r="N13" i="4"/>
  <c r="F14" i="4"/>
  <c r="J14" i="4"/>
  <c r="N14" i="4"/>
  <c r="AK35" i="9" l="1"/>
  <c r="AJ54" i="9"/>
  <c r="AL36" i="9"/>
  <c r="O14" i="5"/>
  <c r="AI17" i="9"/>
  <c r="AI54" i="9" s="1"/>
  <c r="AI24" i="9"/>
  <c r="AI47" i="9" s="1"/>
  <c r="O15" i="5"/>
  <c r="AJ30" i="9"/>
  <c r="AJ85" i="6" s="1"/>
  <c r="AJ49" i="9"/>
  <c r="AJ102" i="9" s="1"/>
  <c r="AK132" i="6"/>
  <c r="AK31" i="9" s="1"/>
  <c r="AK101" i="9" s="1"/>
  <c r="AK104" i="9" s="1"/>
  <c r="O13" i="5"/>
  <c r="O13" i="1" s="1"/>
  <c r="O12" i="5"/>
  <c r="O12" i="1" s="1"/>
  <c r="AZ14" i="7"/>
  <c r="O11" i="5"/>
  <c r="O11" i="1" s="1"/>
  <c r="O6" i="1"/>
  <c r="O9" i="1" s="1"/>
  <c r="W9" i="5"/>
  <c r="S13" i="12"/>
  <c r="BZ18" i="7"/>
  <c r="BV14" i="7"/>
  <c r="BV18" i="7" s="1"/>
  <c r="BZ17" i="7"/>
  <c r="BQ65" i="7"/>
  <c r="BR56" i="7"/>
  <c r="BV26" i="7"/>
  <c r="X9" i="5"/>
  <c r="BG83" i="6"/>
  <c r="BG80" i="6"/>
  <c r="BG81" i="6"/>
  <c r="BG82" i="6"/>
  <c r="AK131" i="6"/>
  <c r="AK6" i="6" s="1"/>
  <c r="AK14" i="6" s="1"/>
  <c r="AK14" i="1" s="1"/>
  <c r="AU14" i="7"/>
  <c r="AP75" i="11"/>
  <c r="BH75" i="11" s="1"/>
  <c r="AZ15" i="7"/>
  <c r="W18" i="7"/>
  <c r="AP68" i="11"/>
  <c r="BH68" i="11" s="1"/>
  <c r="AZ11" i="7"/>
  <c r="AP71" i="11"/>
  <c r="BH71" i="11" s="1"/>
  <c r="AP74" i="11"/>
  <c r="BD74" i="11" s="1"/>
  <c r="H13" i="5"/>
  <c r="H13" i="1" s="1"/>
  <c r="BA13" i="7"/>
  <c r="U9" i="5"/>
  <c r="AP73" i="11"/>
  <c r="BH73" i="11" s="1"/>
  <c r="AP70" i="11"/>
  <c r="BD70" i="11" s="1"/>
  <c r="AP67" i="11"/>
  <c r="AP69" i="11"/>
  <c r="BH69" i="11" s="1"/>
  <c r="AP66" i="11"/>
  <c r="BD66" i="11" s="1"/>
  <c r="AU12" i="7"/>
  <c r="AZ12" i="7"/>
  <c r="AP72" i="11"/>
  <c r="BH72" i="11" s="1"/>
  <c r="AZ7" i="12"/>
  <c r="BT12" i="14" s="1"/>
  <c r="BP12" i="14" s="1"/>
  <c r="BV12" i="4"/>
  <c r="BS18" i="4"/>
  <c r="BJ12" i="4"/>
  <c r="N13" i="5"/>
  <c r="N13" i="1" s="1"/>
  <c r="BS17" i="4"/>
  <c r="BJ14" i="4"/>
  <c r="F13" i="5"/>
  <c r="F13" i="1" s="1"/>
  <c r="H9" i="5"/>
  <c r="Z13" i="5"/>
  <c r="Z13" i="1" s="1"/>
  <c r="BV15" i="4"/>
  <c r="BJ11" i="4"/>
  <c r="BK17" i="4"/>
  <c r="BK18" i="4"/>
  <c r="BT17" i="4"/>
  <c r="BT18" i="4"/>
  <c r="AU11" i="7"/>
  <c r="BP13" i="4"/>
  <c r="BV14" i="4"/>
  <c r="F11" i="5"/>
  <c r="F11" i="1" s="1"/>
  <c r="M14" i="5"/>
  <c r="M14" i="1" s="1"/>
  <c r="Z15" i="5"/>
  <c r="Z15" i="1" s="1"/>
  <c r="BJ13" i="4"/>
  <c r="BP15" i="4"/>
  <c r="BY17" i="4"/>
  <c r="BY18" i="4"/>
  <c r="BR17" i="4"/>
  <c r="BR18" i="4"/>
  <c r="BL17" i="4"/>
  <c r="BL18" i="4"/>
  <c r="BV11" i="4"/>
  <c r="BW17" i="4"/>
  <c r="BW18" i="4"/>
  <c r="BN17" i="4"/>
  <c r="BN18" i="4"/>
  <c r="M11" i="5"/>
  <c r="M11" i="1" s="1"/>
  <c r="BV15" i="6"/>
  <c r="BP14" i="6"/>
  <c r="BV13" i="4"/>
  <c r="BZ17" i="4"/>
  <c r="BZ18" i="4"/>
  <c r="BM17" i="4"/>
  <c r="BM18" i="4"/>
  <c r="BP14" i="4"/>
  <c r="AL12" i="9"/>
  <c r="AK11" i="9"/>
  <c r="BK76" i="11"/>
  <c r="BK66" i="11"/>
  <c r="BK74" i="11"/>
  <c r="BK75" i="11"/>
  <c r="BK70" i="11"/>
  <c r="BK67" i="11"/>
  <c r="BK69" i="11"/>
  <c r="BK71" i="11"/>
  <c r="BK72" i="11"/>
  <c r="BK73" i="11"/>
  <c r="BK68" i="11"/>
  <c r="BX17" i="4"/>
  <c r="BX18" i="4"/>
  <c r="BL65" i="11"/>
  <c r="BL77" i="9"/>
  <c r="BJ15" i="4"/>
  <c r="BP11" i="4"/>
  <c r="BQ17" i="4"/>
  <c r="BQ18" i="4"/>
  <c r="BV73" i="9"/>
  <c r="BP12" i="4"/>
  <c r="BH76" i="11"/>
  <c r="BP15" i="6"/>
  <c r="BS17" i="6"/>
  <c r="BM18" i="6"/>
  <c r="BM17" i="6"/>
  <c r="BZ17" i="6"/>
  <c r="BZ18" i="6"/>
  <c r="BP11" i="6"/>
  <c r="BQ18" i="6"/>
  <c r="BQ17" i="6"/>
  <c r="BL18" i="6"/>
  <c r="BL17" i="6"/>
  <c r="BX18" i="6"/>
  <c r="BX17" i="6"/>
  <c r="BV12" i="6"/>
  <c r="BP13" i="6"/>
  <c r="BN17" i="6"/>
  <c r="BN18" i="6"/>
  <c r="BY17" i="6"/>
  <c r="BY18" i="6"/>
  <c r="BT17" i="6"/>
  <c r="BT18" i="6"/>
  <c r="BS18" i="6"/>
  <c r="BV14" i="6"/>
  <c r="BV11" i="6"/>
  <c r="BW17" i="6"/>
  <c r="BW18" i="6"/>
  <c r="BR18" i="6"/>
  <c r="BR17" i="6"/>
  <c r="BP12" i="6"/>
  <c r="BV13" i="6"/>
  <c r="BB78" i="11"/>
  <c r="BB79" i="11" s="1"/>
  <c r="BB65" i="11"/>
  <c r="BD76" i="11"/>
  <c r="BD22" i="12" s="1"/>
  <c r="BE22" i="12" s="1"/>
  <c r="AX78" i="11"/>
  <c r="AX79" i="11" s="1"/>
  <c r="AX65" i="11"/>
  <c r="V12" i="1"/>
  <c r="AO14" i="1"/>
  <c r="AM14" i="1"/>
  <c r="AL12" i="1"/>
  <c r="BS8" i="10"/>
  <c r="BY8" i="10" s="1"/>
  <c r="AB2" i="3"/>
  <c r="CB8" i="10"/>
  <c r="V3" i="3"/>
  <c r="C14" i="3" s="1"/>
  <c r="BY7" i="10"/>
  <c r="AB3" i="3"/>
  <c r="V2" i="3"/>
  <c r="B14" i="3" s="1"/>
  <c r="BG10" i="10"/>
  <c r="BH14" i="4"/>
  <c r="AO78" i="11"/>
  <c r="AN79" i="11"/>
  <c r="AN81" i="9"/>
  <c r="AN11" i="10"/>
  <c r="AA81" i="9"/>
  <c r="BB81" i="9" s="1"/>
  <c r="AA11" i="10"/>
  <c r="BB11" i="10" s="1"/>
  <c r="AA79" i="11"/>
  <c r="Z11" i="10"/>
  <c r="BA11" i="10" s="1"/>
  <c r="Z81" i="9"/>
  <c r="AX81" i="9" s="1"/>
  <c r="Z79" i="11"/>
  <c r="AV11" i="6"/>
  <c r="AU11" i="6"/>
  <c r="P17" i="6"/>
  <c r="P18" i="6" s="1"/>
  <c r="P13" i="5"/>
  <c r="P13" i="1" s="1"/>
  <c r="E15" i="5"/>
  <c r="E15" i="1" s="1"/>
  <c r="X11" i="5"/>
  <c r="X11" i="1" s="1"/>
  <c r="K14" i="5"/>
  <c r="K14" i="1" s="1"/>
  <c r="G12" i="5"/>
  <c r="G12" i="1" s="1"/>
  <c r="W14" i="5"/>
  <c r="W14" i="1" s="1"/>
  <c r="X14" i="5"/>
  <c r="X14" i="1" s="1"/>
  <c r="U14" i="5"/>
  <c r="K12" i="5"/>
  <c r="K12" i="1" s="1"/>
  <c r="E12" i="5"/>
  <c r="E12" i="1" s="1"/>
  <c r="W11" i="5"/>
  <c r="W11" i="1" s="1"/>
  <c r="U11" i="5"/>
  <c r="J11" i="5"/>
  <c r="J11" i="1" s="1"/>
  <c r="P9" i="5"/>
  <c r="W15" i="5"/>
  <c r="W15" i="1" s="1"/>
  <c r="X15" i="5"/>
  <c r="X15" i="1" s="1"/>
  <c r="U15" i="5"/>
  <c r="AR8" i="14"/>
  <c r="AV8" i="14"/>
  <c r="P20" i="14"/>
  <c r="X14" i="12"/>
  <c r="F9" i="5"/>
  <c r="H14" i="5"/>
  <c r="H14" i="1" s="1"/>
  <c r="M9" i="5"/>
  <c r="Z11" i="5"/>
  <c r="Z11" i="1" s="1"/>
  <c r="S9" i="5"/>
  <c r="H15" i="5"/>
  <c r="H15" i="1" s="1"/>
  <c r="G15" i="5"/>
  <c r="K15" i="5"/>
  <c r="K15" i="1" s="1"/>
  <c r="AO12" i="1"/>
  <c r="AM12" i="1"/>
  <c r="X73" i="6"/>
  <c r="Y27" i="12"/>
  <c r="V25" i="14"/>
  <c r="K9" i="5"/>
  <c r="L12" i="5"/>
  <c r="L12" i="1" s="1"/>
  <c r="O92" i="9"/>
  <c r="O8" i="12" s="1"/>
  <c r="P85" i="9"/>
  <c r="P87" i="9" s="1"/>
  <c r="P89" i="9" s="1"/>
  <c r="P92" i="9" s="1"/>
  <c r="P8" i="12" s="1"/>
  <c r="AV13" i="4"/>
  <c r="AU13" i="4"/>
  <c r="J14" i="5"/>
  <c r="F12" i="5"/>
  <c r="F12" i="1" s="1"/>
  <c r="K13" i="5"/>
  <c r="H12" i="5"/>
  <c r="M15" i="5"/>
  <c r="M15" i="1" s="1"/>
  <c r="L11" i="1"/>
  <c r="F14" i="5"/>
  <c r="F14" i="1" s="1"/>
  <c r="N11" i="5"/>
  <c r="N11" i="1" s="1"/>
  <c r="M12" i="5"/>
  <c r="BA12" i="7"/>
  <c r="Z12" i="5"/>
  <c r="Z12" i="1" s="1"/>
  <c r="H110" i="5"/>
  <c r="H24" i="5" s="1"/>
  <c r="H26" i="5" s="1"/>
  <c r="F15" i="5"/>
  <c r="F15" i="1" s="1"/>
  <c r="AL14" i="1"/>
  <c r="AL13" i="1"/>
  <c r="R8" i="14"/>
  <c r="R18" i="13"/>
  <c r="Y71" i="6"/>
  <c r="Y73" i="6" s="1"/>
  <c r="U27" i="14"/>
  <c r="W14" i="14"/>
  <c r="AZ14" i="14" s="1"/>
  <c r="N13" i="14"/>
  <c r="AP12" i="1"/>
  <c r="AP13" i="1"/>
  <c r="BA14" i="6"/>
  <c r="BB11" i="6"/>
  <c r="BA15" i="6"/>
  <c r="BA11" i="6"/>
  <c r="BB12" i="6"/>
  <c r="AG18" i="9"/>
  <c r="AH16" i="9"/>
  <c r="AT11" i="7"/>
  <c r="AO17" i="4"/>
  <c r="BB13" i="4"/>
  <c r="AV13" i="7"/>
  <c r="BH13" i="4"/>
  <c r="AG17" i="4"/>
  <c r="AT13" i="4"/>
  <c r="AT13" i="6"/>
  <c r="AT12" i="6"/>
  <c r="AT12" i="7"/>
  <c r="BA12" i="4"/>
  <c r="BF12" i="4"/>
  <c r="AT11" i="4"/>
  <c r="AT11" i="6"/>
  <c r="BA11" i="4"/>
  <c r="AT14" i="4"/>
  <c r="BA14" i="4"/>
  <c r="BB14" i="7"/>
  <c r="AL18" i="4"/>
  <c r="AV14" i="7"/>
  <c r="BG14" i="4"/>
  <c r="AU15" i="7"/>
  <c r="AT15" i="7"/>
  <c r="BB15" i="6"/>
  <c r="BA15" i="4"/>
  <c r="S18" i="7"/>
  <c r="BF15" i="4"/>
  <c r="AV15" i="6"/>
  <c r="AS11" i="4"/>
  <c r="AR11" i="4"/>
  <c r="AS13" i="6"/>
  <c r="AR13" i="6"/>
  <c r="AR14" i="7"/>
  <c r="AS14" i="7"/>
  <c r="AY15" i="4"/>
  <c r="AX15" i="4"/>
  <c r="AY14" i="6"/>
  <c r="BB11" i="7"/>
  <c r="AM18" i="6"/>
  <c r="AM17" i="6"/>
  <c r="AL18" i="6"/>
  <c r="AL17" i="6"/>
  <c r="BG11" i="4"/>
  <c r="AK18" i="4"/>
  <c r="AK17" i="4"/>
  <c r="BD15" i="4"/>
  <c r="BE15" i="4"/>
  <c r="AV14" i="4"/>
  <c r="AU14" i="4"/>
  <c r="J12" i="5"/>
  <c r="J12" i="1" s="1"/>
  <c r="I9" i="5"/>
  <c r="AV12" i="7"/>
  <c r="AZ13" i="4"/>
  <c r="AY15" i="6"/>
  <c r="AY13" i="7"/>
  <c r="AX13" i="7"/>
  <c r="AL15" i="1"/>
  <c r="AM13" i="1"/>
  <c r="AL17" i="4"/>
  <c r="BF11" i="4"/>
  <c r="AH17" i="4"/>
  <c r="AU11" i="4"/>
  <c r="AR13" i="4"/>
  <c r="AS13" i="4"/>
  <c r="J9" i="5"/>
  <c r="G14" i="5"/>
  <c r="G14" i="1" s="1"/>
  <c r="I14" i="5"/>
  <c r="I11" i="5"/>
  <c r="I11" i="1" s="1"/>
  <c r="AV13" i="6"/>
  <c r="AU13" i="6"/>
  <c r="AV12" i="4"/>
  <c r="AU12" i="4"/>
  <c r="AT12" i="4"/>
  <c r="AS14" i="4"/>
  <c r="AR14" i="4"/>
  <c r="J13" i="5"/>
  <c r="G11" i="5"/>
  <c r="G11" i="1" s="1"/>
  <c r="P14" i="5"/>
  <c r="P12" i="5"/>
  <c r="P12" i="1" s="1"/>
  <c r="I15" i="5"/>
  <c r="E14" i="5"/>
  <c r="I12" i="5"/>
  <c r="I12" i="1" s="1"/>
  <c r="E11" i="5"/>
  <c r="AV14" i="6"/>
  <c r="AU14" i="6"/>
  <c r="AT14" i="6"/>
  <c r="AS12" i="6"/>
  <c r="AR12" i="6"/>
  <c r="AU13" i="7"/>
  <c r="AR12" i="7"/>
  <c r="AS12" i="7"/>
  <c r="AT14" i="7"/>
  <c r="AX14" i="4"/>
  <c r="AY14" i="4"/>
  <c r="BB14" i="6"/>
  <c r="BB15" i="7"/>
  <c r="BB12" i="4"/>
  <c r="BA13" i="6"/>
  <c r="BA15" i="7"/>
  <c r="BA11" i="7"/>
  <c r="BA13" i="4"/>
  <c r="AZ15" i="4"/>
  <c r="AZ11" i="4"/>
  <c r="AY13" i="6"/>
  <c r="AY15" i="7"/>
  <c r="AX15" i="7"/>
  <c r="AY11" i="7"/>
  <c r="AX11" i="7"/>
  <c r="AA11" i="5"/>
  <c r="AA11" i="1" s="1"/>
  <c r="W13" i="5"/>
  <c r="W13" i="1" s="1"/>
  <c r="S14" i="5"/>
  <c r="S14" i="1" s="1"/>
  <c r="X13" i="5"/>
  <c r="X13" i="1" s="1"/>
  <c r="Y13" i="5"/>
  <c r="Y13" i="1" s="1"/>
  <c r="U13" i="5"/>
  <c r="P15" i="5"/>
  <c r="H70" i="5"/>
  <c r="I70" i="5" s="1"/>
  <c r="AP15" i="1"/>
  <c r="AO15" i="1"/>
  <c r="BH15" i="6"/>
  <c r="BH11" i="6"/>
  <c r="AN17" i="6"/>
  <c r="AP18" i="4"/>
  <c r="AP17" i="4"/>
  <c r="BH11" i="4"/>
  <c r="AN18" i="4"/>
  <c r="AN17" i="4"/>
  <c r="AJ17" i="4"/>
  <c r="AJ18" i="4"/>
  <c r="AR9" i="6"/>
  <c r="BB9" i="6"/>
  <c r="AN18" i="6"/>
  <c r="BH12" i="6"/>
  <c r="BF13" i="4"/>
  <c r="BE13" i="4"/>
  <c r="BD13" i="4"/>
  <c r="BG15" i="4"/>
  <c r="AG18" i="4"/>
  <c r="BG12" i="4"/>
  <c r="AS15" i="4"/>
  <c r="AR15" i="4"/>
  <c r="AY11" i="4"/>
  <c r="AX11" i="4"/>
  <c r="AZ13" i="7"/>
  <c r="BB13" i="7"/>
  <c r="AZ12" i="4"/>
  <c r="AY12" i="7"/>
  <c r="AX12" i="7"/>
  <c r="AV15" i="4"/>
  <c r="T63" i="8"/>
  <c r="T72" i="8" s="1"/>
  <c r="S71" i="7"/>
  <c r="S71" i="1" s="1"/>
  <c r="BH13" i="6"/>
  <c r="BE12" i="4"/>
  <c r="BD12" i="4"/>
  <c r="AS12" i="4"/>
  <c r="AR12" i="4"/>
  <c r="G13" i="5"/>
  <c r="AV12" i="6"/>
  <c r="AU12" i="6"/>
  <c r="AR14" i="6"/>
  <c r="AS14" i="6"/>
  <c r="AV15" i="7"/>
  <c r="AS13" i="7"/>
  <c r="AR13" i="7"/>
  <c r="AY12" i="4"/>
  <c r="AX12" i="4"/>
  <c r="BB14" i="4"/>
  <c r="BB12" i="7"/>
  <c r="AY11" i="6"/>
  <c r="AT15" i="6"/>
  <c r="AY9" i="6"/>
  <c r="AU9" i="6"/>
  <c r="BD11" i="4"/>
  <c r="BE11" i="4"/>
  <c r="AE18" i="4"/>
  <c r="AE17" i="4"/>
  <c r="AV11" i="4"/>
  <c r="P17" i="4"/>
  <c r="P18" i="4" s="1"/>
  <c r="G9" i="5"/>
  <c r="P11" i="5"/>
  <c r="P11" i="1" s="1"/>
  <c r="AR15" i="6"/>
  <c r="AS15" i="6"/>
  <c r="AR11" i="6"/>
  <c r="AS11" i="6"/>
  <c r="AV11" i="7"/>
  <c r="AS11" i="7"/>
  <c r="AR11" i="7"/>
  <c r="AR15" i="7"/>
  <c r="AS15" i="7"/>
  <c r="P17" i="7"/>
  <c r="P18" i="7" s="1"/>
  <c r="AT13" i="7"/>
  <c r="AX13" i="4"/>
  <c r="AY13" i="4"/>
  <c r="BB13" i="6"/>
  <c r="BB15" i="4"/>
  <c r="BB11" i="4"/>
  <c r="BA12" i="6"/>
  <c r="BA14" i="7"/>
  <c r="AZ14" i="4"/>
  <c r="AY12" i="6"/>
  <c r="AY14" i="7"/>
  <c r="AX14" i="7"/>
  <c r="W12" i="5"/>
  <c r="W12" i="1" s="1"/>
  <c r="Y11" i="5"/>
  <c r="AT15" i="4"/>
  <c r="AU15" i="6"/>
  <c r="AU15" i="4"/>
  <c r="AP14" i="1"/>
  <c r="AM15" i="1"/>
  <c r="AO13" i="1"/>
  <c r="AP17" i="6"/>
  <c r="AO17" i="6"/>
  <c r="AO18" i="6"/>
  <c r="AH18" i="4"/>
  <c r="BF14" i="4"/>
  <c r="BE14" i="4"/>
  <c r="BD14" i="4"/>
  <c r="AF18" i="4"/>
  <c r="AF17" i="4"/>
  <c r="AM18" i="4"/>
  <c r="AM17" i="4"/>
  <c r="AI17" i="4"/>
  <c r="AI18" i="4"/>
  <c r="AS9" i="6"/>
  <c r="AP18" i="6"/>
  <c r="BG13" i="4"/>
  <c r="AO18" i="4"/>
  <c r="BH14" i="6"/>
  <c r="BH15" i="4"/>
  <c r="BH12" i="4"/>
  <c r="T71" i="5"/>
  <c r="AY71" i="5" s="1"/>
  <c r="N14" i="5"/>
  <c r="N14" i="1" s="1"/>
  <c r="N9" i="5"/>
  <c r="V13" i="5"/>
  <c r="V13" i="1" s="1"/>
  <c r="S13" i="5"/>
  <c r="S13" i="1" s="1"/>
  <c r="Y9" i="5"/>
  <c r="Y15" i="5"/>
  <c r="Y15" i="1" s="1"/>
  <c r="G73" i="5"/>
  <c r="R15" i="5"/>
  <c r="R15" i="1" s="1"/>
  <c r="S12" i="5"/>
  <c r="S12" i="1" s="1"/>
  <c r="F24" i="1"/>
  <c r="F26" i="1" s="1"/>
  <c r="N12" i="5"/>
  <c r="S11" i="5"/>
  <c r="S11" i="1" s="1"/>
  <c r="Y12" i="5"/>
  <c r="Y12" i="1" s="1"/>
  <c r="AB13" i="5"/>
  <c r="AB13" i="1" s="1"/>
  <c r="H6" i="1"/>
  <c r="AT6" i="5"/>
  <c r="AT9" i="5" s="1"/>
  <c r="K9" i="1"/>
  <c r="BF14" i="5"/>
  <c r="BG14" i="5"/>
  <c r="BF15" i="5"/>
  <c r="BH11" i="5"/>
  <c r="AN11" i="1"/>
  <c r="AN17" i="5"/>
  <c r="AN18" i="5"/>
  <c r="AL11" i="1"/>
  <c r="AL17" i="5"/>
  <c r="AL18" i="5"/>
  <c r="BE11" i="5"/>
  <c r="BD11" i="5"/>
  <c r="AE17" i="5"/>
  <c r="AE18" i="5"/>
  <c r="AS70" i="1"/>
  <c r="AS73" i="1" s="1"/>
  <c r="F73" i="1"/>
  <c r="BD12" i="5"/>
  <c r="BE12" i="5"/>
  <c r="BD13" i="5"/>
  <c r="BE13" i="5"/>
  <c r="AS24" i="5"/>
  <c r="AS26" i="5" s="1"/>
  <c r="R13" i="5"/>
  <c r="R13" i="1" s="1"/>
  <c r="AY6" i="5"/>
  <c r="AY9" i="5" s="1"/>
  <c r="N6" i="1"/>
  <c r="AV6" i="5"/>
  <c r="AV9" i="5" s="1"/>
  <c r="BH14" i="5"/>
  <c r="AN14" i="1"/>
  <c r="BH15" i="5"/>
  <c r="AN15" i="1"/>
  <c r="BF11" i="5"/>
  <c r="AH17" i="5"/>
  <c r="AH18" i="5"/>
  <c r="AJ17" i="5"/>
  <c r="AJ18" i="5"/>
  <c r="AP11" i="1"/>
  <c r="AP17" i="5"/>
  <c r="AP18" i="5"/>
  <c r="AK18" i="5"/>
  <c r="BG12" i="5"/>
  <c r="AU6" i="5"/>
  <c r="AU9" i="5" s="1"/>
  <c r="K26" i="5"/>
  <c r="X6" i="1"/>
  <c r="BA6" i="5"/>
  <c r="BA9" i="5" s="1"/>
  <c r="E6" i="1"/>
  <c r="AS6" i="5"/>
  <c r="AS9" i="5" s="1"/>
  <c r="AR6" i="5"/>
  <c r="AR9" i="5" s="1"/>
  <c r="AZ6" i="5"/>
  <c r="AZ9" i="5" s="1"/>
  <c r="E26" i="1"/>
  <c r="BD14" i="5"/>
  <c r="BE14" i="5"/>
  <c r="BE15" i="5"/>
  <c r="BD15" i="5"/>
  <c r="AF17" i="5"/>
  <c r="AF18" i="5"/>
  <c r="BG11" i="5"/>
  <c r="AK17" i="5"/>
  <c r="AI17" i="5"/>
  <c r="AI18" i="5"/>
  <c r="BF12" i="5"/>
  <c r="AS45" i="1"/>
  <c r="AS54" i="1" s="1"/>
  <c r="AR45" i="1"/>
  <c r="AR54" i="1" s="1"/>
  <c r="E54" i="1"/>
  <c r="BF13" i="5"/>
  <c r="BH13" i="5"/>
  <c r="AN13" i="1"/>
  <c r="AS70" i="5"/>
  <c r="AS73" i="5" s="1"/>
  <c r="AA14" i="5"/>
  <c r="AA14" i="1" s="1"/>
  <c r="BF45" i="1"/>
  <c r="BF54" i="1" s="1"/>
  <c r="BD45" i="1"/>
  <c r="BD54" i="1" s="1"/>
  <c r="AU45" i="1"/>
  <c r="AU54" i="1" s="1"/>
  <c r="M54" i="1"/>
  <c r="BG15" i="5"/>
  <c r="AM11" i="1"/>
  <c r="AM18" i="5"/>
  <c r="AM17" i="5"/>
  <c r="AO11" i="1"/>
  <c r="AO18" i="5"/>
  <c r="AO17" i="5"/>
  <c r="AG18" i="5"/>
  <c r="AG17" i="5"/>
  <c r="BH12" i="5"/>
  <c r="AN12" i="1"/>
  <c r="BG13" i="5"/>
  <c r="Z9" i="5"/>
  <c r="Z14" i="5"/>
  <c r="Z14" i="1" s="1"/>
  <c r="L15" i="5"/>
  <c r="R11" i="1"/>
  <c r="S15" i="5"/>
  <c r="S15" i="1" s="1"/>
  <c r="G24" i="1"/>
  <c r="G26" i="1" s="1"/>
  <c r="I24" i="1"/>
  <c r="I26" i="1" s="1"/>
  <c r="K24" i="1"/>
  <c r="L24" i="1"/>
  <c r="L26" i="1" s="1"/>
  <c r="K11" i="1"/>
  <c r="I6" i="1"/>
  <c r="I9" i="1" s="1"/>
  <c r="O14" i="1"/>
  <c r="Y14" i="5"/>
  <c r="L6" i="1"/>
  <c r="L9" i="1" s="1"/>
  <c r="T6" i="1"/>
  <c r="T9" i="1" s="1"/>
  <c r="AA6" i="1"/>
  <c r="R6" i="1"/>
  <c r="V6" i="1"/>
  <c r="V9" i="1" s="1"/>
  <c r="AB6" i="1"/>
  <c r="AB9" i="1" s="1"/>
  <c r="M13" i="1"/>
  <c r="AH54" i="1"/>
  <c r="F18" i="7"/>
  <c r="I13" i="1"/>
  <c r="H11" i="1"/>
  <c r="O15" i="1"/>
  <c r="E13" i="1"/>
  <c r="J15" i="1"/>
  <c r="AA15" i="1"/>
  <c r="N15" i="1"/>
  <c r="X12" i="1"/>
  <c r="AB12" i="1"/>
  <c r="T13" i="1"/>
  <c r="V9" i="5"/>
  <c r="V14" i="5"/>
  <c r="V14" i="1" s="1"/>
  <c r="AA12" i="5"/>
  <c r="AB9" i="5"/>
  <c r="AB14" i="5"/>
  <c r="AB14" i="1" s="1"/>
  <c r="V11" i="5"/>
  <c r="V15" i="5"/>
  <c r="V15" i="1" s="1"/>
  <c r="AA13" i="5"/>
  <c r="AB11" i="5"/>
  <c r="AB11" i="1" s="1"/>
  <c r="AB15" i="5"/>
  <c r="AA9" i="5"/>
  <c r="T11" i="5"/>
  <c r="T11" i="1" s="1"/>
  <c r="L14" i="5"/>
  <c r="L14" i="1" s="1"/>
  <c r="L9" i="5"/>
  <c r="L13" i="5"/>
  <c r="L13" i="1" s="1"/>
  <c r="Y18" i="7"/>
  <c r="R12" i="5"/>
  <c r="T12" i="5"/>
  <c r="T12" i="1" s="1"/>
  <c r="T15" i="5"/>
  <c r="T15" i="1" s="1"/>
  <c r="AA18" i="7"/>
  <c r="R9" i="5"/>
  <c r="R14" i="5"/>
  <c r="T9" i="5"/>
  <c r="T14" i="5"/>
  <c r="T14" i="1" s="1"/>
  <c r="G17" i="7"/>
  <c r="L17" i="7"/>
  <c r="AB18" i="7"/>
  <c r="Z18" i="6"/>
  <c r="I18" i="6"/>
  <c r="X18" i="7"/>
  <c r="T18" i="7"/>
  <c r="U18" i="7"/>
  <c r="Z18" i="7"/>
  <c r="V18" i="7"/>
  <c r="E18" i="4"/>
  <c r="G73" i="7"/>
  <c r="J96" i="5"/>
  <c r="J110" i="5" s="1"/>
  <c r="J24" i="5" s="1"/>
  <c r="R18" i="7"/>
  <c r="X18" i="6"/>
  <c r="M18" i="6"/>
  <c r="M18" i="4"/>
  <c r="E18" i="6"/>
  <c r="Y18" i="4"/>
  <c r="J18" i="4"/>
  <c r="F17" i="4"/>
  <c r="I18" i="4"/>
  <c r="W18" i="6"/>
  <c r="S18" i="4"/>
  <c r="R18" i="4"/>
  <c r="W18" i="4"/>
  <c r="AB18" i="4"/>
  <c r="X18" i="4"/>
  <c r="V18" i="6"/>
  <c r="J18" i="6"/>
  <c r="AA18" i="6"/>
  <c r="AA18" i="4"/>
  <c r="Y18" i="6"/>
  <c r="AC18" i="4"/>
  <c r="S18" i="6"/>
  <c r="AC18" i="6"/>
  <c r="U18" i="4"/>
  <c r="T18" i="6"/>
  <c r="M110" i="5"/>
  <c r="M24" i="5" s="1"/>
  <c r="AU24" i="5" s="1"/>
  <c r="AU26" i="5" s="1"/>
  <c r="N94" i="5"/>
  <c r="Z17" i="4"/>
  <c r="AA17" i="4"/>
  <c r="T17" i="7"/>
  <c r="X17" i="4"/>
  <c r="AC17" i="6"/>
  <c r="W17" i="7"/>
  <c r="R17" i="6"/>
  <c r="V17" i="7"/>
  <c r="S17" i="6"/>
  <c r="T17" i="6"/>
  <c r="X17" i="7"/>
  <c r="AB17" i="4"/>
  <c r="U17" i="7"/>
  <c r="U17" i="4"/>
  <c r="V17" i="6"/>
  <c r="Z17" i="7"/>
  <c r="S17" i="7"/>
  <c r="V18" i="4"/>
  <c r="R17" i="4"/>
  <c r="W17" i="6"/>
  <c r="S17" i="4"/>
  <c r="AB18" i="6"/>
  <c r="X17" i="6"/>
  <c r="AB17" i="7"/>
  <c r="T18" i="4"/>
  <c r="AC18" i="7"/>
  <c r="Y17" i="7"/>
  <c r="Y17" i="4"/>
  <c r="Z17" i="6"/>
  <c r="AA17" i="7"/>
  <c r="Z18" i="4"/>
  <c r="V17" i="4"/>
  <c r="AA17" i="6"/>
  <c r="W17" i="4"/>
  <c r="AB17" i="6"/>
  <c r="T17" i="4"/>
  <c r="Y17" i="6"/>
  <c r="AC17" i="7"/>
  <c r="AC17" i="4"/>
  <c r="R18" i="6"/>
  <c r="R17" i="7"/>
  <c r="F17" i="6"/>
  <c r="L18" i="6"/>
  <c r="N18" i="6"/>
  <c r="F18" i="6"/>
  <c r="H18" i="6"/>
  <c r="O18" i="6"/>
  <c r="K17" i="6"/>
  <c r="G18" i="6"/>
  <c r="K18" i="6"/>
  <c r="L18" i="4"/>
  <c r="N18" i="4"/>
  <c r="H18" i="4"/>
  <c r="O18" i="4"/>
  <c r="K17" i="4"/>
  <c r="F18" i="4"/>
  <c r="G18" i="4"/>
  <c r="K18" i="4"/>
  <c r="K18" i="7"/>
  <c r="J18" i="7"/>
  <c r="N18" i="7"/>
  <c r="I18" i="7"/>
  <c r="H17" i="7"/>
  <c r="O18" i="7"/>
  <c r="M18" i="7"/>
  <c r="E18" i="7"/>
  <c r="N17" i="7"/>
  <c r="G18" i="7"/>
  <c r="F17" i="7"/>
  <c r="L18" i="7"/>
  <c r="H18" i="7"/>
  <c r="K17" i="7"/>
  <c r="J17" i="7"/>
  <c r="E17" i="7"/>
  <c r="O17" i="7"/>
  <c r="M17" i="7"/>
  <c r="I17" i="7"/>
  <c r="M17" i="6"/>
  <c r="J17" i="6"/>
  <c r="O17" i="6"/>
  <c r="N17" i="6"/>
  <c r="H17" i="6"/>
  <c r="E17" i="6"/>
  <c r="G17" i="6"/>
  <c r="L17" i="6"/>
  <c r="I17" i="6"/>
  <c r="M17" i="4"/>
  <c r="J17" i="4"/>
  <c r="O17" i="4"/>
  <c r="N17" i="4"/>
  <c r="H17" i="4"/>
  <c r="E17" i="4"/>
  <c r="G17" i="4"/>
  <c r="L17" i="4"/>
  <c r="I17" i="4"/>
  <c r="AT13" i="5" l="1"/>
  <c r="AJ82" i="6"/>
  <c r="BD75" i="11"/>
  <c r="AK36" i="9"/>
  <c r="AL37" i="9"/>
  <c r="AL38" i="9" s="1"/>
  <c r="AL39" i="9" s="1"/>
  <c r="AJ35" i="9"/>
  <c r="AI34" i="9"/>
  <c r="AJ98" i="6"/>
  <c r="AJ93" i="6"/>
  <c r="AH17" i="9"/>
  <c r="BF17" i="9" s="1"/>
  <c r="AJ102" i="6"/>
  <c r="AJ86" i="6"/>
  <c r="AJ97" i="6"/>
  <c r="AJ81" i="6"/>
  <c r="AJ100" i="6"/>
  <c r="AJ84" i="6"/>
  <c r="AJ95" i="6"/>
  <c r="AJ80" i="6"/>
  <c r="AJ91" i="6"/>
  <c r="AJ94" i="6"/>
  <c r="AJ105" i="6"/>
  <c r="AJ89" i="6"/>
  <c r="AV15" i="5"/>
  <c r="AJ92" i="6"/>
  <c r="AJ103" i="6"/>
  <c r="AJ87" i="6"/>
  <c r="AJ96" i="6"/>
  <c r="AJ90" i="6"/>
  <c r="AJ101" i="6"/>
  <c r="AI30" i="9"/>
  <c r="AI49" i="9"/>
  <c r="AI102" i="9" s="1"/>
  <c r="AJ106" i="6"/>
  <c r="AJ114" i="6"/>
  <c r="AJ122" i="6"/>
  <c r="AJ113" i="6"/>
  <c r="AJ121" i="6"/>
  <c r="AJ129" i="6"/>
  <c r="AJ126" i="6"/>
  <c r="AJ127" i="6"/>
  <c r="AJ128" i="6"/>
  <c r="AJ115" i="6"/>
  <c r="AJ116" i="6"/>
  <c r="AJ117" i="6"/>
  <c r="AJ110" i="6"/>
  <c r="AJ123" i="6"/>
  <c r="AJ125" i="6"/>
  <c r="AJ109" i="6"/>
  <c r="AJ118" i="6"/>
  <c r="AJ108" i="6"/>
  <c r="AJ107" i="6"/>
  <c r="AJ111" i="6"/>
  <c r="AJ124" i="6"/>
  <c r="AJ119" i="6"/>
  <c r="AJ112" i="6"/>
  <c r="AJ120" i="6"/>
  <c r="AJ133" i="6"/>
  <c r="AV17" i="7"/>
  <c r="AV18" i="7" s="1"/>
  <c r="AJ104" i="6"/>
  <c r="AJ88" i="6"/>
  <c r="AJ99" i="6"/>
  <c r="AJ83" i="6"/>
  <c r="O17" i="5"/>
  <c r="BH70" i="11"/>
  <c r="O18" i="5"/>
  <c r="BD71" i="11"/>
  <c r="AZ12" i="5"/>
  <c r="T13" i="12"/>
  <c r="BD69" i="11"/>
  <c r="BG14" i="6"/>
  <c r="BD73" i="11"/>
  <c r="AK13" i="6"/>
  <c r="AK13" i="1" s="1"/>
  <c r="BG13" i="1" s="1"/>
  <c r="BG6" i="6"/>
  <c r="BG9" i="6" s="1"/>
  <c r="AK15" i="6"/>
  <c r="BV17" i="7"/>
  <c r="BS56" i="7"/>
  <c r="BR65" i="7"/>
  <c r="AK6" i="1"/>
  <c r="AK9" i="1" s="1"/>
  <c r="AK9" i="6"/>
  <c r="AK11" i="6"/>
  <c r="AK12" i="6"/>
  <c r="BG12" i="6" s="1"/>
  <c r="BG131" i="6"/>
  <c r="AL75" i="4"/>
  <c r="AL79" i="1" s="1"/>
  <c r="BG101" i="9"/>
  <c r="BG103" i="9" s="1"/>
  <c r="AK103" i="9"/>
  <c r="BH74" i="11"/>
  <c r="BH66" i="11"/>
  <c r="BD68" i="11"/>
  <c r="AP78" i="11"/>
  <c r="AP79" i="11" s="1"/>
  <c r="BD67" i="11"/>
  <c r="BM75" i="6"/>
  <c r="BM95" i="9" s="1"/>
  <c r="AZ17" i="7"/>
  <c r="AZ18" i="7" s="1"/>
  <c r="BD72" i="11"/>
  <c r="AS13" i="5"/>
  <c r="BW75" i="6"/>
  <c r="BW95" i="9" s="1"/>
  <c r="BH67" i="11"/>
  <c r="P15" i="1"/>
  <c r="AV15" i="1" s="1"/>
  <c r="H17" i="5"/>
  <c r="BL75" i="6"/>
  <c r="BL95" i="9" s="1"/>
  <c r="BA11" i="5"/>
  <c r="BS75" i="4"/>
  <c r="BV20" i="10" s="1"/>
  <c r="BM75" i="4"/>
  <c r="BN20" i="10" s="1"/>
  <c r="BQ75" i="4"/>
  <c r="BT20" i="10" s="1"/>
  <c r="BV17" i="4"/>
  <c r="BL75" i="4"/>
  <c r="BM20" i="10" s="1"/>
  <c r="BZ75" i="4"/>
  <c r="CE20" i="10" s="1"/>
  <c r="BT75" i="4"/>
  <c r="BW20" i="10" s="1"/>
  <c r="BK75" i="4"/>
  <c r="BL20" i="10" s="1"/>
  <c r="BR75" i="4"/>
  <c r="BU20" i="10" s="1"/>
  <c r="BN75" i="4"/>
  <c r="BO20" i="10" s="1"/>
  <c r="BY75" i="4"/>
  <c r="CD20" i="10" s="1"/>
  <c r="Y11" i="1"/>
  <c r="BA11" i="1" s="1"/>
  <c r="AT17" i="7"/>
  <c r="AT18" i="7" s="1"/>
  <c r="AT75" i="7" s="1"/>
  <c r="BX75" i="6"/>
  <c r="BX95" i="9" s="1"/>
  <c r="BP17" i="4"/>
  <c r="BM77" i="9"/>
  <c r="BM65" i="11"/>
  <c r="BV18" i="4"/>
  <c r="BK78" i="11"/>
  <c r="BL11" i="10" s="1"/>
  <c r="BW75" i="4"/>
  <c r="CB20" i="10" s="1"/>
  <c r="BL76" i="11"/>
  <c r="BL69" i="11"/>
  <c r="BL70" i="11"/>
  <c r="BL71" i="11"/>
  <c r="BL73" i="11"/>
  <c r="BL66" i="11"/>
  <c r="BL74" i="11"/>
  <c r="BL67" i="11"/>
  <c r="BL75" i="11"/>
  <c r="BL72" i="11"/>
  <c r="BL68" i="11"/>
  <c r="AL11" i="9"/>
  <c r="AM12" i="9"/>
  <c r="G13" i="1"/>
  <c r="AS13" i="1" s="1"/>
  <c r="AU11" i="5"/>
  <c r="T75" i="4"/>
  <c r="T79" i="1" s="1"/>
  <c r="AV13" i="5"/>
  <c r="BQ75" i="6"/>
  <c r="BQ95" i="9" s="1"/>
  <c r="BX75" i="4"/>
  <c r="CC20" i="10" s="1"/>
  <c r="BJ18" i="4"/>
  <c r="H24" i="1"/>
  <c r="H26" i="1" s="1"/>
  <c r="AO75" i="4"/>
  <c r="AO20" i="10" s="1"/>
  <c r="AG75" i="4"/>
  <c r="AG20" i="10" s="1"/>
  <c r="BP18" i="4"/>
  <c r="BJ17" i="4"/>
  <c r="V4" i="3"/>
  <c r="D14" i="3" s="1"/>
  <c r="BH14" i="1"/>
  <c r="BA81" i="9"/>
  <c r="BR75" i="6"/>
  <c r="BR95" i="9" s="1"/>
  <c r="BT75" i="6"/>
  <c r="BT95" i="9" s="1"/>
  <c r="BZ75" i="6"/>
  <c r="BZ95" i="9" s="1"/>
  <c r="BS75" i="6"/>
  <c r="BS95" i="9" s="1"/>
  <c r="BV17" i="6"/>
  <c r="BV18" i="6"/>
  <c r="BN75" i="6"/>
  <c r="BN95" i="9" s="1"/>
  <c r="BP17" i="6"/>
  <c r="BP18" i="6"/>
  <c r="BY75" i="6"/>
  <c r="BY95" i="9" s="1"/>
  <c r="BX8" i="10"/>
  <c r="BX6" i="10"/>
  <c r="BX29" i="10"/>
  <c r="BX7" i="10"/>
  <c r="BX28" i="10"/>
  <c r="AB4" i="3"/>
  <c r="BB7" i="12"/>
  <c r="BW12" i="14" s="1"/>
  <c r="AC3" i="3"/>
  <c r="AT15" i="5"/>
  <c r="AC2" i="3"/>
  <c r="CC8" i="10"/>
  <c r="AT14" i="5"/>
  <c r="E75" i="4"/>
  <c r="E79" i="1" s="1"/>
  <c r="AT12" i="5"/>
  <c r="J18" i="5"/>
  <c r="H12" i="1"/>
  <c r="AT12" i="1" s="1"/>
  <c r="AV11" i="5"/>
  <c r="AT11" i="5"/>
  <c r="I14" i="1"/>
  <c r="BB17" i="6"/>
  <c r="BB18" i="6" s="1"/>
  <c r="F17" i="5"/>
  <c r="AO79" i="11"/>
  <c r="AO11" i="10"/>
  <c r="AO81" i="9"/>
  <c r="AK37" i="9"/>
  <c r="AK38" i="9" s="1"/>
  <c r="AK39" i="9" s="1"/>
  <c r="AS11" i="5"/>
  <c r="P13" i="14"/>
  <c r="H18" i="5"/>
  <c r="W17" i="5"/>
  <c r="K17" i="5"/>
  <c r="K18" i="5"/>
  <c r="AS15" i="5"/>
  <c r="U18" i="5"/>
  <c r="AX11" i="10"/>
  <c r="U17" i="5"/>
  <c r="I15" i="1"/>
  <c r="AT15" i="1" s="1"/>
  <c r="K13" i="1"/>
  <c r="AU13" i="1" s="1"/>
  <c r="J13" i="1"/>
  <c r="AT13" i="1" s="1"/>
  <c r="Z18" i="5"/>
  <c r="BH12" i="1"/>
  <c r="BH13" i="1"/>
  <c r="AS12" i="5"/>
  <c r="BA12" i="5"/>
  <c r="Y18" i="5"/>
  <c r="X18" i="5"/>
  <c r="M18" i="5"/>
  <c r="J17" i="5"/>
  <c r="F18" i="5"/>
  <c r="AZ11" i="5"/>
  <c r="BA15" i="5"/>
  <c r="G17" i="5"/>
  <c r="G15" i="1"/>
  <c r="AS15" i="1" s="1"/>
  <c r="BG14" i="1"/>
  <c r="AS14" i="5"/>
  <c r="E11" i="1"/>
  <c r="E21" i="12" s="1"/>
  <c r="F21" i="12" s="1"/>
  <c r="J14" i="1"/>
  <c r="AU12" i="5"/>
  <c r="W25" i="14"/>
  <c r="Y14" i="12"/>
  <c r="Y14" i="14" s="1"/>
  <c r="P22" i="14"/>
  <c r="AR20" i="14"/>
  <c r="AR22" i="14" s="1"/>
  <c r="AV20" i="14"/>
  <c r="AV22" i="14" s="1"/>
  <c r="M75" i="6"/>
  <c r="M95" i="9" s="1"/>
  <c r="M98" i="9" s="1"/>
  <c r="M14" i="10" s="1"/>
  <c r="M15" i="10" s="1"/>
  <c r="M16" i="10" s="1"/>
  <c r="E75" i="7"/>
  <c r="E22" i="10" s="1"/>
  <c r="E18" i="5"/>
  <c r="M12" i="1"/>
  <c r="M17" i="1" s="1"/>
  <c r="BH17" i="4"/>
  <c r="BH18" i="4" s="1"/>
  <c r="BH75" i="4" s="1"/>
  <c r="BG17" i="4"/>
  <c r="BG18" i="4" s="1"/>
  <c r="BG75" i="4" s="1"/>
  <c r="AY17" i="4"/>
  <c r="AY18" i="4" s="1"/>
  <c r="AY75" i="4" s="1"/>
  <c r="BA17" i="6"/>
  <c r="BA18" i="6" s="1"/>
  <c r="O13" i="14"/>
  <c r="S18" i="13"/>
  <c r="S8" i="14"/>
  <c r="S20" i="14" s="1"/>
  <c r="S22" i="14" s="1"/>
  <c r="R20" i="14"/>
  <c r="E17" i="5"/>
  <c r="M17" i="5"/>
  <c r="AR15" i="5"/>
  <c r="AV12" i="5"/>
  <c r="AZ13" i="5"/>
  <c r="AY17" i="6"/>
  <c r="AY18" i="6" s="1"/>
  <c r="AU17" i="7"/>
  <c r="AU18" i="7" s="1"/>
  <c r="AU75" i="7" s="1"/>
  <c r="Z71" i="6"/>
  <c r="Z73" i="6" s="1"/>
  <c r="V27" i="14"/>
  <c r="X14" i="14"/>
  <c r="AH54" i="9"/>
  <c r="BA17" i="4"/>
  <c r="BA18" i="4" s="1"/>
  <c r="BB17" i="7"/>
  <c r="BB18" i="7" s="1"/>
  <c r="AR12" i="5"/>
  <c r="AV14" i="5"/>
  <c r="Z17" i="5"/>
  <c r="AV17" i="4"/>
  <c r="AV18" i="4" s="1"/>
  <c r="AV75" i="4" s="1"/>
  <c r="AF75" i="4"/>
  <c r="AF79" i="1" s="1"/>
  <c r="AT17" i="4"/>
  <c r="AT18" i="4" s="1"/>
  <c r="AT75" i="4" s="1"/>
  <c r="BF17" i="5"/>
  <c r="BF18" i="5" s="1"/>
  <c r="S18" i="5"/>
  <c r="AM75" i="4"/>
  <c r="AM79" i="1" s="1"/>
  <c r="AN75" i="4"/>
  <c r="AN79" i="1" s="1"/>
  <c r="AH75" i="4"/>
  <c r="AH20" i="10" s="1"/>
  <c r="I18" i="5"/>
  <c r="AK75" i="4"/>
  <c r="AK79" i="1" s="1"/>
  <c r="AS17" i="6"/>
  <c r="AS18" i="6" s="1"/>
  <c r="I70" i="1"/>
  <c r="I73" i="1" s="1"/>
  <c r="J70" i="5"/>
  <c r="J70" i="1" s="1"/>
  <c r="J73" i="1" s="1"/>
  <c r="I73" i="5"/>
  <c r="BD17" i="4"/>
  <c r="BD18" i="4" s="1"/>
  <c r="BD75" i="4" s="1"/>
  <c r="AS17" i="7"/>
  <c r="AS18" i="7" s="1"/>
  <c r="AS75" i="7" s="1"/>
  <c r="P14" i="1"/>
  <c r="BA13" i="5"/>
  <c r="BH15" i="1"/>
  <c r="H70" i="1"/>
  <c r="H73" i="1" s="1"/>
  <c r="AX17" i="7"/>
  <c r="AX18" i="7" s="1"/>
  <c r="AX17" i="4"/>
  <c r="AX18" i="4" s="1"/>
  <c r="AX75" i="4" s="1"/>
  <c r="AS17" i="4"/>
  <c r="AS18" i="4" s="1"/>
  <c r="AS75" i="4" s="1"/>
  <c r="AR17" i="4"/>
  <c r="F75" i="7"/>
  <c r="F78" i="1" s="1"/>
  <c r="I17" i="5"/>
  <c r="N17" i="5"/>
  <c r="G75" i="7"/>
  <c r="G78" i="1" s="1"/>
  <c r="G18" i="5"/>
  <c r="N18" i="5"/>
  <c r="W18" i="5"/>
  <c r="X17" i="5"/>
  <c r="H73" i="5"/>
  <c r="BH17" i="5"/>
  <c r="BH18" i="5" s="1"/>
  <c r="AE75" i="4"/>
  <c r="BA17" i="7"/>
  <c r="BA18" i="7" s="1"/>
  <c r="AR17" i="7"/>
  <c r="AR18" i="7" s="1"/>
  <c r="BH17" i="6"/>
  <c r="BH18" i="6" s="1"/>
  <c r="AJ75" i="4"/>
  <c r="AP75" i="4"/>
  <c r="AV17" i="6"/>
  <c r="AV18" i="6" s="1"/>
  <c r="AV75" i="6" s="1"/>
  <c r="AY17" i="7"/>
  <c r="AY18" i="7" s="1"/>
  <c r="AR17" i="6"/>
  <c r="AR18" i="6" s="1"/>
  <c r="AU17" i="4"/>
  <c r="BB17" i="4"/>
  <c r="BB18" i="4" s="1"/>
  <c r="BB75" i="4" s="1"/>
  <c r="P17" i="5"/>
  <c r="P18" i="5" s="1"/>
  <c r="AR11" i="5"/>
  <c r="AI75" i="4"/>
  <c r="AT17" i="6"/>
  <c r="AT18" i="6" s="1"/>
  <c r="AT75" i="6" s="1"/>
  <c r="BE17" i="4"/>
  <c r="BE18" i="4" s="1"/>
  <c r="X75" i="6"/>
  <c r="E14" i="1"/>
  <c r="N12" i="1"/>
  <c r="N17" i="1" s="1"/>
  <c r="S17" i="5"/>
  <c r="U63" i="8"/>
  <c r="U72" i="8" s="1"/>
  <c r="T71" i="7"/>
  <c r="AY71" i="7" s="1"/>
  <c r="AY73" i="7" s="1"/>
  <c r="BF17" i="4"/>
  <c r="AU17" i="6"/>
  <c r="AZ17" i="4"/>
  <c r="AZ18" i="4" s="1"/>
  <c r="U71" i="5"/>
  <c r="BA14" i="5"/>
  <c r="O17" i="1"/>
  <c r="BA15" i="1"/>
  <c r="O18" i="1"/>
  <c r="O16" i="13" s="1"/>
  <c r="L15" i="1"/>
  <c r="AU15" i="1" s="1"/>
  <c r="Y17" i="5"/>
  <c r="L17" i="5"/>
  <c r="Y14" i="1"/>
  <c r="AY15" i="1"/>
  <c r="AU15" i="5"/>
  <c r="R12" i="1"/>
  <c r="AY12" i="5"/>
  <c r="AS12" i="1"/>
  <c r="K26" i="1"/>
  <c r="N9" i="1"/>
  <c r="AV6" i="1"/>
  <c r="H9" i="1"/>
  <c r="AT6" i="1"/>
  <c r="AT11" i="1"/>
  <c r="AV11" i="1"/>
  <c r="R14" i="1"/>
  <c r="AY14" i="5"/>
  <c r="AY13" i="1"/>
  <c r="AO17" i="1"/>
  <c r="AO18" i="1"/>
  <c r="AO16" i="13" s="1"/>
  <c r="E9" i="1"/>
  <c r="AS6" i="1"/>
  <c r="AR6" i="1"/>
  <c r="AR9" i="1" s="1"/>
  <c r="AP17" i="1"/>
  <c r="AP18" i="1"/>
  <c r="AP16" i="13" s="1"/>
  <c r="AY13" i="5"/>
  <c r="BA13" i="1"/>
  <c r="AR13" i="5"/>
  <c r="AT24" i="5"/>
  <c r="AT26" i="5" s="1"/>
  <c r="AA12" i="1"/>
  <c r="AA9" i="1"/>
  <c r="AM17" i="1"/>
  <c r="AM18" i="1"/>
  <c r="AM16" i="13" s="1"/>
  <c r="AL17" i="1"/>
  <c r="AL18" i="1"/>
  <c r="AL16" i="13" s="1"/>
  <c r="BG17" i="5"/>
  <c r="BG18" i="5" s="1"/>
  <c r="AZ14" i="5"/>
  <c r="AZ15" i="5"/>
  <c r="AR14" i="5"/>
  <c r="AU13" i="5"/>
  <c r="BD17" i="5"/>
  <c r="BD18" i="5" s="1"/>
  <c r="AA13" i="1"/>
  <c r="R9" i="1"/>
  <c r="AY6" i="1"/>
  <c r="AY11" i="1"/>
  <c r="X9" i="1"/>
  <c r="X18" i="1" s="1"/>
  <c r="X16" i="13" s="1"/>
  <c r="BA6" i="1"/>
  <c r="AN17" i="1"/>
  <c r="BH11" i="1"/>
  <c r="AN18" i="1"/>
  <c r="AN16" i="13" s="1"/>
  <c r="BA12" i="1"/>
  <c r="AU14" i="1"/>
  <c r="AV13" i="1"/>
  <c r="AU11" i="1"/>
  <c r="AU14" i="5"/>
  <c r="AS24" i="1"/>
  <c r="AS26" i="1" s="1"/>
  <c r="AY11" i="5"/>
  <c r="BE17" i="5"/>
  <c r="BE18" i="5" s="1"/>
  <c r="AU6" i="1"/>
  <c r="AY15" i="5"/>
  <c r="J26" i="5"/>
  <c r="J24" i="1"/>
  <c r="J26" i="1" s="1"/>
  <c r="M26" i="5"/>
  <c r="M24" i="1"/>
  <c r="M26" i="1" s="1"/>
  <c r="AB17" i="5"/>
  <c r="V18" i="5"/>
  <c r="Z18" i="1"/>
  <c r="Z16" i="13" s="1"/>
  <c r="M75" i="4"/>
  <c r="F17" i="1"/>
  <c r="Z17" i="1"/>
  <c r="F75" i="4"/>
  <c r="S75" i="4"/>
  <c r="AB18" i="5"/>
  <c r="W18" i="1"/>
  <c r="W16" i="13" s="1"/>
  <c r="F75" i="6"/>
  <c r="F95" i="9" s="1"/>
  <c r="F98" i="9" s="1"/>
  <c r="F14" i="10" s="1"/>
  <c r="N75" i="4"/>
  <c r="T17" i="1"/>
  <c r="T18" i="1"/>
  <c r="T16" i="13" s="1"/>
  <c r="X17" i="1"/>
  <c r="F18" i="1"/>
  <c r="F16" i="13" s="1"/>
  <c r="AA18" i="5"/>
  <c r="T18" i="5"/>
  <c r="AA17" i="5"/>
  <c r="AB15" i="1"/>
  <c r="AB18" i="1" s="1"/>
  <c r="AB16" i="13" s="1"/>
  <c r="V11" i="1"/>
  <c r="W17" i="1"/>
  <c r="S17" i="1"/>
  <c r="S18" i="1"/>
  <c r="S16" i="13" s="1"/>
  <c r="T17" i="5"/>
  <c r="V17" i="5"/>
  <c r="V75" i="4"/>
  <c r="L18" i="5"/>
  <c r="R18" i="5"/>
  <c r="L75" i="6"/>
  <c r="L95" i="9" s="1"/>
  <c r="L98" i="9" s="1"/>
  <c r="L14" i="10" s="1"/>
  <c r="O75" i="4"/>
  <c r="E75" i="6"/>
  <c r="E95" i="9" s="1"/>
  <c r="P75" i="6"/>
  <c r="P95" i="9" s="1"/>
  <c r="P98" i="9" s="1"/>
  <c r="P14" i="10" s="1"/>
  <c r="N75" i="6"/>
  <c r="N95" i="9" s="1"/>
  <c r="W75" i="6"/>
  <c r="W95" i="9" s="1"/>
  <c r="R17" i="5"/>
  <c r="H75" i="6"/>
  <c r="H95" i="9" s="1"/>
  <c r="X75" i="4"/>
  <c r="G75" i="6"/>
  <c r="G95" i="9" s="1"/>
  <c r="G98" i="9" s="1"/>
  <c r="G14" i="10" s="1"/>
  <c r="AA75" i="4"/>
  <c r="P75" i="4"/>
  <c r="H75" i="4"/>
  <c r="R75" i="4"/>
  <c r="I75" i="6"/>
  <c r="I95" i="9" s="1"/>
  <c r="I98" i="9" s="1"/>
  <c r="I14" i="10" s="1"/>
  <c r="I75" i="4"/>
  <c r="K75" i="6"/>
  <c r="K95" i="9" s="1"/>
  <c r="Y75" i="6"/>
  <c r="Y95" i="9" s="1"/>
  <c r="U75" i="4"/>
  <c r="Y75" i="4"/>
  <c r="V75" i="6"/>
  <c r="V95" i="9" s="1"/>
  <c r="H73" i="7"/>
  <c r="H75" i="7" s="1"/>
  <c r="K75" i="4"/>
  <c r="J75" i="6"/>
  <c r="J95" i="9" s="1"/>
  <c r="J98" i="9" s="1"/>
  <c r="J14" i="10" s="1"/>
  <c r="W75" i="4"/>
  <c r="J75" i="4"/>
  <c r="AC75" i="4"/>
  <c r="T75" i="6"/>
  <c r="T95" i="9" s="1"/>
  <c r="L75" i="4"/>
  <c r="O75" i="6"/>
  <c r="O95" i="9" s="1"/>
  <c r="O98" i="9" s="1"/>
  <c r="O14" i="10" s="1"/>
  <c r="R75" i="6"/>
  <c r="R95" i="9" s="1"/>
  <c r="AB75" i="4"/>
  <c r="Z75" i="4"/>
  <c r="S75" i="6"/>
  <c r="S95" i="9" s="1"/>
  <c r="N110" i="5"/>
  <c r="N24" i="5" s="1"/>
  <c r="O94" i="5"/>
  <c r="G75" i="4"/>
  <c r="AV75" i="7" l="1"/>
  <c r="AJ36" i="9"/>
  <c r="AI35" i="9"/>
  <c r="AH34" i="9"/>
  <c r="AJ131" i="6"/>
  <c r="AJ6" i="6" s="1"/>
  <c r="AJ6" i="1" s="1"/>
  <c r="AJ132" i="6"/>
  <c r="AP81" i="9"/>
  <c r="BD81" i="9" s="1"/>
  <c r="AI109" i="6"/>
  <c r="AI117" i="6"/>
  <c r="AI125" i="6"/>
  <c r="AI108" i="6"/>
  <c r="AI116" i="6"/>
  <c r="AI124" i="6"/>
  <c r="AI129" i="6"/>
  <c r="AI118" i="6"/>
  <c r="AI119" i="6"/>
  <c r="AI120" i="6"/>
  <c r="AI114" i="6"/>
  <c r="AI127" i="6"/>
  <c r="AI122" i="6"/>
  <c r="AI126" i="6"/>
  <c r="AI121" i="6"/>
  <c r="AI113" i="6"/>
  <c r="AI112" i="6"/>
  <c r="AI106" i="6"/>
  <c r="AI115" i="6"/>
  <c r="AI128" i="6"/>
  <c r="AI110" i="6"/>
  <c r="AI123" i="6"/>
  <c r="AI107" i="6"/>
  <c r="AI111" i="6"/>
  <c r="AI86" i="6"/>
  <c r="AI102" i="6"/>
  <c r="AI93" i="6"/>
  <c r="AI96" i="6"/>
  <c r="AI103" i="6"/>
  <c r="AI88" i="6"/>
  <c r="AI104" i="6"/>
  <c r="AI95" i="6"/>
  <c r="AI90" i="6"/>
  <c r="AI81" i="6"/>
  <c r="AI97" i="6"/>
  <c r="AI92" i="6"/>
  <c r="AI83" i="6"/>
  <c r="AI99" i="6"/>
  <c r="AI94" i="6"/>
  <c r="AI85" i="6"/>
  <c r="AI101" i="6"/>
  <c r="AI82" i="6"/>
  <c r="AI98" i="6"/>
  <c r="AI89" i="6"/>
  <c r="AI105" i="6"/>
  <c r="AI84" i="6"/>
  <c r="AI100" i="6"/>
  <c r="AI91" i="6"/>
  <c r="AI133" i="6"/>
  <c r="AI80" i="6"/>
  <c r="AI87" i="6"/>
  <c r="AV17" i="5"/>
  <c r="AV18" i="5" s="1"/>
  <c r="AH49" i="9"/>
  <c r="AH102" i="9" s="1"/>
  <c r="BF102" i="9" s="1"/>
  <c r="AH30" i="9"/>
  <c r="AH87" i="6" s="1"/>
  <c r="AJ31" i="9"/>
  <c r="AJ101" i="9" s="1"/>
  <c r="K70" i="5"/>
  <c r="J73" i="5"/>
  <c r="U13" i="12"/>
  <c r="P17" i="1"/>
  <c r="P18" i="1" s="1"/>
  <c r="P16" i="13" s="1"/>
  <c r="AP11" i="10"/>
  <c r="BD11" i="10" s="1"/>
  <c r="BG13" i="6"/>
  <c r="AK17" i="6"/>
  <c r="AK15" i="1"/>
  <c r="BG15" i="1" s="1"/>
  <c r="BG17" i="1" s="1"/>
  <c r="BG18" i="1" s="1"/>
  <c r="BG15" i="6"/>
  <c r="BG6" i="1"/>
  <c r="BG9" i="1" s="1"/>
  <c r="H75" i="5"/>
  <c r="H80" i="1" s="1"/>
  <c r="AK18" i="6"/>
  <c r="AK12" i="1"/>
  <c r="BG12" i="1" s="1"/>
  <c r="BS65" i="7"/>
  <c r="BT56" i="7"/>
  <c r="AH102" i="6"/>
  <c r="BF102" i="6" s="1"/>
  <c r="BG11" i="6"/>
  <c r="AK11" i="1"/>
  <c r="AL20" i="10"/>
  <c r="F75" i="5"/>
  <c r="F21" i="10" s="1"/>
  <c r="BV75" i="4"/>
  <c r="AI48" i="9"/>
  <c r="AI57" i="9" s="1"/>
  <c r="BD65" i="11"/>
  <c r="BH65" i="11"/>
  <c r="BH78" i="11"/>
  <c r="BH79" i="11" s="1"/>
  <c r="BD78" i="11"/>
  <c r="BD79" i="11" s="1"/>
  <c r="AS17" i="5"/>
  <c r="AS18" i="5" s="1"/>
  <c r="E75" i="5"/>
  <c r="E80" i="1" s="1"/>
  <c r="G75" i="5"/>
  <c r="G21" i="10" s="1"/>
  <c r="T20" i="10"/>
  <c r="AV14" i="1"/>
  <c r="AV17" i="1" s="1"/>
  <c r="AV18" i="1" s="1"/>
  <c r="BJ75" i="4"/>
  <c r="AO79" i="1"/>
  <c r="AG79" i="1"/>
  <c r="BP75" i="4"/>
  <c r="E20" i="10"/>
  <c r="BK81" i="9"/>
  <c r="BK79" i="11"/>
  <c r="Y17" i="1"/>
  <c r="AT70" i="5"/>
  <c r="AT73" i="5" s="1"/>
  <c r="AU12" i="1"/>
  <c r="AK20" i="10"/>
  <c r="AM20" i="10"/>
  <c r="BM76" i="11"/>
  <c r="BM70" i="11"/>
  <c r="BM71" i="11"/>
  <c r="BM66" i="11"/>
  <c r="BM72" i="11"/>
  <c r="BM73" i="11"/>
  <c r="BM74" i="11"/>
  <c r="BM67" i="11"/>
  <c r="BM75" i="11"/>
  <c r="BM69" i="11"/>
  <c r="BM68" i="11"/>
  <c r="AR11" i="1"/>
  <c r="AM11" i="9"/>
  <c r="AN12" i="9"/>
  <c r="BL78" i="11"/>
  <c r="BM11" i="10" s="1"/>
  <c r="BM10" i="10" s="1"/>
  <c r="BN77" i="9"/>
  <c r="BN65" i="11"/>
  <c r="AS11" i="1"/>
  <c r="H18" i="1"/>
  <c r="H16" i="13" s="1"/>
  <c r="H17" i="1"/>
  <c r="BV75" i="6"/>
  <c r="BV156" i="6" s="1"/>
  <c r="BV158" i="6" s="1"/>
  <c r="BV159" i="6" s="1"/>
  <c r="BW51" i="9" s="1"/>
  <c r="BX51" i="9" s="1"/>
  <c r="BP95" i="9"/>
  <c r="AT14" i="1"/>
  <c r="AT17" i="1" s="1"/>
  <c r="AT18" i="1" s="1"/>
  <c r="BV95" i="9"/>
  <c r="BP75" i="6"/>
  <c r="BP156" i="6" s="1"/>
  <c r="BP158" i="6" s="1"/>
  <c r="BP159" i="6" s="1"/>
  <c r="BQ51" i="9" s="1"/>
  <c r="H98" i="9"/>
  <c r="H14" i="10" s="1"/>
  <c r="AT95" i="9"/>
  <c r="AT98" i="9" s="1"/>
  <c r="K98" i="9"/>
  <c r="K14" i="10" s="1"/>
  <c r="AU95" i="9"/>
  <c r="AU98" i="9" s="1"/>
  <c r="N98" i="9"/>
  <c r="N14" i="10" s="1"/>
  <c r="AV95" i="9"/>
  <c r="AV98" i="9" s="1"/>
  <c r="E98" i="9"/>
  <c r="E14" i="10" s="1"/>
  <c r="AS95" i="9"/>
  <c r="AS98" i="9" s="1"/>
  <c r="AR95" i="9"/>
  <c r="AR98" i="9" s="1"/>
  <c r="AM7" i="9"/>
  <c r="AT17" i="5"/>
  <c r="AT18" i="5" s="1"/>
  <c r="AL9" i="9"/>
  <c r="AK82" i="9" s="1"/>
  <c r="AL78" i="9" s="1"/>
  <c r="AD2" i="3"/>
  <c r="CD8" i="10"/>
  <c r="CA6" i="10"/>
  <c r="AE3" i="3"/>
  <c r="AD3" i="3"/>
  <c r="BC7" i="12"/>
  <c r="BX12" i="14" s="1"/>
  <c r="AC4" i="3"/>
  <c r="L18" i="1"/>
  <c r="L16" i="13" s="1"/>
  <c r="I17" i="1"/>
  <c r="AR13" i="14"/>
  <c r="E78" i="1"/>
  <c r="AS78" i="1" s="1"/>
  <c r="F22" i="10"/>
  <c r="BA17" i="5"/>
  <c r="BA18" i="5" s="1"/>
  <c r="AF20" i="10"/>
  <c r="L17" i="1"/>
  <c r="AV12" i="1"/>
  <c r="AV13" i="14"/>
  <c r="AS75" i="6"/>
  <c r="N18" i="1"/>
  <c r="N16" i="13" s="1"/>
  <c r="AR13" i="1"/>
  <c r="G17" i="1"/>
  <c r="AR14" i="1"/>
  <c r="J18" i="1"/>
  <c r="J16" i="13" s="1"/>
  <c r="J17" i="1"/>
  <c r="BH17" i="1"/>
  <c r="BH18" i="1" s="1"/>
  <c r="M18" i="1"/>
  <c r="M16" i="13" s="1"/>
  <c r="I18" i="1"/>
  <c r="I16" i="13" s="1"/>
  <c r="G18" i="1"/>
  <c r="G16" i="13" s="1"/>
  <c r="K18" i="1"/>
  <c r="K16" i="13" s="1"/>
  <c r="K17" i="1"/>
  <c r="AR15" i="1"/>
  <c r="AR12" i="1"/>
  <c r="M81" i="1"/>
  <c r="AH79" i="1"/>
  <c r="X25" i="14"/>
  <c r="Y25" i="14"/>
  <c r="Y27" i="14" s="1"/>
  <c r="Z75" i="6"/>
  <c r="Z95" i="9" s="1"/>
  <c r="AS14" i="1"/>
  <c r="AS17" i="1" s="1"/>
  <c r="AS18" i="1" s="1"/>
  <c r="X81" i="1"/>
  <c r="X95" i="9"/>
  <c r="AA71" i="6"/>
  <c r="BA71" i="6"/>
  <c r="BA73" i="6" s="1"/>
  <c r="Z14" i="12"/>
  <c r="Z14" i="14" s="1"/>
  <c r="BA14" i="14" s="1"/>
  <c r="E17" i="1"/>
  <c r="R22" i="14"/>
  <c r="AY75" i="6"/>
  <c r="W27" i="14"/>
  <c r="AZ25" i="14"/>
  <c r="AZ27" i="14" s="1"/>
  <c r="AA17" i="1"/>
  <c r="G22" i="10"/>
  <c r="T71" i="1"/>
  <c r="R17" i="1"/>
  <c r="AL7" i="9"/>
  <c r="AG16" i="9"/>
  <c r="AF18" i="9"/>
  <c r="G21" i="12"/>
  <c r="AN20" i="10"/>
  <c r="BA75" i="4"/>
  <c r="Y18" i="1"/>
  <c r="Y16" i="13" s="1"/>
  <c r="E18" i="1"/>
  <c r="E16" i="13" s="1"/>
  <c r="I75" i="5"/>
  <c r="I21" i="10" s="1"/>
  <c r="AR75" i="7"/>
  <c r="AU18" i="4"/>
  <c r="AU75" i="4" s="1"/>
  <c r="J75" i="5"/>
  <c r="J21" i="10" s="1"/>
  <c r="BF18" i="4"/>
  <c r="BF75" i="4" s="1"/>
  <c r="AT70" i="1"/>
  <c r="AT73" i="1" s="1"/>
  <c r="BA14" i="1"/>
  <c r="BA17" i="1" s="1"/>
  <c r="BA18" i="1" s="1"/>
  <c r="BG79" i="1"/>
  <c r="AZ75" i="4"/>
  <c r="V63" i="8"/>
  <c r="V72" i="8" s="1"/>
  <c r="U71" i="7"/>
  <c r="U71" i="1" s="1"/>
  <c r="AU18" i="6"/>
  <c r="AU75" i="6" s="1"/>
  <c r="BE75" i="4"/>
  <c r="AR75" i="6"/>
  <c r="AP79" i="1"/>
  <c r="AP20" i="10"/>
  <c r="AE79" i="1"/>
  <c r="AE20" i="10"/>
  <c r="AI79" i="1"/>
  <c r="AI20" i="10"/>
  <c r="AY75" i="7"/>
  <c r="AJ79" i="1"/>
  <c r="AJ20" i="10"/>
  <c r="AR18" i="4"/>
  <c r="AR75" i="4" s="1"/>
  <c r="V71" i="5"/>
  <c r="AA18" i="1"/>
  <c r="AA16" i="13" s="1"/>
  <c r="F75" i="1"/>
  <c r="F15" i="13" s="1"/>
  <c r="F20" i="13" s="1"/>
  <c r="F24" i="13" s="1"/>
  <c r="F20" i="12" s="1"/>
  <c r="AU17" i="5"/>
  <c r="AU18" i="5" s="1"/>
  <c r="AR17" i="5"/>
  <c r="AR18" i="5" s="1"/>
  <c r="AU9" i="1"/>
  <c r="AV9" i="1"/>
  <c r="K70" i="1"/>
  <c r="AY9" i="1"/>
  <c r="AY12" i="1"/>
  <c r="AU17" i="1"/>
  <c r="AU18" i="1" s="1"/>
  <c r="AU24" i="1"/>
  <c r="AU26" i="1" s="1"/>
  <c r="AS9" i="1"/>
  <c r="AY14" i="1"/>
  <c r="AY17" i="1" s="1"/>
  <c r="BA9" i="1"/>
  <c r="AZ17" i="5"/>
  <c r="AZ18" i="5" s="1"/>
  <c r="AT9" i="1"/>
  <c r="R18" i="1"/>
  <c r="R16" i="13" s="1"/>
  <c r="AT24" i="1"/>
  <c r="AT26" i="1" s="1"/>
  <c r="AY17" i="5"/>
  <c r="AY18" i="5" s="1"/>
  <c r="N26" i="5"/>
  <c r="N24" i="1"/>
  <c r="G79" i="1"/>
  <c r="G20" i="10"/>
  <c r="Z79" i="1"/>
  <c r="Z20" i="10"/>
  <c r="O81" i="1"/>
  <c r="O15" i="10"/>
  <c r="O16" i="10" s="1"/>
  <c r="J79" i="1"/>
  <c r="J20" i="10"/>
  <c r="K79" i="1"/>
  <c r="K20" i="10"/>
  <c r="V81" i="1"/>
  <c r="K81" i="1"/>
  <c r="H21" i="10"/>
  <c r="X79" i="1"/>
  <c r="X20" i="10"/>
  <c r="W81" i="1"/>
  <c r="O79" i="1"/>
  <c r="O20" i="10"/>
  <c r="V79" i="1"/>
  <c r="V20" i="10"/>
  <c r="S81" i="1"/>
  <c r="R81" i="1"/>
  <c r="AC79" i="1"/>
  <c r="AC20" i="10"/>
  <c r="H78" i="1"/>
  <c r="H22" i="10"/>
  <c r="Y81" i="1"/>
  <c r="H79" i="1"/>
  <c r="H20" i="10"/>
  <c r="G81" i="1"/>
  <c r="G15" i="10"/>
  <c r="G16" i="10" s="1"/>
  <c r="F79" i="1"/>
  <c r="F20" i="10"/>
  <c r="I81" i="1"/>
  <c r="I15" i="10"/>
  <c r="I16" i="10" s="1"/>
  <c r="AA79" i="1"/>
  <c r="AA20" i="10"/>
  <c r="H81" i="1"/>
  <c r="P81" i="1"/>
  <c r="P15" i="10"/>
  <c r="P16" i="10" s="1"/>
  <c r="S79" i="1"/>
  <c r="S20" i="10"/>
  <c r="T81" i="1"/>
  <c r="J81" i="1"/>
  <c r="J15" i="10"/>
  <c r="J16" i="10" s="1"/>
  <c r="U79" i="1"/>
  <c r="U20" i="10"/>
  <c r="AB79" i="1"/>
  <c r="AB20" i="10"/>
  <c r="L79" i="1"/>
  <c r="L20" i="10"/>
  <c r="W79" i="1"/>
  <c r="W20" i="10"/>
  <c r="Y79" i="1"/>
  <c r="Y20" i="10"/>
  <c r="I79" i="1"/>
  <c r="I20" i="10"/>
  <c r="R79" i="1"/>
  <c r="R20" i="10"/>
  <c r="P79" i="1"/>
  <c r="P20" i="10"/>
  <c r="N81" i="1"/>
  <c r="L81" i="1"/>
  <c r="L15" i="10"/>
  <c r="L16" i="10" s="1"/>
  <c r="N79" i="1"/>
  <c r="N20" i="10"/>
  <c r="F81" i="1"/>
  <c r="F15" i="10"/>
  <c r="F16" i="10" s="1"/>
  <c r="M79" i="1"/>
  <c r="M20" i="10"/>
  <c r="AB17" i="1"/>
  <c r="V17" i="1"/>
  <c r="V18" i="1"/>
  <c r="V16" i="13" s="1"/>
  <c r="E81" i="1"/>
  <c r="I73" i="7"/>
  <c r="I75" i="7" s="1"/>
  <c r="K73" i="5"/>
  <c r="K75" i="5" s="1"/>
  <c r="L70" i="5"/>
  <c r="O110" i="5"/>
  <c r="O24" i="5" s="1"/>
  <c r="O24" i="1" s="1"/>
  <c r="P94" i="5"/>
  <c r="AJ14" i="6" l="1"/>
  <c r="AJ14" i="1" s="1"/>
  <c r="AJ11" i="6"/>
  <c r="AJ13" i="6"/>
  <c r="AJ13" i="1" s="1"/>
  <c r="BH81" i="9"/>
  <c r="AS75" i="5"/>
  <c r="AJ12" i="6"/>
  <c r="AJ12" i="1" s="1"/>
  <c r="AJ9" i="6"/>
  <c r="F80" i="1"/>
  <c r="AJ15" i="6"/>
  <c r="AJ15" i="1" s="1"/>
  <c r="BF87" i="6"/>
  <c r="AH95" i="6"/>
  <c r="BF95" i="6" s="1"/>
  <c r="AH82" i="6"/>
  <c r="BF82" i="6" s="1"/>
  <c r="AH96" i="6"/>
  <c r="BF96" i="6" s="1"/>
  <c r="AH80" i="6"/>
  <c r="AH91" i="6"/>
  <c r="BF91" i="6" s="1"/>
  <c r="AH94" i="6"/>
  <c r="BF94" i="6" s="1"/>
  <c r="AH105" i="6"/>
  <c r="BF105" i="6" s="1"/>
  <c r="AH89" i="6"/>
  <c r="BF89" i="6" s="1"/>
  <c r="AI132" i="6"/>
  <c r="AI31" i="9" s="1"/>
  <c r="AI101" i="9" s="1"/>
  <c r="AI131" i="6"/>
  <c r="AI6" i="6" s="1"/>
  <c r="AH97" i="6"/>
  <c r="BF97" i="6" s="1"/>
  <c r="AH84" i="6"/>
  <c r="BF84" i="6" s="1"/>
  <c r="AH92" i="6"/>
  <c r="BF92" i="6" s="1"/>
  <c r="AH103" i="6"/>
  <c r="BF103" i="6" s="1"/>
  <c r="AH112" i="6"/>
  <c r="AH120" i="6"/>
  <c r="AH128" i="6"/>
  <c r="AH111" i="6"/>
  <c r="AH119" i="6"/>
  <c r="AH127" i="6"/>
  <c r="AH121" i="6"/>
  <c r="AH122" i="6"/>
  <c r="AH123" i="6"/>
  <c r="AH109" i="6"/>
  <c r="AH118" i="6"/>
  <c r="AH106" i="6"/>
  <c r="AH113" i="6"/>
  <c r="AH126" i="6"/>
  <c r="AH125" i="6"/>
  <c r="AH116" i="6"/>
  <c r="AH129" i="6"/>
  <c r="AH108" i="6"/>
  <c r="AH117" i="6"/>
  <c r="AH107" i="6"/>
  <c r="AH110" i="6"/>
  <c r="AH114" i="6"/>
  <c r="AH115" i="6"/>
  <c r="AH124" i="6"/>
  <c r="AH98" i="6"/>
  <c r="BF98" i="6" s="1"/>
  <c r="AH90" i="6"/>
  <c r="BF90" i="6" s="1"/>
  <c r="AH101" i="6"/>
  <c r="BF101" i="6" s="1"/>
  <c r="AH85" i="6"/>
  <c r="BF85" i="6" s="1"/>
  <c r="AH86" i="6"/>
  <c r="BF86" i="6" s="1"/>
  <c r="AH81" i="6"/>
  <c r="BF81" i="6" s="1"/>
  <c r="AH100" i="6"/>
  <c r="BF100" i="6" s="1"/>
  <c r="AH133" i="6"/>
  <c r="AG17" i="9"/>
  <c r="AI36" i="9" s="1"/>
  <c r="AH93" i="6"/>
  <c r="BF93" i="6" s="1"/>
  <c r="AH104" i="6"/>
  <c r="BF104" i="6" s="1"/>
  <c r="AH88" i="6"/>
  <c r="BF88" i="6" s="1"/>
  <c r="AH99" i="6"/>
  <c r="BF99" i="6" s="1"/>
  <c r="AH83" i="6"/>
  <c r="BF83" i="6" s="1"/>
  <c r="AJ104" i="9"/>
  <c r="AJ103" i="9"/>
  <c r="G80" i="1"/>
  <c r="BH11" i="10"/>
  <c r="BH10" i="10" s="1"/>
  <c r="AI63" i="9"/>
  <c r="AH74" i="9"/>
  <c r="AI70" i="9" s="1"/>
  <c r="V13" i="12"/>
  <c r="AT75" i="5"/>
  <c r="BG17" i="6"/>
  <c r="BG18" i="6" s="1"/>
  <c r="AK18" i="1"/>
  <c r="AK16" i="13" s="1"/>
  <c r="AK17" i="1"/>
  <c r="BP56" i="7"/>
  <c r="BP65" i="7" s="1"/>
  <c r="BT65" i="7"/>
  <c r="BW56" i="7"/>
  <c r="AJ18" i="6"/>
  <c r="AJ9" i="1"/>
  <c r="AJ11" i="1"/>
  <c r="BG11" i="1"/>
  <c r="BH79" i="1"/>
  <c r="E21" i="10"/>
  <c r="AS21" i="10" s="1"/>
  <c r="H75" i="1"/>
  <c r="H15" i="13" s="1"/>
  <c r="H20" i="13" s="1"/>
  <c r="H24" i="13" s="1"/>
  <c r="H20" i="12" s="1"/>
  <c r="BG20" i="10"/>
  <c r="BN76" i="11"/>
  <c r="BJ76" i="11" s="1"/>
  <c r="BN72" i="11"/>
  <c r="BJ72" i="11" s="1"/>
  <c r="BN74" i="11"/>
  <c r="BJ74" i="11" s="1"/>
  <c r="BN75" i="11"/>
  <c r="BJ75" i="11" s="1"/>
  <c r="BN73" i="11"/>
  <c r="BJ73" i="11" s="1"/>
  <c r="BN66" i="11"/>
  <c r="BN67" i="11"/>
  <c r="BJ67" i="11" s="1"/>
  <c r="BN69" i="11"/>
  <c r="BJ69" i="11" s="1"/>
  <c r="BN70" i="11"/>
  <c r="BJ70" i="11" s="1"/>
  <c r="BN71" i="11"/>
  <c r="BJ71" i="11" s="1"/>
  <c r="BN68" i="11"/>
  <c r="BJ68" i="11" s="1"/>
  <c r="BQ65" i="11"/>
  <c r="BQ77" i="9"/>
  <c r="BL81" i="9"/>
  <c r="BL79" i="11"/>
  <c r="AN11" i="9"/>
  <c r="AO12" i="9"/>
  <c r="CA7" i="10"/>
  <c r="AA3" i="3" s="1"/>
  <c r="C15" i="3" s="1"/>
  <c r="AN7" i="9"/>
  <c r="AM9" i="9"/>
  <c r="AL82" i="9" s="1"/>
  <c r="AM78" i="9" s="1"/>
  <c r="AL8" i="9"/>
  <c r="AL79" i="9" s="1"/>
  <c r="AL80" i="9" s="1"/>
  <c r="BM78" i="11"/>
  <c r="BN11" i="10" s="1"/>
  <c r="BN10" i="10" s="1"/>
  <c r="BW59" i="9"/>
  <c r="BW65" i="9" s="1"/>
  <c r="BW66" i="9" s="1"/>
  <c r="BY51" i="9"/>
  <c r="BX59" i="9"/>
  <c r="BR51" i="9"/>
  <c r="BQ59" i="9"/>
  <c r="BA95" i="9"/>
  <c r="AK9" i="9"/>
  <c r="AJ82" i="9" s="1"/>
  <c r="AK78" i="9" s="1"/>
  <c r="AA2" i="3"/>
  <c r="B15" i="3" s="1"/>
  <c r="CG6" i="10"/>
  <c r="CE8" i="10"/>
  <c r="AE2" i="3"/>
  <c r="BD7" i="12"/>
  <c r="BY12" i="14" s="1"/>
  <c r="AD4" i="3"/>
  <c r="AS22" i="10"/>
  <c r="AS20" i="10"/>
  <c r="BI11" i="10"/>
  <c r="BL10" i="10"/>
  <c r="Z81" i="1"/>
  <c r="BA81" i="1" s="1"/>
  <c r="J75" i="1"/>
  <c r="J15" i="13" s="1"/>
  <c r="J20" i="13" s="1"/>
  <c r="J24" i="13" s="1"/>
  <c r="J20" i="12" s="1"/>
  <c r="AR17" i="1"/>
  <c r="AR18" i="1" s="1"/>
  <c r="I75" i="1"/>
  <c r="I15" i="13" s="1"/>
  <c r="I20" i="13" s="1"/>
  <c r="I24" i="13" s="1"/>
  <c r="I20" i="12" s="1"/>
  <c r="G75" i="1"/>
  <c r="G15" i="13" s="1"/>
  <c r="G20" i="13" s="1"/>
  <c r="G24" i="13" s="1"/>
  <c r="G20" i="12" s="1"/>
  <c r="U18" i="13"/>
  <c r="U8" i="14"/>
  <c r="J80" i="1"/>
  <c r="AA14" i="12"/>
  <c r="AA14" i="14" s="1"/>
  <c r="AB71" i="6"/>
  <c r="E75" i="1"/>
  <c r="E15" i="13" s="1"/>
  <c r="E20" i="13" s="1"/>
  <c r="E24" i="13" s="1"/>
  <c r="E20" i="12" s="1"/>
  <c r="BA75" i="6"/>
  <c r="X27" i="14"/>
  <c r="AY71" i="1"/>
  <c r="T8" i="14"/>
  <c r="T18" i="13"/>
  <c r="AA73" i="6"/>
  <c r="AA75" i="6" s="1"/>
  <c r="Z27" i="12"/>
  <c r="I80" i="1"/>
  <c r="H21" i="12"/>
  <c r="BH20" i="10"/>
  <c r="BF79" i="1"/>
  <c r="AZ20" i="10"/>
  <c r="BB20" i="10"/>
  <c r="AV79" i="1"/>
  <c r="AV81" i="1"/>
  <c r="AU81" i="1"/>
  <c r="AT20" i="10"/>
  <c r="AR79" i="1"/>
  <c r="BF20" i="10"/>
  <c r="AS75" i="1"/>
  <c r="AT81" i="1"/>
  <c r="BA20" i="10"/>
  <c r="AX79" i="1"/>
  <c r="AY79" i="1"/>
  <c r="BB79" i="1"/>
  <c r="AT79" i="1"/>
  <c r="AV20" i="10"/>
  <c r="N15" i="10"/>
  <c r="N16" i="10" s="1"/>
  <c r="AV14" i="10"/>
  <c r="AV15" i="10" s="1"/>
  <c r="H15" i="10"/>
  <c r="H16" i="10" s="1"/>
  <c r="AT14" i="10"/>
  <c r="AT15" i="10" s="1"/>
  <c r="K15" i="10"/>
  <c r="K16" i="10" s="1"/>
  <c r="AU14" i="10"/>
  <c r="AU15" i="10" s="1"/>
  <c r="AU20" i="10"/>
  <c r="AR20" i="10"/>
  <c r="AS79" i="1"/>
  <c r="AS81" i="1"/>
  <c r="AR81" i="1"/>
  <c r="AU79" i="1"/>
  <c r="AS14" i="10"/>
  <c r="AR14" i="10"/>
  <c r="AX20" i="10"/>
  <c r="AY20" i="10"/>
  <c r="BE20" i="10"/>
  <c r="BD20" i="10"/>
  <c r="BI20" i="10" s="1"/>
  <c r="W63" i="8"/>
  <c r="W72" i="8" s="1"/>
  <c r="V71" i="7"/>
  <c r="V71" i="1" s="1"/>
  <c r="AZ79" i="1"/>
  <c r="AY81" i="1"/>
  <c r="BA79" i="1"/>
  <c r="BE79" i="1"/>
  <c r="BD79" i="1"/>
  <c r="W71" i="5"/>
  <c r="AT75" i="1"/>
  <c r="L70" i="1"/>
  <c r="K73" i="1"/>
  <c r="K75" i="1" s="1"/>
  <c r="K15" i="13" s="1"/>
  <c r="K20" i="13" s="1"/>
  <c r="K24" i="13" s="1"/>
  <c r="K20" i="12" s="1"/>
  <c r="AY18" i="1"/>
  <c r="AT21" i="10"/>
  <c r="H82" i="1"/>
  <c r="N26" i="1"/>
  <c r="O26" i="1"/>
  <c r="F82" i="1"/>
  <c r="F83" i="1" s="1"/>
  <c r="F23" i="10"/>
  <c r="F25" i="10" s="1"/>
  <c r="I78" i="1"/>
  <c r="I22" i="10"/>
  <c r="I23" i="10" s="1"/>
  <c r="I25" i="10" s="1"/>
  <c r="K80" i="1"/>
  <c r="K21" i="10"/>
  <c r="G23" i="10"/>
  <c r="H23" i="10"/>
  <c r="E82" i="1"/>
  <c r="J73" i="7"/>
  <c r="J75" i="7" s="1"/>
  <c r="P110" i="5"/>
  <c r="P24" i="5" s="1"/>
  <c r="R94" i="5"/>
  <c r="M70" i="5"/>
  <c r="L73" i="5"/>
  <c r="L75" i="5" s="1"/>
  <c r="O26" i="5"/>
  <c r="AS80" i="1" l="1"/>
  <c r="G82" i="1"/>
  <c r="AJ17" i="6"/>
  <c r="AJ17" i="1"/>
  <c r="AH131" i="6"/>
  <c r="AH6" i="6" s="1"/>
  <c r="BF6" i="6" s="1"/>
  <c r="BF9" i="6" s="1"/>
  <c r="AG54" i="9"/>
  <c r="AH35" i="9"/>
  <c r="AH132" i="6"/>
  <c r="AH31" i="9" s="1"/>
  <c r="AH101" i="9" s="1"/>
  <c r="BF101" i="9" s="1"/>
  <c r="BF103" i="9" s="1"/>
  <c r="AG34" i="9"/>
  <c r="BF80" i="6"/>
  <c r="BF131" i="6" s="1"/>
  <c r="AI9" i="6"/>
  <c r="AI6" i="1"/>
  <c r="AI9" i="1" s="1"/>
  <c r="AI13" i="6"/>
  <c r="AI13" i="1" s="1"/>
  <c r="AI14" i="6"/>
  <c r="AI14" i="1" s="1"/>
  <c r="AI12" i="6"/>
  <c r="AI12" i="1" s="1"/>
  <c r="AI15" i="6"/>
  <c r="AI15" i="1" s="1"/>
  <c r="AI11" i="6"/>
  <c r="AJ37" i="9"/>
  <c r="AJ38" i="9" s="1"/>
  <c r="AJ39" i="9" s="1"/>
  <c r="H83" i="1"/>
  <c r="AG102" i="9"/>
  <c r="AI104" i="9"/>
  <c r="AI103" i="9"/>
  <c r="W13" i="12"/>
  <c r="E23" i="10"/>
  <c r="BW65" i="7"/>
  <c r="BX56" i="7"/>
  <c r="AJ18" i="1"/>
  <c r="AJ16" i="13" s="1"/>
  <c r="AH104" i="9"/>
  <c r="AH103" i="9"/>
  <c r="AH14" i="6"/>
  <c r="AM8" i="9"/>
  <c r="AM79" i="9" s="1"/>
  <c r="AM80" i="9" s="1"/>
  <c r="CG7" i="10"/>
  <c r="CA8" i="10"/>
  <c r="CF8" i="10" s="1"/>
  <c r="AO7" i="9"/>
  <c r="AN9" i="9"/>
  <c r="AM82" i="9" s="1"/>
  <c r="AN78" i="9" s="1"/>
  <c r="BR65" i="11"/>
  <c r="BR77" i="9"/>
  <c r="BQ76" i="11"/>
  <c r="BQ70" i="11"/>
  <c r="BQ73" i="11"/>
  <c r="BQ72" i="11"/>
  <c r="BQ71" i="11"/>
  <c r="BQ75" i="11"/>
  <c r="BQ67" i="11"/>
  <c r="BQ69" i="11"/>
  <c r="BQ74" i="11"/>
  <c r="BQ66" i="11"/>
  <c r="BQ68" i="11"/>
  <c r="BN78" i="11"/>
  <c r="BO11" i="10" s="1"/>
  <c r="BO10" i="10" s="1"/>
  <c r="BJ66" i="11"/>
  <c r="BM79" i="11"/>
  <c r="BM81" i="9"/>
  <c r="AO11" i="9"/>
  <c r="AP12" i="9"/>
  <c r="BW60" i="9"/>
  <c r="BW86" i="9" s="1"/>
  <c r="BW97" i="9"/>
  <c r="BW98" i="9" s="1"/>
  <c r="CB14" i="10" s="1"/>
  <c r="BS51" i="9"/>
  <c r="BR59" i="9"/>
  <c r="BQ65" i="9"/>
  <c r="BQ66" i="9" s="1"/>
  <c r="BQ60" i="9"/>
  <c r="BQ97" i="9"/>
  <c r="BZ51" i="9"/>
  <c r="BZ59" i="9" s="1"/>
  <c r="BY59" i="9"/>
  <c r="BX97" i="9"/>
  <c r="BX98" i="9" s="1"/>
  <c r="CC14" i="10" s="1"/>
  <c r="BX65" i="9"/>
  <c r="BX66" i="9" s="1"/>
  <c r="BX60" i="9"/>
  <c r="AJ9" i="9"/>
  <c r="AI82" i="9" s="1"/>
  <c r="AJ78" i="9" s="1"/>
  <c r="AK7" i="9"/>
  <c r="AK8" i="9" s="1"/>
  <c r="BE7" i="12"/>
  <c r="AE4" i="3"/>
  <c r="AT16" i="10"/>
  <c r="D5" i="3"/>
  <c r="E18" i="3" s="1"/>
  <c r="AU16" i="10"/>
  <c r="E5" i="3"/>
  <c r="E19" i="3" s="1"/>
  <c r="AV16" i="10"/>
  <c r="F5" i="3"/>
  <c r="E20" i="3" s="1"/>
  <c r="AS23" i="10"/>
  <c r="K15" i="14"/>
  <c r="J15" i="14"/>
  <c r="E83" i="1"/>
  <c r="H15" i="14"/>
  <c r="G83" i="1"/>
  <c r="G15" i="14"/>
  <c r="AT80" i="1"/>
  <c r="I15" i="14"/>
  <c r="AA95" i="9"/>
  <c r="AA81" i="1"/>
  <c r="E15" i="14"/>
  <c r="AB14" i="12"/>
  <c r="AB14" i="14" s="1"/>
  <c r="AA27" i="12"/>
  <c r="Z25" i="14"/>
  <c r="AB73" i="6"/>
  <c r="AB75" i="6" s="1"/>
  <c r="T20" i="14"/>
  <c r="AY8" i="14"/>
  <c r="F15" i="14"/>
  <c r="AC71" i="6"/>
  <c r="BB71" i="6" s="1"/>
  <c r="U20" i="14"/>
  <c r="V8" i="14"/>
  <c r="V20" i="14" s="1"/>
  <c r="V22" i="14" s="1"/>
  <c r="V18" i="13"/>
  <c r="AE18" i="9"/>
  <c r="AE17" i="9" s="1"/>
  <c r="AE30" i="9" s="1"/>
  <c r="AF16" i="9"/>
  <c r="I21" i="12"/>
  <c r="AS82" i="1"/>
  <c r="AS83" i="1" s="1"/>
  <c r="X63" i="8"/>
  <c r="X72" i="8" s="1"/>
  <c r="W71" i="7"/>
  <c r="AZ71" i="7" s="1"/>
  <c r="X71" i="5"/>
  <c r="AZ71" i="5"/>
  <c r="P24" i="1"/>
  <c r="P26" i="1" s="1"/>
  <c r="AV24" i="5"/>
  <c r="AR24" i="5"/>
  <c r="M70" i="1"/>
  <c r="AU70" i="5"/>
  <c r="L73" i="1"/>
  <c r="L75" i="1" s="1"/>
  <c r="L15" i="13" s="1"/>
  <c r="L20" i="13" s="1"/>
  <c r="L24" i="13" s="1"/>
  <c r="L20" i="12" s="1"/>
  <c r="L15" i="14" s="1"/>
  <c r="I82" i="1"/>
  <c r="I83" i="1" s="1"/>
  <c r="H25" i="10"/>
  <c r="H31" i="10" s="1"/>
  <c r="H33" i="10" s="1"/>
  <c r="H6" i="14" s="1"/>
  <c r="F31" i="10"/>
  <c r="F33" i="10" s="1"/>
  <c r="F6" i="14" s="1"/>
  <c r="F10" i="14" s="1"/>
  <c r="G25" i="10"/>
  <c r="G31" i="10" s="1"/>
  <c r="G33" i="10" s="1"/>
  <c r="G6" i="14" s="1"/>
  <c r="G10" i="14" s="1"/>
  <c r="I31" i="10"/>
  <c r="I33" i="10" s="1"/>
  <c r="I6" i="14" s="1"/>
  <c r="I10" i="14" s="1"/>
  <c r="P26" i="5"/>
  <c r="J78" i="1"/>
  <c r="J82" i="1" s="1"/>
  <c r="J83" i="1" s="1"/>
  <c r="J22" i="10"/>
  <c r="L80" i="1"/>
  <c r="L21" i="10"/>
  <c r="S94" i="5"/>
  <c r="R110" i="5"/>
  <c r="R24" i="5" s="1"/>
  <c r="K73" i="7"/>
  <c r="K75" i="7" s="1"/>
  <c r="N70" i="5"/>
  <c r="M73" i="5"/>
  <c r="M75" i="5" s="1"/>
  <c r="AH15" i="6" l="1"/>
  <c r="AH15" i="1" s="1"/>
  <c r="BF15" i="1" s="1"/>
  <c r="AH6" i="1"/>
  <c r="AH9" i="6"/>
  <c r="AH11" i="6"/>
  <c r="BF11" i="6" s="1"/>
  <c r="AH13" i="6"/>
  <c r="BF13" i="6" s="1"/>
  <c r="AH12" i="6"/>
  <c r="AF17" i="9"/>
  <c r="AF30" i="9" s="1"/>
  <c r="AE125" i="6"/>
  <c r="AE117" i="6"/>
  <c r="AE109" i="6"/>
  <c r="AE128" i="6"/>
  <c r="AE126" i="6"/>
  <c r="AE116" i="6"/>
  <c r="AE107" i="6"/>
  <c r="AE120" i="6"/>
  <c r="AE111" i="6"/>
  <c r="AE118" i="6"/>
  <c r="AE112" i="6"/>
  <c r="AE129" i="6"/>
  <c r="AE115" i="6"/>
  <c r="AE127" i="6"/>
  <c r="AE114" i="6"/>
  <c r="AE113" i="6"/>
  <c r="AE124" i="6"/>
  <c r="AE121" i="6"/>
  <c r="AE108" i="6"/>
  <c r="AE119" i="6"/>
  <c r="AE106" i="6"/>
  <c r="AE123" i="6"/>
  <c r="AE122" i="6"/>
  <c r="AE110" i="6"/>
  <c r="AI18" i="6"/>
  <c r="AI17" i="6"/>
  <c r="AI11" i="1"/>
  <c r="AI17" i="1" s="1"/>
  <c r="AG46" i="9"/>
  <c r="AG44" i="9"/>
  <c r="AG43" i="9"/>
  <c r="AG45" i="9"/>
  <c r="AG42" i="9"/>
  <c r="X13" i="12"/>
  <c r="BY56" i="7"/>
  <c r="BX65" i="7"/>
  <c r="AE104" i="6"/>
  <c r="AE102" i="6"/>
  <c r="AE100" i="6"/>
  <c r="AE98" i="6"/>
  <c r="AE96" i="6"/>
  <c r="AE94" i="6"/>
  <c r="AE92" i="6"/>
  <c r="AE90" i="6"/>
  <c r="AE105" i="6"/>
  <c r="AE103" i="6"/>
  <c r="AE101" i="6"/>
  <c r="AE99" i="6"/>
  <c r="AE97" i="6"/>
  <c r="AE95" i="6"/>
  <c r="AE93" i="6"/>
  <c r="AE91" i="6"/>
  <c r="AE88" i="6"/>
  <c r="AE86" i="6"/>
  <c r="AE84" i="6"/>
  <c r="AE82" i="6"/>
  <c r="AE80" i="6"/>
  <c r="AE89" i="6"/>
  <c r="AE87" i="6"/>
  <c r="AE85" i="6"/>
  <c r="AE83" i="6"/>
  <c r="AE81" i="6"/>
  <c r="BF15" i="6"/>
  <c r="AH14" i="1"/>
  <c r="BF14" i="1" s="1"/>
  <c r="BF14" i="6"/>
  <c r="AH9" i="1"/>
  <c r="BF6" i="1"/>
  <c r="BF9" i="1" s="1"/>
  <c r="CF28" i="10"/>
  <c r="CF29" i="10"/>
  <c r="CG8" i="10"/>
  <c r="CF6" i="10"/>
  <c r="CF7" i="10"/>
  <c r="AA4" i="3"/>
  <c r="D15" i="3" s="1"/>
  <c r="BK11" i="10"/>
  <c r="AI37" i="9"/>
  <c r="AI38" i="9" s="1"/>
  <c r="AI39" i="9" s="1"/>
  <c r="AF133" i="6"/>
  <c r="BS77" i="9"/>
  <c r="BS65" i="11"/>
  <c r="BR75" i="11"/>
  <c r="BR71" i="11"/>
  <c r="BR73" i="11"/>
  <c r="BR76" i="11"/>
  <c r="BR70" i="11"/>
  <c r="BR67" i="11"/>
  <c r="BR66" i="11"/>
  <c r="BR74" i="11"/>
  <c r="BR69" i="11"/>
  <c r="BR72" i="11"/>
  <c r="BR68" i="11"/>
  <c r="AO9" i="9"/>
  <c r="AN82" i="9" s="1"/>
  <c r="AO78" i="9" s="1"/>
  <c r="AP7" i="9"/>
  <c r="AN8" i="9"/>
  <c r="BJ78" i="11"/>
  <c r="BJ79" i="11" s="1"/>
  <c r="BJ65" i="11"/>
  <c r="BN81" i="9"/>
  <c r="BJ81" i="9" s="1"/>
  <c r="BN79" i="11"/>
  <c r="BQ78" i="11"/>
  <c r="BT11" i="10" s="1"/>
  <c r="BT10" i="10" s="1"/>
  <c r="BK12" i="9"/>
  <c r="AP11" i="9"/>
  <c r="BW61" i="9"/>
  <c r="BX61" i="9"/>
  <c r="BX86" i="9"/>
  <c r="BZ60" i="9"/>
  <c r="BZ65" i="9"/>
  <c r="BZ66" i="9" s="1"/>
  <c r="BZ97" i="9"/>
  <c r="BZ98" i="9" s="1"/>
  <c r="CE14" i="10" s="1"/>
  <c r="BY97" i="9"/>
  <c r="BY60" i="9"/>
  <c r="BY65" i="9"/>
  <c r="BY66" i="9" s="1"/>
  <c r="BT51" i="9"/>
  <c r="BT59" i="9" s="1"/>
  <c r="BS59" i="9"/>
  <c r="BQ61" i="9"/>
  <c r="BQ86" i="9"/>
  <c r="BR60" i="9"/>
  <c r="BR97" i="9"/>
  <c r="BR98" i="9" s="1"/>
  <c r="BU14" i="10" s="1"/>
  <c r="BR65" i="9"/>
  <c r="BR66" i="9" s="1"/>
  <c r="BQ98" i="9"/>
  <c r="BT14" i="10" s="1"/>
  <c r="AH72" i="9"/>
  <c r="BF73" i="9"/>
  <c r="AE34" i="9"/>
  <c r="AE35" i="9" s="1"/>
  <c r="AE36" i="9" s="1"/>
  <c r="AE37" i="9" s="1"/>
  <c r="BD17" i="9"/>
  <c r="BE17" i="9"/>
  <c r="AK79" i="9"/>
  <c r="BG8" i="9"/>
  <c r="AI9" i="9"/>
  <c r="AH82" i="9" s="1"/>
  <c r="AI78" i="9" s="1"/>
  <c r="AJ7" i="9"/>
  <c r="AJ8" i="9" s="1"/>
  <c r="AJ79" i="9" s="1"/>
  <c r="AJ80" i="9" s="1"/>
  <c r="BZ12" i="14"/>
  <c r="BV12" i="14" s="1"/>
  <c r="AT15" i="14"/>
  <c r="BK20" i="10"/>
  <c r="AF34" i="9"/>
  <c r="AG35" i="9"/>
  <c r="AH36" i="9"/>
  <c r="AE102" i="9"/>
  <c r="AE133" i="6"/>
  <c r="AF102" i="9"/>
  <c r="BB73" i="6"/>
  <c r="BB75" i="6" s="1"/>
  <c r="AB95" i="9"/>
  <c r="AB81" i="1"/>
  <c r="AS15" i="14"/>
  <c r="U22" i="14"/>
  <c r="AC73" i="6"/>
  <c r="AC75" i="6" s="1"/>
  <c r="AX71" i="6"/>
  <c r="Z27" i="14"/>
  <c r="BA25" i="14"/>
  <c r="BA27" i="14" s="1"/>
  <c r="AC14" i="12"/>
  <c r="AE71" i="6"/>
  <c r="T22" i="14"/>
  <c r="AY20" i="14"/>
  <c r="AY22" i="14" s="1"/>
  <c r="AB27" i="12"/>
  <c r="AA25" i="14"/>
  <c r="H10" i="14"/>
  <c r="AE54" i="9"/>
  <c r="AF54" i="9"/>
  <c r="W71" i="1"/>
  <c r="J21" i="12"/>
  <c r="Y63" i="8"/>
  <c r="Y72" i="8" s="1"/>
  <c r="X71" i="7"/>
  <c r="X71" i="1" s="1"/>
  <c r="AZ73" i="7"/>
  <c r="AZ75" i="7" s="1"/>
  <c r="Y71" i="5"/>
  <c r="AT78" i="1"/>
  <c r="AT82" i="1" s="1"/>
  <c r="AT83" i="1" s="1"/>
  <c r="AV26" i="5"/>
  <c r="AR26" i="5"/>
  <c r="R24" i="1"/>
  <c r="R26" i="1" s="1"/>
  <c r="M73" i="1"/>
  <c r="M75" i="1" s="1"/>
  <c r="M15" i="13" s="1"/>
  <c r="M20" i="13" s="1"/>
  <c r="M24" i="13" s="1"/>
  <c r="M20" i="12" s="1"/>
  <c r="M15" i="14" s="1"/>
  <c r="AU15" i="14" s="1"/>
  <c r="AU70" i="1"/>
  <c r="N70" i="1"/>
  <c r="AU73" i="5"/>
  <c r="AU75" i="5" s="1"/>
  <c r="AR24" i="1"/>
  <c r="AV24" i="1"/>
  <c r="J23" i="10"/>
  <c r="J25" i="10" s="1"/>
  <c r="J31" i="10" s="1"/>
  <c r="J33" i="10" s="1"/>
  <c r="J6" i="14" s="1"/>
  <c r="J10" i="14" s="1"/>
  <c r="AT22" i="10"/>
  <c r="AT23" i="10" s="1"/>
  <c r="AT25" i="10" s="1"/>
  <c r="AT31" i="10" s="1"/>
  <c r="M80" i="1"/>
  <c r="AU80" i="1" s="1"/>
  <c r="M21" i="10"/>
  <c r="AU21" i="10" s="1"/>
  <c r="K78" i="1"/>
  <c r="K22" i="10"/>
  <c r="T94" i="5"/>
  <c r="S110" i="5"/>
  <c r="S24" i="5" s="1"/>
  <c r="S24" i="1" s="1"/>
  <c r="R26" i="5"/>
  <c r="L73" i="7"/>
  <c r="L75" i="7" s="1"/>
  <c r="N73" i="5"/>
  <c r="N75" i="5" s="1"/>
  <c r="O70" i="5"/>
  <c r="O70" i="1" s="1"/>
  <c r="AG48" i="9" l="1"/>
  <c r="AG57" i="9" s="1"/>
  <c r="AG73" i="9" s="1"/>
  <c r="AH18" i="6"/>
  <c r="AH13" i="1"/>
  <c r="BF13" i="1" s="1"/>
  <c r="BF17" i="1" s="1"/>
  <c r="BF18" i="1" s="1"/>
  <c r="AH17" i="6"/>
  <c r="AH11" i="1"/>
  <c r="AH12" i="1"/>
  <c r="BF12" i="1" s="1"/>
  <c r="BF12" i="6"/>
  <c r="AI18" i="1"/>
  <c r="AI16" i="13" s="1"/>
  <c r="AF44" i="9"/>
  <c r="AF43" i="9"/>
  <c r="AF46" i="9"/>
  <c r="AF45" i="9"/>
  <c r="AF42" i="9"/>
  <c r="AE42" i="9"/>
  <c r="AE43" i="9"/>
  <c r="AE46" i="9"/>
  <c r="AE45" i="9"/>
  <c r="AE44" i="9"/>
  <c r="AF110" i="6"/>
  <c r="AF118" i="6"/>
  <c r="AF126" i="6"/>
  <c r="AF109" i="6"/>
  <c r="AF117" i="6"/>
  <c r="AF125" i="6"/>
  <c r="AF106" i="6"/>
  <c r="AF107" i="6"/>
  <c r="AF108" i="6"/>
  <c r="AF127" i="6"/>
  <c r="AF128" i="6"/>
  <c r="AF129" i="6"/>
  <c r="AF122" i="6"/>
  <c r="AF112" i="6"/>
  <c r="AF121" i="6"/>
  <c r="AF111" i="6"/>
  <c r="AF120" i="6"/>
  <c r="AF124" i="6"/>
  <c r="AF116" i="6"/>
  <c r="AF115" i="6"/>
  <c r="AF114" i="6"/>
  <c r="AF123" i="6"/>
  <c r="AF113" i="6"/>
  <c r="AF119" i="6"/>
  <c r="AG30" i="9"/>
  <c r="AE132" i="6"/>
  <c r="AF74" i="9"/>
  <c r="AG70" i="9" s="1"/>
  <c r="Y13" i="12"/>
  <c r="BF17" i="6"/>
  <c r="BF18" i="6" s="1"/>
  <c r="BY65" i="7"/>
  <c r="BZ56" i="7"/>
  <c r="BZ65" i="7" s="1"/>
  <c r="AT33" i="10"/>
  <c r="D6" i="3"/>
  <c r="F18" i="3" s="1"/>
  <c r="AF81" i="6"/>
  <c r="AF83" i="6"/>
  <c r="AF85" i="6"/>
  <c r="AF87" i="6"/>
  <c r="AF89" i="6"/>
  <c r="AF91" i="6"/>
  <c r="AF93" i="6"/>
  <c r="AF95" i="6"/>
  <c r="AF97" i="6"/>
  <c r="AF99" i="6"/>
  <c r="AF101" i="6"/>
  <c r="AF103" i="6"/>
  <c r="AF105" i="6"/>
  <c r="AF80" i="6"/>
  <c r="AF82" i="6"/>
  <c r="AF84" i="6"/>
  <c r="AF86" i="6"/>
  <c r="AF88" i="6"/>
  <c r="AF90" i="6"/>
  <c r="AF92" i="6"/>
  <c r="AF94" i="6"/>
  <c r="AF96" i="6"/>
  <c r="AF98" i="6"/>
  <c r="AF100" i="6"/>
  <c r="AF102" i="6"/>
  <c r="AF104" i="6"/>
  <c r="AE131" i="6"/>
  <c r="AE6" i="6" s="1"/>
  <c r="BP11" i="10"/>
  <c r="BQ11" i="10"/>
  <c r="BQ81" i="9"/>
  <c r="BQ79" i="11"/>
  <c r="BL12" i="9"/>
  <c r="BK11" i="9"/>
  <c r="AO8" i="9"/>
  <c r="AO79" i="9" s="1"/>
  <c r="BT77" i="9"/>
  <c r="BT65" i="11"/>
  <c r="AN79" i="9"/>
  <c r="BS74" i="11"/>
  <c r="BS72" i="11"/>
  <c r="BS75" i="11"/>
  <c r="BS76" i="11"/>
  <c r="BS66" i="11"/>
  <c r="BS69" i="11"/>
  <c r="BS67" i="11"/>
  <c r="BS71" i="11"/>
  <c r="BS70" i="11"/>
  <c r="BS73" i="11"/>
  <c r="BS68" i="11"/>
  <c r="BR78" i="11"/>
  <c r="BU11" i="10" s="1"/>
  <c r="BU10" i="10" s="1"/>
  <c r="BK7" i="9"/>
  <c r="AP9" i="9"/>
  <c r="AO82" i="9" s="1"/>
  <c r="AP78" i="9" s="1"/>
  <c r="AP82" i="9"/>
  <c r="BK78" i="9" s="1"/>
  <c r="BJ78" i="9" s="1"/>
  <c r="BY86" i="9"/>
  <c r="BY61" i="9"/>
  <c r="BZ86" i="9"/>
  <c r="BZ61" i="9"/>
  <c r="BR86" i="9"/>
  <c r="BR61" i="9"/>
  <c r="BT97" i="9"/>
  <c r="BT98" i="9" s="1"/>
  <c r="BW14" i="10" s="1"/>
  <c r="BT60" i="9"/>
  <c r="BT65" i="9"/>
  <c r="BT66" i="9" s="1"/>
  <c r="BS97" i="9"/>
  <c r="BS60" i="9"/>
  <c r="BS65" i="9"/>
  <c r="BS66" i="9" s="1"/>
  <c r="BY98" i="9"/>
  <c r="CD14" i="10" s="1"/>
  <c r="CA14" i="10" s="1"/>
  <c r="BV97" i="9"/>
  <c r="BV98" i="9" s="1"/>
  <c r="AK80" i="9"/>
  <c r="BG79" i="9"/>
  <c r="BD102" i="9"/>
  <c r="BE102" i="9"/>
  <c r="AH9" i="9"/>
  <c r="AG82" i="9" s="1"/>
  <c r="AH78" i="9" s="1"/>
  <c r="AI7" i="9"/>
  <c r="AI8" i="9" s="1"/>
  <c r="AI79" i="9" s="1"/>
  <c r="AE14" i="12"/>
  <c r="AF14" i="12" s="1"/>
  <c r="AC14" i="14"/>
  <c r="AX14" i="14" s="1"/>
  <c r="BQ20" i="10"/>
  <c r="BP20" i="10"/>
  <c r="AH37" i="9"/>
  <c r="AH38" i="9" s="1"/>
  <c r="AH39" i="9" s="1"/>
  <c r="AE38" i="9"/>
  <c r="AE39" i="9" s="1"/>
  <c r="AF35" i="9"/>
  <c r="AF36" i="9" s="1"/>
  <c r="AF37" i="9" s="1"/>
  <c r="AG36" i="9"/>
  <c r="AG37" i="9" s="1"/>
  <c r="AG63" i="9"/>
  <c r="AC95" i="9"/>
  <c r="BB95" i="9" s="1"/>
  <c r="AC81" i="1"/>
  <c r="X8" i="14"/>
  <c r="X18" i="13"/>
  <c r="AZ71" i="1"/>
  <c r="W18" i="13"/>
  <c r="W8" i="14"/>
  <c r="AF71" i="6"/>
  <c r="AA27" i="14"/>
  <c r="AC27" i="12"/>
  <c r="AE27" i="12" s="1"/>
  <c r="AB25" i="14"/>
  <c r="AB27" i="14" s="1"/>
  <c r="AE73" i="6"/>
  <c r="AX73" i="6"/>
  <c r="AT6" i="14"/>
  <c r="AT10" i="14" s="1"/>
  <c r="AG9" i="9"/>
  <c r="AF82" i="9" s="1"/>
  <c r="AG78" i="9" s="1"/>
  <c r="AH7" i="9"/>
  <c r="K21" i="12"/>
  <c r="Z63" i="8"/>
  <c r="Z72" i="8" s="1"/>
  <c r="Y71" i="7"/>
  <c r="Y71" i="1" s="1"/>
  <c r="Z71" i="5"/>
  <c r="AV26" i="1"/>
  <c r="N73" i="1"/>
  <c r="N75" i="1" s="1"/>
  <c r="N15" i="13" s="1"/>
  <c r="N20" i="13" s="1"/>
  <c r="N24" i="13" s="1"/>
  <c r="N20" i="12" s="1"/>
  <c r="N15" i="14" s="1"/>
  <c r="AU73" i="1"/>
  <c r="AU75" i="1" s="1"/>
  <c r="O73" i="1"/>
  <c r="O75" i="1" s="1"/>
  <c r="O15" i="13" s="1"/>
  <c r="O20" i="13" s="1"/>
  <c r="O24" i="13" s="1"/>
  <c r="O20" i="12" s="1"/>
  <c r="AR26" i="1"/>
  <c r="K82" i="1"/>
  <c r="K83" i="1" s="1"/>
  <c r="K23" i="10"/>
  <c r="K25" i="10" s="1"/>
  <c r="K31" i="10" s="1"/>
  <c r="K33" i="10" s="1"/>
  <c r="K6" i="14" s="1"/>
  <c r="S26" i="1"/>
  <c r="L78" i="1"/>
  <c r="L82" i="1" s="1"/>
  <c r="L83" i="1" s="1"/>
  <c r="L22" i="10"/>
  <c r="L23" i="10" s="1"/>
  <c r="N80" i="1"/>
  <c r="N21" i="10"/>
  <c r="U94" i="5"/>
  <c r="T110" i="5"/>
  <c r="T24" i="5" s="1"/>
  <c r="T24" i="1" s="1"/>
  <c r="AY24" i="1" s="1"/>
  <c r="AY26" i="1" s="1"/>
  <c r="M73" i="7"/>
  <c r="M75" i="7" s="1"/>
  <c r="S26" i="5"/>
  <c r="P70" i="5"/>
  <c r="O73" i="5"/>
  <c r="O75" i="5" s="1"/>
  <c r="AH18" i="1" l="1"/>
  <c r="AH16" i="13" s="1"/>
  <c r="BF11" i="1"/>
  <c r="AH17" i="1"/>
  <c r="AG107" i="6"/>
  <c r="AG115" i="6"/>
  <c r="AG123" i="6"/>
  <c r="AG106" i="6"/>
  <c r="AG114" i="6"/>
  <c r="AG122" i="6"/>
  <c r="AG124" i="6"/>
  <c r="AG125" i="6"/>
  <c r="AG126" i="6"/>
  <c r="AG113" i="6"/>
  <c r="AG108" i="6"/>
  <c r="AG117" i="6"/>
  <c r="AG112" i="6"/>
  <c r="AG116" i="6"/>
  <c r="AG129" i="6"/>
  <c r="AG111" i="6"/>
  <c r="AG120" i="6"/>
  <c r="AG121" i="6"/>
  <c r="AG110" i="6"/>
  <c r="AG119" i="6"/>
  <c r="AG109" i="6"/>
  <c r="AG118" i="6"/>
  <c r="AG127" i="6"/>
  <c r="AG128" i="6"/>
  <c r="AG133" i="6"/>
  <c r="AG94" i="6"/>
  <c r="BD94" i="6" s="1"/>
  <c r="AG85" i="6"/>
  <c r="BD85" i="6" s="1"/>
  <c r="AG101" i="6"/>
  <c r="BE101" i="6" s="1"/>
  <c r="AG91" i="6"/>
  <c r="BD91" i="6" s="1"/>
  <c r="AG80" i="6"/>
  <c r="BD80" i="6" s="1"/>
  <c r="AG96" i="6"/>
  <c r="BD96" i="6" s="1"/>
  <c r="AG87" i="6"/>
  <c r="BD87" i="6" s="1"/>
  <c r="AG103" i="6"/>
  <c r="BD103" i="6" s="1"/>
  <c r="AG88" i="6"/>
  <c r="BE88" i="6" s="1"/>
  <c r="AG104" i="6"/>
  <c r="BE104" i="6" s="1"/>
  <c r="AG82" i="6"/>
  <c r="BE82" i="6" s="1"/>
  <c r="AG98" i="6"/>
  <c r="BD98" i="6" s="1"/>
  <c r="AG89" i="6"/>
  <c r="BD89" i="6" s="1"/>
  <c r="AG105" i="6"/>
  <c r="BD105" i="6" s="1"/>
  <c r="AG84" i="6"/>
  <c r="BD84" i="6" s="1"/>
  <c r="AG100" i="6"/>
  <c r="BE100" i="6" s="1"/>
  <c r="AG86" i="6"/>
  <c r="BD86" i="6" s="1"/>
  <c r="AG102" i="6"/>
  <c r="BD102" i="6" s="1"/>
  <c r="AG93" i="6"/>
  <c r="BE93" i="6" s="1"/>
  <c r="AG95" i="6"/>
  <c r="BD95" i="6" s="1"/>
  <c r="AG90" i="6"/>
  <c r="BD90" i="6" s="1"/>
  <c r="AG81" i="6"/>
  <c r="BE81" i="6" s="1"/>
  <c r="AG97" i="6"/>
  <c r="BD97" i="6" s="1"/>
  <c r="AG92" i="6"/>
  <c r="BD92" i="6" s="1"/>
  <c r="AG83" i="6"/>
  <c r="BE83" i="6" s="1"/>
  <c r="AG99" i="6"/>
  <c r="BD99" i="6" s="1"/>
  <c r="BE92" i="6"/>
  <c r="AF132" i="6"/>
  <c r="Z13" i="12"/>
  <c r="AH8" i="9"/>
  <c r="BF8" i="9" s="1"/>
  <c r="AI80" i="9"/>
  <c r="BV56" i="7"/>
  <c r="BV65" i="7" s="1"/>
  <c r="AE31" i="9"/>
  <c r="AE101" i="9" s="1"/>
  <c r="BE99" i="6"/>
  <c r="BE91" i="6"/>
  <c r="AE9" i="6"/>
  <c r="AE6" i="1"/>
  <c r="AE12" i="6"/>
  <c r="AE11" i="6"/>
  <c r="AE13" i="6"/>
  <c r="AE14" i="6"/>
  <c r="AE15" i="6"/>
  <c r="AF131" i="6"/>
  <c r="AF6" i="6" s="1"/>
  <c r="AF48" i="9"/>
  <c r="AF57" i="9" s="1"/>
  <c r="AF73" i="9" s="1"/>
  <c r="AE48" i="9"/>
  <c r="AE57" i="9" s="1"/>
  <c r="AE73" i="9" s="1"/>
  <c r="BS78" i="11"/>
  <c r="BV11" i="10" s="1"/>
  <c r="BV10" i="10" s="1"/>
  <c r="BT73" i="11"/>
  <c r="BP73" i="11" s="1"/>
  <c r="BT67" i="11"/>
  <c r="BP67" i="11" s="1"/>
  <c r="BT72" i="11"/>
  <c r="BP72" i="11" s="1"/>
  <c r="BT76" i="11"/>
  <c r="BP76" i="11" s="1"/>
  <c r="BT74" i="11"/>
  <c r="BP74" i="11" s="1"/>
  <c r="BT71" i="11"/>
  <c r="BP71" i="11" s="1"/>
  <c r="BT75" i="11"/>
  <c r="BP75" i="11" s="1"/>
  <c r="BT70" i="11"/>
  <c r="BP70" i="11" s="1"/>
  <c r="BT69" i="11"/>
  <c r="BP69" i="11" s="1"/>
  <c r="BT66" i="11"/>
  <c r="BT68" i="11"/>
  <c r="BP68" i="11" s="1"/>
  <c r="BR81" i="9"/>
  <c r="BR79" i="11"/>
  <c r="BW65" i="11"/>
  <c r="BW77" i="9"/>
  <c r="AN80" i="9"/>
  <c r="AO80" i="9"/>
  <c r="BM12" i="9"/>
  <c r="BL11" i="9"/>
  <c r="BL7" i="9"/>
  <c r="BK9" i="9"/>
  <c r="BK82" i="9"/>
  <c r="AP8" i="9"/>
  <c r="AP79" i="9" s="1"/>
  <c r="AP80" i="9" s="1"/>
  <c r="BS98" i="9"/>
  <c r="BV14" i="10" s="1"/>
  <c r="BS14" i="10" s="1"/>
  <c r="BP97" i="9"/>
  <c r="BP98" i="9" s="1"/>
  <c r="BS86" i="9"/>
  <c r="BS61" i="9"/>
  <c r="BV86" i="9"/>
  <c r="BT61" i="9"/>
  <c r="BT86" i="9"/>
  <c r="BB14" i="14"/>
  <c r="AF14" i="14"/>
  <c r="AG14" i="12"/>
  <c r="AH14" i="12" s="1"/>
  <c r="AF38" i="9"/>
  <c r="AF39" i="9" s="1"/>
  <c r="BS20" i="10"/>
  <c r="BX20" i="10" s="1"/>
  <c r="AE14" i="14"/>
  <c r="AG38" i="9"/>
  <c r="AG39" i="9" s="1"/>
  <c r="O15" i="14"/>
  <c r="AG71" i="6"/>
  <c r="W20" i="14"/>
  <c r="AZ8" i="14"/>
  <c r="Y18" i="13"/>
  <c r="Y8" i="14"/>
  <c r="Y20" i="14" s="1"/>
  <c r="Y22" i="14" s="1"/>
  <c r="X20" i="14"/>
  <c r="BB81" i="1"/>
  <c r="AC25" i="14"/>
  <c r="AF73" i="6"/>
  <c r="K10" i="14"/>
  <c r="AG7" i="9"/>
  <c r="AG8" i="9" s="1"/>
  <c r="AG79" i="9" s="1"/>
  <c r="AF9" i="9"/>
  <c r="AE82" i="9" s="1"/>
  <c r="AF78" i="9" s="1"/>
  <c r="L21" i="12"/>
  <c r="AA63" i="8"/>
  <c r="AA72" i="8" s="1"/>
  <c r="Z71" i="7"/>
  <c r="BA71" i="7" s="1"/>
  <c r="AA71" i="5"/>
  <c r="BA71" i="5"/>
  <c r="R70" i="5"/>
  <c r="R73" i="5" s="1"/>
  <c r="R75" i="5" s="1"/>
  <c r="P70" i="1"/>
  <c r="AR70" i="5"/>
  <c r="AR73" i="5" s="1"/>
  <c r="AR75" i="5" s="1"/>
  <c r="AV70" i="5"/>
  <c r="AY24" i="5"/>
  <c r="L25" i="10"/>
  <c r="L31" i="10" s="1"/>
  <c r="L33" i="10" s="1"/>
  <c r="L6" i="14" s="1"/>
  <c r="L10" i="14" s="1"/>
  <c r="T26" i="1"/>
  <c r="O80" i="1"/>
  <c r="O21" i="10"/>
  <c r="M78" i="1"/>
  <c r="M82" i="1" s="1"/>
  <c r="M83" i="1" s="1"/>
  <c r="M22" i="10"/>
  <c r="M23" i="10" s="1"/>
  <c r="U110" i="5"/>
  <c r="U24" i="5" s="1"/>
  <c r="V94" i="5"/>
  <c r="T26" i="5"/>
  <c r="N73" i="7"/>
  <c r="N75" i="7" s="1"/>
  <c r="P73" i="5"/>
  <c r="P75" i="5" s="1"/>
  <c r="BD82" i="6" l="1"/>
  <c r="BE80" i="6"/>
  <c r="BE94" i="6"/>
  <c r="BD88" i="6"/>
  <c r="BE89" i="6"/>
  <c r="BE86" i="6"/>
  <c r="BE90" i="6"/>
  <c r="BE85" i="6"/>
  <c r="BD83" i="6"/>
  <c r="AA13" i="12"/>
  <c r="BD93" i="6"/>
  <c r="BD101" i="6"/>
  <c r="BE102" i="6"/>
  <c r="BE96" i="6"/>
  <c r="BE103" i="6"/>
  <c r="BE95" i="6"/>
  <c r="BD104" i="6"/>
  <c r="BD100" i="6"/>
  <c r="BE98" i="6"/>
  <c r="BE105" i="6"/>
  <c r="AG132" i="6"/>
  <c r="AG31" i="9" s="1"/>
  <c r="AG101" i="9" s="1"/>
  <c r="AG131" i="6"/>
  <c r="AG6" i="6" s="1"/>
  <c r="BD6" i="6" s="1"/>
  <c r="BD9" i="6" s="1"/>
  <c r="BD81" i="6"/>
  <c r="BE87" i="6"/>
  <c r="BE84" i="6"/>
  <c r="BE97" i="6"/>
  <c r="AH79" i="9"/>
  <c r="AH80" i="9" s="1"/>
  <c r="AF31" i="9"/>
  <c r="AF101" i="9" s="1"/>
  <c r="AF63" i="9"/>
  <c r="AE74" i="9"/>
  <c r="AF70" i="9" s="1"/>
  <c r="AE18" i="6"/>
  <c r="AE14" i="1"/>
  <c r="AE17" i="6"/>
  <c r="AE11" i="1"/>
  <c r="AE9" i="1"/>
  <c r="AF9" i="6"/>
  <c r="AF6" i="1"/>
  <c r="AF13" i="6"/>
  <c r="AF13" i="1" s="1"/>
  <c r="AF14" i="6"/>
  <c r="AF14" i="1" s="1"/>
  <c r="AF12" i="6"/>
  <c r="AF12" i="1" s="1"/>
  <c r="AF15" i="6"/>
  <c r="AF15" i="1" s="1"/>
  <c r="AF11" i="6"/>
  <c r="AE15" i="1"/>
  <c r="AE13" i="1"/>
  <c r="AE12" i="1"/>
  <c r="AE104" i="9"/>
  <c r="AE103" i="9"/>
  <c r="BP86" i="9"/>
  <c r="BH8" i="9"/>
  <c r="BH79" i="9"/>
  <c r="BX65" i="11"/>
  <c r="BX77" i="9"/>
  <c r="BW76" i="11"/>
  <c r="BW74" i="11"/>
  <c r="BW72" i="11"/>
  <c r="BW70" i="11"/>
  <c r="BW67" i="11"/>
  <c r="BW69" i="11"/>
  <c r="BW75" i="11"/>
  <c r="BW66" i="11"/>
  <c r="BW73" i="11"/>
  <c r="BW71" i="11"/>
  <c r="BW68" i="11"/>
  <c r="BS81" i="9"/>
  <c r="BS79" i="11"/>
  <c r="BN12" i="9"/>
  <c r="BM11" i="9"/>
  <c r="BT78" i="11"/>
  <c r="BW11" i="10" s="1"/>
  <c r="BP66" i="11"/>
  <c r="BL78" i="9"/>
  <c r="BN78" i="9"/>
  <c r="BM7" i="9"/>
  <c r="BL9" i="9"/>
  <c r="BL8" i="9" s="1"/>
  <c r="BL79" i="9" s="1"/>
  <c r="BL82" i="9"/>
  <c r="BM78" i="9" s="1"/>
  <c r="BY20" i="10"/>
  <c r="AH14" i="14"/>
  <c r="AI14" i="12"/>
  <c r="AG14" i="14"/>
  <c r="BE14" i="14" s="1"/>
  <c r="AF72" i="9"/>
  <c r="AE63" i="9"/>
  <c r="AC74" i="9"/>
  <c r="W22" i="14"/>
  <c r="AZ20" i="14"/>
  <c r="AZ22" i="14" s="1"/>
  <c r="AG73" i="6"/>
  <c r="BE71" i="6"/>
  <c r="X22" i="14"/>
  <c r="AH71" i="6"/>
  <c r="AC27" i="14"/>
  <c r="AX25" i="14"/>
  <c r="AX27" i="14" s="1"/>
  <c r="AF27" i="12"/>
  <c r="AG27" i="12" s="1"/>
  <c r="AE25" i="14"/>
  <c r="BB25" i="14"/>
  <c r="BB27" i="14" s="1"/>
  <c r="AG80" i="9"/>
  <c r="AF7" i="9"/>
  <c r="AF8" i="9" s="1"/>
  <c r="AF79" i="9" s="1"/>
  <c r="AE9" i="9"/>
  <c r="M21" i="12"/>
  <c r="BA73" i="7"/>
  <c r="BA75" i="7" s="1"/>
  <c r="AB63" i="8"/>
  <c r="AB72" i="8" s="1"/>
  <c r="AA71" i="7"/>
  <c r="Z71" i="1"/>
  <c r="AB71" i="5"/>
  <c r="AY26" i="5"/>
  <c r="R70" i="1"/>
  <c r="U24" i="1"/>
  <c r="U26" i="1" s="1"/>
  <c r="P73" i="1"/>
  <c r="P75" i="1" s="1"/>
  <c r="P15" i="13" s="1"/>
  <c r="P20" i="13" s="1"/>
  <c r="P24" i="13" s="1"/>
  <c r="P20" i="12" s="1"/>
  <c r="P15" i="14" s="1"/>
  <c r="AR70" i="1"/>
  <c r="AR73" i="1" s="1"/>
  <c r="AR75" i="1" s="1"/>
  <c r="AV70" i="1"/>
  <c r="AV73" i="5"/>
  <c r="AV75" i="5" s="1"/>
  <c r="S70" i="5"/>
  <c r="S70" i="1" s="1"/>
  <c r="AU78" i="1"/>
  <c r="AU82" i="1" s="1"/>
  <c r="AU83" i="1" s="1"/>
  <c r="AU22" i="10"/>
  <c r="AU23" i="10" s="1"/>
  <c r="AU25" i="10" s="1"/>
  <c r="AU31" i="10" s="1"/>
  <c r="M25" i="10"/>
  <c r="M31" i="10" s="1"/>
  <c r="M33" i="10" s="1"/>
  <c r="M6" i="14" s="1"/>
  <c r="M10" i="14" s="1"/>
  <c r="R80" i="1"/>
  <c r="R21" i="10"/>
  <c r="N78" i="1"/>
  <c r="N22" i="10"/>
  <c r="P80" i="1"/>
  <c r="AR80" i="1" s="1"/>
  <c r="P21" i="10"/>
  <c r="AR21" i="10" s="1"/>
  <c r="U26" i="5"/>
  <c r="O73" i="7"/>
  <c r="O75" i="7" s="1"/>
  <c r="V110" i="5"/>
  <c r="V24" i="5" s="1"/>
  <c r="V24" i="1" s="1"/>
  <c r="W94" i="5"/>
  <c r="BD131" i="6" l="1"/>
  <c r="BD157" i="6" s="1"/>
  <c r="AB13" i="12"/>
  <c r="BE131" i="6"/>
  <c r="BD132" i="6"/>
  <c r="AF104" i="9"/>
  <c r="BE101" i="9"/>
  <c r="BE103" i="9" s="1"/>
  <c r="BD101" i="9"/>
  <c r="BD103" i="9" s="1"/>
  <c r="BF79" i="9"/>
  <c r="AG13" i="6"/>
  <c r="AG13" i="1" s="1"/>
  <c r="BD13" i="1" s="1"/>
  <c r="AG9" i="6"/>
  <c r="AG6" i="1"/>
  <c r="BE6" i="1" s="1"/>
  <c r="BE9" i="1" s="1"/>
  <c r="AG14" i="6"/>
  <c r="AG14" i="1" s="1"/>
  <c r="BD14" i="1" s="1"/>
  <c r="AG12" i="6"/>
  <c r="AG12" i="1" s="1"/>
  <c r="BD12" i="1" s="1"/>
  <c r="AG15" i="6"/>
  <c r="AG15" i="1" s="1"/>
  <c r="BE15" i="1" s="1"/>
  <c r="AG11" i="6"/>
  <c r="BD11" i="6" s="1"/>
  <c r="AG104" i="9"/>
  <c r="AG103" i="9"/>
  <c r="BE6" i="6"/>
  <c r="BE9" i="6" s="1"/>
  <c r="AF103" i="9"/>
  <c r="AE75" i="6"/>
  <c r="AE95" i="9" s="1"/>
  <c r="AF18" i="6"/>
  <c r="AE18" i="1"/>
  <c r="AE16" i="13" s="1"/>
  <c r="AU33" i="10"/>
  <c r="E6" i="3"/>
  <c r="F19" i="3" s="1"/>
  <c r="AF11" i="1"/>
  <c r="AF17" i="1" s="1"/>
  <c r="AF17" i="6"/>
  <c r="AE17" i="1"/>
  <c r="BD14" i="6"/>
  <c r="AF9" i="1"/>
  <c r="BE14" i="1"/>
  <c r="BS11" i="10"/>
  <c r="BW10" i="10"/>
  <c r="T70" i="5"/>
  <c r="T70" i="1" s="1"/>
  <c r="T73" i="1" s="1"/>
  <c r="T75" i="1" s="1"/>
  <c r="T15" i="13" s="1"/>
  <c r="T20" i="13" s="1"/>
  <c r="T24" i="13" s="1"/>
  <c r="BP78" i="11"/>
  <c r="BP79" i="11" s="1"/>
  <c r="BP65" i="11"/>
  <c r="BY65" i="11"/>
  <c r="BY77" i="9"/>
  <c r="BQ12" i="9"/>
  <c r="BN11" i="9"/>
  <c r="BX75" i="11"/>
  <c r="BX76" i="11"/>
  <c r="BX74" i="11"/>
  <c r="BX66" i="11"/>
  <c r="BX67" i="11"/>
  <c r="BX69" i="11"/>
  <c r="BX72" i="11"/>
  <c r="BX70" i="11"/>
  <c r="BX73" i="11"/>
  <c r="BX71" i="11"/>
  <c r="BX68" i="11"/>
  <c r="BT81" i="9"/>
  <c r="BP81" i="9" s="1"/>
  <c r="BT79" i="11"/>
  <c r="BW78" i="11"/>
  <c r="CB11" i="10" s="1"/>
  <c r="CB10" i="10" s="1"/>
  <c r="BM9" i="9"/>
  <c r="BM8" i="9" s="1"/>
  <c r="BM79" i="9" s="1"/>
  <c r="BM80" i="9" s="1"/>
  <c r="BN7" i="9"/>
  <c r="BM82" i="9"/>
  <c r="BL80" i="9"/>
  <c r="BE73" i="9"/>
  <c r="CA20" i="10"/>
  <c r="CF20" i="10" s="1"/>
  <c r="AJ14" i="12"/>
  <c r="AI14" i="14"/>
  <c r="AE72" i="9"/>
  <c r="AF71" i="9"/>
  <c r="AF22" i="13" s="1"/>
  <c r="AE70" i="9"/>
  <c r="BE70" i="9" s="1"/>
  <c r="AC72" i="9"/>
  <c r="AC71" i="9" s="1"/>
  <c r="BE73" i="6"/>
  <c r="BA71" i="1"/>
  <c r="Z18" i="13"/>
  <c r="Z8" i="14"/>
  <c r="AF25" i="14"/>
  <c r="AF27" i="14" s="1"/>
  <c r="AV15" i="14"/>
  <c r="AR15" i="14"/>
  <c r="AE27" i="14"/>
  <c r="AI71" i="6"/>
  <c r="AH73" i="6"/>
  <c r="AH75" i="6" s="1"/>
  <c r="AU6" i="14"/>
  <c r="AU10" i="14" s="1"/>
  <c r="AF80" i="9"/>
  <c r="AC82" i="9"/>
  <c r="AE78" i="9" s="1"/>
  <c r="BE78" i="9" s="1"/>
  <c r="N21" i="12"/>
  <c r="AA71" i="1"/>
  <c r="AC63" i="8"/>
  <c r="AC72" i="8" s="1"/>
  <c r="AB71" i="7"/>
  <c r="AB71" i="1" s="1"/>
  <c r="AC71" i="5"/>
  <c r="S73" i="5"/>
  <c r="S75" i="5" s="1"/>
  <c r="S80" i="1" s="1"/>
  <c r="AV21" i="10"/>
  <c r="S73" i="1"/>
  <c r="S75" i="1" s="1"/>
  <c r="S15" i="13" s="1"/>
  <c r="S20" i="13" s="1"/>
  <c r="S24" i="13" s="1"/>
  <c r="AV73" i="1"/>
  <c r="AV75" i="1" s="1"/>
  <c r="AV80" i="1"/>
  <c r="R73" i="1"/>
  <c r="R75" i="1" s="1"/>
  <c r="R15" i="13" s="1"/>
  <c r="R20" i="13" s="1"/>
  <c r="R24" i="13" s="1"/>
  <c r="N23" i="10"/>
  <c r="N25" i="10" s="1"/>
  <c r="N31" i="10" s="1"/>
  <c r="N33" i="10" s="1"/>
  <c r="N6" i="14" s="1"/>
  <c r="N82" i="1"/>
  <c r="N83" i="1" s="1"/>
  <c r="V26" i="1"/>
  <c r="O78" i="1"/>
  <c r="O82" i="1" s="1"/>
  <c r="O83" i="1" s="1"/>
  <c r="O22" i="10"/>
  <c r="O23" i="10" s="1"/>
  <c r="V26" i="5"/>
  <c r="X94" i="5"/>
  <c r="W110" i="5"/>
  <c r="W24" i="5" s="1"/>
  <c r="AZ24" i="5" s="1"/>
  <c r="P73" i="7"/>
  <c r="P75" i="7" s="1"/>
  <c r="BE14" i="6" l="1"/>
  <c r="BD12" i="6"/>
  <c r="BD154" i="6"/>
  <c r="AE50" i="9" s="1"/>
  <c r="AE58" i="9" s="1"/>
  <c r="BE13" i="1"/>
  <c r="BE17" i="1" s="1"/>
  <c r="BE18" i="1" s="1"/>
  <c r="BE12" i="1"/>
  <c r="BD15" i="6"/>
  <c r="BD6" i="1"/>
  <c r="BD9" i="1" s="1"/>
  <c r="AC13" i="12"/>
  <c r="BE12" i="6"/>
  <c r="BD13" i="6"/>
  <c r="BD17" i="6" s="1"/>
  <c r="BD18" i="6" s="1"/>
  <c r="AG18" i="6"/>
  <c r="BE15" i="6"/>
  <c r="BD15" i="1"/>
  <c r="BD17" i="1" s="1"/>
  <c r="BD18" i="1" s="1"/>
  <c r="AG17" i="6"/>
  <c r="AG11" i="1"/>
  <c r="AG17" i="1" s="1"/>
  <c r="BE13" i="6"/>
  <c r="BE17" i="6" s="1"/>
  <c r="BE18" i="6" s="1"/>
  <c r="BE11" i="6"/>
  <c r="AG9" i="1"/>
  <c r="U70" i="5"/>
  <c r="AF18" i="1"/>
  <c r="AF16" i="13" s="1"/>
  <c r="AE81" i="1"/>
  <c r="AF50" i="9"/>
  <c r="AF58" i="9" s="1"/>
  <c r="AF75" i="6"/>
  <c r="AF95" i="9" s="1"/>
  <c r="AE64" i="9"/>
  <c r="AE96" i="9"/>
  <c r="BX11" i="10"/>
  <c r="BY11" i="10"/>
  <c r="BW81" i="9"/>
  <c r="BW79" i="11"/>
  <c r="BR12" i="9"/>
  <c r="BQ11" i="9"/>
  <c r="T73" i="5"/>
  <c r="T75" i="5" s="1"/>
  <c r="T21" i="10" s="1"/>
  <c r="BZ77" i="9"/>
  <c r="BZ65" i="11"/>
  <c r="BN82" i="9"/>
  <c r="BQ78" i="9" s="1"/>
  <c r="BP78" i="9" s="1"/>
  <c r="BQ7" i="9"/>
  <c r="BP7" i="9"/>
  <c r="BN9" i="9"/>
  <c r="BN8" i="9" s="1"/>
  <c r="BN79" i="9" s="1"/>
  <c r="BN80" i="9" s="1"/>
  <c r="BX78" i="11"/>
  <c r="CC11" i="10" s="1"/>
  <c r="BY74" i="11"/>
  <c r="BY67" i="11"/>
  <c r="BY75" i="11"/>
  <c r="BY73" i="11"/>
  <c r="BY66" i="11"/>
  <c r="BY72" i="11"/>
  <c r="BY69" i="11"/>
  <c r="BY70" i="11"/>
  <c r="BY76" i="11"/>
  <c r="BY71" i="11"/>
  <c r="BY68" i="11"/>
  <c r="AY70" i="1"/>
  <c r="AY73" i="1" s="1"/>
  <c r="AY75" i="1" s="1"/>
  <c r="AY70" i="5"/>
  <c r="AY73" i="5" s="1"/>
  <c r="AY75" i="5" s="1"/>
  <c r="BB71" i="9"/>
  <c r="AX71" i="9"/>
  <c r="CG20" i="10"/>
  <c r="AK14" i="12"/>
  <c r="AJ14" i="14"/>
  <c r="BF14" i="14" s="1"/>
  <c r="S20" i="12"/>
  <c r="R20" i="12"/>
  <c r="R15" i="14" s="1"/>
  <c r="T20" i="12"/>
  <c r="AE71" i="9"/>
  <c r="AH95" i="9"/>
  <c r="AH81" i="1"/>
  <c r="AG25" i="14"/>
  <c r="AH27" i="12"/>
  <c r="AA18" i="13"/>
  <c r="AA8" i="14"/>
  <c r="AB8" i="14"/>
  <c r="AB20" i="14" s="1"/>
  <c r="AB22" i="14" s="1"/>
  <c r="AB18" i="13"/>
  <c r="AJ71" i="6"/>
  <c r="Z20" i="14"/>
  <c r="BA8" i="14"/>
  <c r="AI73" i="6"/>
  <c r="AI75" i="6" s="1"/>
  <c r="N10" i="14"/>
  <c r="AC9" i="9"/>
  <c r="AE7" i="9"/>
  <c r="AE8" i="9" s="1"/>
  <c r="O21" i="12"/>
  <c r="AC71" i="7"/>
  <c r="AC71" i="1" s="1"/>
  <c r="AE63" i="8"/>
  <c r="AE72" i="8" s="1"/>
  <c r="AE71" i="5"/>
  <c r="AX71" i="5"/>
  <c r="BB71" i="5"/>
  <c r="S21" i="10"/>
  <c r="AZ26" i="5"/>
  <c r="U70" i="1"/>
  <c r="O25" i="10"/>
  <c r="O31" i="10" s="1"/>
  <c r="O33" i="10" s="1"/>
  <c r="O6" i="14" s="1"/>
  <c r="O10" i="14" s="1"/>
  <c r="W26" i="5"/>
  <c r="W24" i="1"/>
  <c r="P78" i="1"/>
  <c r="P22" i="10"/>
  <c r="AV22" i="10" s="1"/>
  <c r="AV23" i="10" s="1"/>
  <c r="AV25" i="10" s="1"/>
  <c r="AV31" i="10" s="1"/>
  <c r="U73" i="5"/>
  <c r="U75" i="5" s="1"/>
  <c r="V70" i="5"/>
  <c r="V70" i="1" s="1"/>
  <c r="V73" i="1" s="1"/>
  <c r="Y94" i="5"/>
  <c r="X110" i="5"/>
  <c r="X24" i="5" s="1"/>
  <c r="R73" i="7"/>
  <c r="R75" i="7" s="1"/>
  <c r="AE13" i="12" l="1"/>
  <c r="AG75" i="6"/>
  <c r="AG81" i="1" s="1"/>
  <c r="AG18" i="1"/>
  <c r="AG16" i="13" s="1"/>
  <c r="AG95" i="9"/>
  <c r="BE95" i="9" s="1"/>
  <c r="BE11" i="1"/>
  <c r="BD11" i="1"/>
  <c r="AI27" i="12"/>
  <c r="AJ27" i="12" s="1"/>
  <c r="AG50" i="9"/>
  <c r="AH50" i="9" s="1"/>
  <c r="BE75" i="6"/>
  <c r="AF81" i="1"/>
  <c r="AV33" i="10"/>
  <c r="F6" i="3"/>
  <c r="F20" i="3" s="1"/>
  <c r="AF64" i="9"/>
  <c r="AF96" i="9"/>
  <c r="CC10" i="10"/>
  <c r="T80" i="1"/>
  <c r="AY80" i="1" s="1"/>
  <c r="BZ73" i="11"/>
  <c r="BV73" i="11" s="1"/>
  <c r="BZ72" i="11"/>
  <c r="BV72" i="11" s="1"/>
  <c r="BZ70" i="11"/>
  <c r="BV70" i="11" s="1"/>
  <c r="BZ75" i="11"/>
  <c r="BZ71" i="11"/>
  <c r="BV71" i="11" s="1"/>
  <c r="BZ76" i="11"/>
  <c r="BV76" i="11" s="1"/>
  <c r="BZ69" i="11"/>
  <c r="BV69" i="11" s="1"/>
  <c r="BZ67" i="11"/>
  <c r="BV67" i="11" s="1"/>
  <c r="BZ66" i="11"/>
  <c r="BZ74" i="11"/>
  <c r="BV74" i="11" s="1"/>
  <c r="BZ68" i="11"/>
  <c r="BV68" i="11" s="1"/>
  <c r="BV75" i="11"/>
  <c r="BX81" i="9"/>
  <c r="BX79" i="11"/>
  <c r="BS12" i="9"/>
  <c r="BR11" i="9"/>
  <c r="BY78" i="11"/>
  <c r="CD11" i="10" s="1"/>
  <c r="CD10" i="10" s="1"/>
  <c r="BQ82" i="9"/>
  <c r="BT78" i="9" s="1"/>
  <c r="BR7" i="9"/>
  <c r="BQ9" i="9"/>
  <c r="BQ8" i="9" s="1"/>
  <c r="AE79" i="9"/>
  <c r="AE22" i="13" s="1"/>
  <c r="BD8" i="9"/>
  <c r="BE8" i="9"/>
  <c r="T15" i="14"/>
  <c r="S15" i="14"/>
  <c r="AL14" i="12"/>
  <c r="AL14" i="14" s="1"/>
  <c r="AK14" i="14"/>
  <c r="AC18" i="13"/>
  <c r="AC8" i="14"/>
  <c r="Z22" i="14"/>
  <c r="BA20" i="14"/>
  <c r="BA22" i="14" s="1"/>
  <c r="AA20" i="14"/>
  <c r="AJ73" i="6"/>
  <c r="AJ75" i="6" s="1"/>
  <c r="BF71" i="6"/>
  <c r="AH25" i="14"/>
  <c r="AI95" i="9"/>
  <c r="AI81" i="1"/>
  <c r="AK71" i="6"/>
  <c r="AG27" i="14"/>
  <c r="BE25" i="14"/>
  <c r="BE27" i="14" s="1"/>
  <c r="AB82" i="9"/>
  <c r="AC78" i="9" s="1"/>
  <c r="P21" i="12"/>
  <c r="AF63" i="8"/>
  <c r="AF72" i="8" s="1"/>
  <c r="AF13" i="12" s="1"/>
  <c r="AE71" i="7"/>
  <c r="AX71" i="7"/>
  <c r="BB71" i="7"/>
  <c r="AF71" i="5"/>
  <c r="AX71" i="1"/>
  <c r="BB71" i="1"/>
  <c r="V75" i="1"/>
  <c r="V15" i="13" s="1"/>
  <c r="V20" i="13" s="1"/>
  <c r="V24" i="13" s="1"/>
  <c r="AY21" i="10"/>
  <c r="X24" i="1"/>
  <c r="X26" i="1" s="1"/>
  <c r="AZ24" i="1"/>
  <c r="U73" i="1"/>
  <c r="P82" i="1"/>
  <c r="P83" i="1" s="1"/>
  <c r="AR78" i="1"/>
  <c r="AR82" i="1" s="1"/>
  <c r="AR83" i="1" s="1"/>
  <c r="P23" i="10"/>
  <c r="P25" i="10" s="1"/>
  <c r="P31" i="10" s="1"/>
  <c r="P33" i="10" s="1"/>
  <c r="P6" i="14" s="1"/>
  <c r="P10" i="14" s="1"/>
  <c r="AR22" i="10"/>
  <c r="AR23" i="10" s="1"/>
  <c r="AV78" i="1"/>
  <c r="AV82" i="1" s="1"/>
  <c r="AV83" i="1" s="1"/>
  <c r="W26" i="1"/>
  <c r="R78" i="1"/>
  <c r="R22" i="10"/>
  <c r="U80" i="1"/>
  <c r="U21" i="10"/>
  <c r="X26" i="5"/>
  <c r="S73" i="7"/>
  <c r="S75" i="7" s="1"/>
  <c r="V73" i="5"/>
  <c r="V75" i="5" s="1"/>
  <c r="W70" i="5"/>
  <c r="W70" i="1" s="1"/>
  <c r="W73" i="1" s="1"/>
  <c r="Y110" i="5"/>
  <c r="Y24" i="5" s="1"/>
  <c r="Z94" i="5"/>
  <c r="BE81" i="1" l="1"/>
  <c r="AG58" i="9"/>
  <c r="AG96" i="9" s="1"/>
  <c r="AH58" i="9"/>
  <c r="AI50" i="9"/>
  <c r="BT12" i="9"/>
  <c r="BS11" i="9"/>
  <c r="BZ78" i="11"/>
  <c r="CE11" i="10" s="1"/>
  <c r="BR82" i="9"/>
  <c r="BS7" i="9"/>
  <c r="BR9" i="9"/>
  <c r="BR8" i="9" s="1"/>
  <c r="BR79" i="9" s="1"/>
  <c r="BR80" i="9" s="1"/>
  <c r="BQ79" i="9"/>
  <c r="BV66" i="11"/>
  <c r="BY81" i="9"/>
  <c r="BY79" i="11"/>
  <c r="BD79" i="9"/>
  <c r="BE79" i="9"/>
  <c r="AE80" i="9"/>
  <c r="AY15" i="14"/>
  <c r="AM14" i="12"/>
  <c r="AM14" i="14" s="1"/>
  <c r="BG14" i="14" s="1"/>
  <c r="V20" i="12"/>
  <c r="AK73" i="6"/>
  <c r="AK75" i="6" s="1"/>
  <c r="BF73" i="6"/>
  <c r="BF75" i="6" s="1"/>
  <c r="AA22" i="14"/>
  <c r="AJ95" i="9"/>
  <c r="BF95" i="9" s="1"/>
  <c r="AJ81" i="1"/>
  <c r="BF81" i="1" s="1"/>
  <c r="AC20" i="14"/>
  <c r="AC22" i="14" s="1"/>
  <c r="AX8" i="14"/>
  <c r="AI25" i="14"/>
  <c r="AL71" i="6"/>
  <c r="AH27" i="14"/>
  <c r="BB8" i="14"/>
  <c r="AV6" i="14"/>
  <c r="AV10" i="14" s="1"/>
  <c r="AB9" i="9"/>
  <c r="AC7" i="9"/>
  <c r="AC8" i="9" s="1"/>
  <c r="AC79" i="9" s="1"/>
  <c r="R21" i="12"/>
  <c r="AE73" i="7"/>
  <c r="AE75" i="7" s="1"/>
  <c r="BB73" i="7"/>
  <c r="BB75" i="7" s="1"/>
  <c r="AX73" i="7"/>
  <c r="AX75" i="7" s="1"/>
  <c r="AE71" i="1"/>
  <c r="AG63" i="8"/>
  <c r="AG72" i="8" s="1"/>
  <c r="AG13" i="12" s="1"/>
  <c r="AF71" i="7"/>
  <c r="AG71" i="5"/>
  <c r="W75" i="1"/>
  <c r="W15" i="13" s="1"/>
  <c r="W20" i="13" s="1"/>
  <c r="W24" i="13" s="1"/>
  <c r="AZ70" i="1"/>
  <c r="AZ73" i="1" s="1"/>
  <c r="AZ26" i="1"/>
  <c r="AZ70" i="5"/>
  <c r="R82" i="1"/>
  <c r="R83" i="1" s="1"/>
  <c r="R23" i="10"/>
  <c r="Y26" i="5"/>
  <c r="Y24" i="1"/>
  <c r="S78" i="1"/>
  <c r="S82" i="1" s="1"/>
  <c r="S83" i="1" s="1"/>
  <c r="S22" i="10"/>
  <c r="S23" i="10" s="1"/>
  <c r="V80" i="1"/>
  <c r="V21" i="10"/>
  <c r="W73" i="5"/>
  <c r="W75" i="5" s="1"/>
  <c r="X70" i="5"/>
  <c r="AA94" i="5"/>
  <c r="Z110" i="5"/>
  <c r="Z24" i="5" s="1"/>
  <c r="BA24" i="5" s="1"/>
  <c r="T73" i="7"/>
  <c r="T75" i="7" s="1"/>
  <c r="AG64" i="9" l="1"/>
  <c r="AI58" i="9"/>
  <c r="AJ50" i="9"/>
  <c r="AH96" i="9"/>
  <c r="AH64" i="9"/>
  <c r="BE96" i="9"/>
  <c r="CE10" i="10"/>
  <c r="CA11" i="10"/>
  <c r="BQ80" i="9"/>
  <c r="BV78" i="11"/>
  <c r="BV79" i="11" s="1"/>
  <c r="BV65" i="11"/>
  <c r="BW12" i="9"/>
  <c r="BT11" i="9"/>
  <c r="BZ81" i="9"/>
  <c r="BV81" i="9" s="1"/>
  <c r="BZ79" i="11"/>
  <c r="BS82" i="9"/>
  <c r="BT7" i="9"/>
  <c r="BS9" i="9"/>
  <c r="BS8" i="9" s="1"/>
  <c r="BS79" i="9" s="1"/>
  <c r="AN14" i="12"/>
  <c r="AN14" i="14" s="1"/>
  <c r="W20" i="12"/>
  <c r="W15" i="14" s="1"/>
  <c r="AX20" i="14"/>
  <c r="AX22" i="14" s="1"/>
  <c r="AL73" i="6"/>
  <c r="AL75" i="6" s="1"/>
  <c r="AM71" i="6"/>
  <c r="AK27" i="12"/>
  <c r="AL27" i="12" s="1"/>
  <c r="AJ25" i="14"/>
  <c r="AJ27" i="14" s="1"/>
  <c r="AK95" i="9"/>
  <c r="AK81" i="1"/>
  <c r="AE18" i="13"/>
  <c r="AE8" i="14"/>
  <c r="AI27" i="14"/>
  <c r="BB20" i="14"/>
  <c r="BB22" i="14" s="1"/>
  <c r="AC80" i="9"/>
  <c r="AC22" i="13"/>
  <c r="AA82" i="9"/>
  <c r="AB78" i="9" s="1"/>
  <c r="S21" i="12"/>
  <c r="AH63" i="8"/>
  <c r="AH72" i="8" s="1"/>
  <c r="AH13" i="12" s="1"/>
  <c r="AG71" i="7"/>
  <c r="AF71" i="1"/>
  <c r="AF73" i="7"/>
  <c r="AF75" i="7" s="1"/>
  <c r="AE78" i="1"/>
  <c r="AE22" i="10"/>
  <c r="BE71" i="5"/>
  <c r="AH71" i="5"/>
  <c r="BA26" i="5"/>
  <c r="AZ73" i="5"/>
  <c r="AZ75" i="5" s="1"/>
  <c r="X70" i="1"/>
  <c r="Y26" i="1"/>
  <c r="Z26" i="5"/>
  <c r="Z24" i="1"/>
  <c r="BA24" i="1" s="1"/>
  <c r="T78" i="1"/>
  <c r="AY78" i="1" s="1"/>
  <c r="AY82" i="1" s="1"/>
  <c r="AY83" i="1" s="1"/>
  <c r="T22" i="10"/>
  <c r="W80" i="1"/>
  <c r="AZ80" i="1" s="1"/>
  <c r="W21" i="10"/>
  <c r="AZ21" i="10" s="1"/>
  <c r="X73" i="5"/>
  <c r="X75" i="5" s="1"/>
  <c r="Y70" i="5"/>
  <c r="Y70" i="1" s="1"/>
  <c r="Y73" i="1" s="1"/>
  <c r="AB94" i="5"/>
  <c r="AA110" i="5"/>
  <c r="AA24" i="5" s="1"/>
  <c r="U73" i="7"/>
  <c r="U75" i="7" s="1"/>
  <c r="AJ58" i="9" l="1"/>
  <c r="AK50" i="9"/>
  <c r="AI96" i="9"/>
  <c r="AI64" i="9"/>
  <c r="CF11" i="10"/>
  <c r="CG11" i="10"/>
  <c r="BV7" i="9"/>
  <c r="BT9" i="9"/>
  <c r="BT8" i="9" s="1"/>
  <c r="BW7" i="9"/>
  <c r="BT82" i="9"/>
  <c r="BW78" i="9" s="1"/>
  <c r="BV78" i="9" s="1"/>
  <c r="BX12" i="9"/>
  <c r="BW11" i="9"/>
  <c r="BF25" i="14"/>
  <c r="BF27" i="14" s="1"/>
  <c r="AO14" i="12"/>
  <c r="AP14" i="12" s="1"/>
  <c r="AE20" i="14"/>
  <c r="AE22" i="14" s="1"/>
  <c r="AL95" i="9"/>
  <c r="AL81" i="1"/>
  <c r="AN71" i="6"/>
  <c r="AF18" i="13"/>
  <c r="AF8" i="14"/>
  <c r="AF20" i="14" s="1"/>
  <c r="AF22" i="14" s="1"/>
  <c r="AK25" i="14"/>
  <c r="AM73" i="6"/>
  <c r="AM75" i="6" s="1"/>
  <c r="BG71" i="6"/>
  <c r="AA9" i="9"/>
  <c r="AB7" i="9"/>
  <c r="AB8" i="9" s="1"/>
  <c r="AB79" i="9" s="1"/>
  <c r="T21" i="12"/>
  <c r="AG73" i="7"/>
  <c r="AG75" i="7" s="1"/>
  <c r="BE71" i="7"/>
  <c r="AF22" i="10"/>
  <c r="AF78" i="1"/>
  <c r="AI63" i="8"/>
  <c r="AI72" i="8" s="1"/>
  <c r="AI13" i="12" s="1"/>
  <c r="AH71" i="7"/>
  <c r="AG71" i="1"/>
  <c r="AH73" i="5"/>
  <c r="AH75" i="5" s="1"/>
  <c r="AI71" i="5"/>
  <c r="BA26" i="1"/>
  <c r="X73" i="1"/>
  <c r="X75" i="1" s="1"/>
  <c r="X15" i="13" s="1"/>
  <c r="X20" i="13" s="1"/>
  <c r="X24" i="13" s="1"/>
  <c r="Y75" i="1"/>
  <c r="Y15" i="13" s="1"/>
  <c r="Y20" i="13" s="1"/>
  <c r="Y24" i="13" s="1"/>
  <c r="T82" i="1"/>
  <c r="T83" i="1" s="1"/>
  <c r="T23" i="10"/>
  <c r="AY22" i="10"/>
  <c r="AY23" i="10" s="1"/>
  <c r="AA26" i="5"/>
  <c r="AA24" i="1"/>
  <c r="Z26" i="1"/>
  <c r="U78" i="1"/>
  <c r="U22" i="10"/>
  <c r="X80" i="1"/>
  <c r="X21" i="10"/>
  <c r="Y73" i="5"/>
  <c r="Y75" i="5" s="1"/>
  <c r="Z70" i="5"/>
  <c r="Z70" i="1" s="1"/>
  <c r="Z73" i="1" s="1"/>
  <c r="AC94" i="5"/>
  <c r="AB110" i="5"/>
  <c r="AB24" i="5" s="1"/>
  <c r="V73" i="7"/>
  <c r="V75" i="7" s="1"/>
  <c r="AJ96" i="9" l="1"/>
  <c r="AJ64" i="9"/>
  <c r="AK58" i="9"/>
  <c r="AL50" i="9"/>
  <c r="AO14" i="14"/>
  <c r="BT79" i="9"/>
  <c r="BP8" i="9"/>
  <c r="BP9" i="9" s="1"/>
  <c r="BP11" i="9" s="1"/>
  <c r="BY12" i="9"/>
  <c r="BX11" i="9"/>
  <c r="BX7" i="9"/>
  <c r="BW9" i="9"/>
  <c r="BW8" i="9" s="1"/>
  <c r="BW82" i="9"/>
  <c r="BZ78" i="9" s="1"/>
  <c r="AP14" i="14"/>
  <c r="AR14" i="12"/>
  <c r="AS14" i="12" s="1"/>
  <c r="AT14" i="12" s="1"/>
  <c r="AU14" i="12" s="1"/>
  <c r="AW14" i="12" s="1"/>
  <c r="AX14" i="12" s="1"/>
  <c r="AY14" i="12" s="1"/>
  <c r="AZ14" i="12" s="1"/>
  <c r="BB14" i="12" s="1"/>
  <c r="BC14" i="12" s="1"/>
  <c r="BD14" i="12" s="1"/>
  <c r="BE14" i="12" s="1"/>
  <c r="Y20" i="12"/>
  <c r="X20" i="12"/>
  <c r="X15" i="14" s="1"/>
  <c r="AM81" i="1"/>
  <c r="BG81" i="1" s="1"/>
  <c r="AM95" i="9"/>
  <c r="BG95" i="9" s="1"/>
  <c r="AK27" i="14"/>
  <c r="AN73" i="6"/>
  <c r="AN75" i="6" s="1"/>
  <c r="BG73" i="6"/>
  <c r="BG75" i="6" s="1"/>
  <c r="AM27" i="12"/>
  <c r="AL25" i="14"/>
  <c r="AL27" i="14" s="1"/>
  <c r="AP71" i="6"/>
  <c r="AO71" i="6"/>
  <c r="BE71" i="1"/>
  <c r="AG8" i="14"/>
  <c r="BE8" i="14" s="1"/>
  <c r="AG18" i="13"/>
  <c r="AB80" i="9"/>
  <c r="AB22" i="13"/>
  <c r="Z82" i="9"/>
  <c r="AA78" i="9" s="1"/>
  <c r="AG22" i="10"/>
  <c r="AG78" i="1"/>
  <c r="BE78" i="1" s="1"/>
  <c r="AH73" i="7"/>
  <c r="AH75" i="7" s="1"/>
  <c r="AH71" i="1"/>
  <c r="AJ63" i="8"/>
  <c r="AJ72" i="8" s="1"/>
  <c r="AJ13" i="12" s="1"/>
  <c r="AI71" i="7"/>
  <c r="AI71" i="1" s="1"/>
  <c r="BE73" i="7"/>
  <c r="BE75" i="7" s="1"/>
  <c r="Z75" i="1"/>
  <c r="Z15" i="13" s="1"/>
  <c r="Z20" i="13" s="1"/>
  <c r="AJ71" i="5"/>
  <c r="AI73" i="5"/>
  <c r="AI75" i="5" s="1"/>
  <c r="AH80" i="1"/>
  <c r="AH21" i="10"/>
  <c r="BA70" i="5"/>
  <c r="AC110" i="5"/>
  <c r="AC24" i="5" s="1"/>
  <c r="AX24" i="5" s="1"/>
  <c r="AX26" i="5" s="1"/>
  <c r="AE94" i="5"/>
  <c r="BA70" i="1"/>
  <c r="BA73" i="1" s="1"/>
  <c r="BA75" i="1" s="1"/>
  <c r="U23" i="10"/>
  <c r="AA26" i="1"/>
  <c r="AB26" i="5"/>
  <c r="AB24" i="1"/>
  <c r="V78" i="1"/>
  <c r="V22" i="10"/>
  <c r="Y80" i="1"/>
  <c r="Y21" i="10"/>
  <c r="AA70" i="5"/>
  <c r="Z73" i="5"/>
  <c r="Z75" i="5" s="1"/>
  <c r="W73" i="7"/>
  <c r="W75" i="7" s="1"/>
  <c r="AL58" i="9" l="1"/>
  <c r="AM50" i="9"/>
  <c r="AK96" i="9"/>
  <c r="AK64" i="9"/>
  <c r="BF96" i="9"/>
  <c r="BW79" i="9"/>
  <c r="BX82" i="9"/>
  <c r="BY7" i="9"/>
  <c r="BX9" i="9"/>
  <c r="BX8" i="9" s="1"/>
  <c r="BX79" i="9" s="1"/>
  <c r="BX80" i="9" s="1"/>
  <c r="BZ12" i="9"/>
  <c r="BY11" i="9"/>
  <c r="BT80" i="9"/>
  <c r="BP79" i="9"/>
  <c r="BP80" i="9" s="1"/>
  <c r="BP82" i="9" s="1"/>
  <c r="BS78" i="9" s="1"/>
  <c r="BS80" i="9" s="1"/>
  <c r="BH14" i="14"/>
  <c r="BD14" i="14"/>
  <c r="Y15" i="14"/>
  <c r="BH71" i="6"/>
  <c r="BH73" i="6" s="1"/>
  <c r="BH75" i="6" s="1"/>
  <c r="AN95" i="9"/>
  <c r="AN81" i="1"/>
  <c r="AH73" i="1"/>
  <c r="AH75" i="1" s="1"/>
  <c r="AH15" i="13" s="1"/>
  <c r="AH8" i="14"/>
  <c r="AH18" i="13"/>
  <c r="AO73" i="6"/>
  <c r="AO75" i="6" s="1"/>
  <c r="AM25" i="14"/>
  <c r="AM27" i="14" s="1"/>
  <c r="AN27" i="12"/>
  <c r="AI18" i="13"/>
  <c r="AI8" i="14"/>
  <c r="AI20" i="14" s="1"/>
  <c r="AI22" i="14" s="1"/>
  <c r="AG20" i="14"/>
  <c r="AP73" i="6"/>
  <c r="AP75" i="6" s="1"/>
  <c r="BD71" i="6"/>
  <c r="Z9" i="9"/>
  <c r="Z8" i="9" s="1"/>
  <c r="AA7" i="9"/>
  <c r="AA8" i="9" s="1"/>
  <c r="AH22" i="10"/>
  <c r="AH23" i="10" s="1"/>
  <c r="AH78" i="1"/>
  <c r="AC24" i="1"/>
  <c r="BB24" i="1" s="1"/>
  <c r="BB26" i="1" s="1"/>
  <c r="BB24" i="5"/>
  <c r="BB26" i="5" s="1"/>
  <c r="AI73" i="7"/>
  <c r="AI75" i="7" s="1"/>
  <c r="BE22" i="10"/>
  <c r="AC26" i="5"/>
  <c r="AK63" i="8"/>
  <c r="AK72" i="8" s="1"/>
  <c r="AK13" i="12" s="1"/>
  <c r="AJ71" i="7"/>
  <c r="BF71" i="7" s="1"/>
  <c r="BF73" i="7" s="1"/>
  <c r="BF75" i="7" s="1"/>
  <c r="AK71" i="5"/>
  <c r="AI21" i="10"/>
  <c r="AI80" i="1"/>
  <c r="AJ73" i="5"/>
  <c r="AJ75" i="5" s="1"/>
  <c r="BF71" i="5"/>
  <c r="AI73" i="1"/>
  <c r="AI75" i="1" s="1"/>
  <c r="AI15" i="13" s="1"/>
  <c r="BA73" i="5"/>
  <c r="BA75" i="5" s="1"/>
  <c r="AF94" i="5"/>
  <c r="AE110" i="5"/>
  <c r="AE24" i="5" s="1"/>
  <c r="AA70" i="1"/>
  <c r="V23" i="10"/>
  <c r="V82" i="1"/>
  <c r="V83" i="1" s="1"/>
  <c r="AB26" i="1"/>
  <c r="Z80" i="1"/>
  <c r="BA80" i="1" s="1"/>
  <c r="Z21" i="10"/>
  <c r="BA21" i="10" s="1"/>
  <c r="W78" i="1"/>
  <c r="W22" i="10"/>
  <c r="W23" i="10" s="1"/>
  <c r="X73" i="7"/>
  <c r="X75" i="7" s="1"/>
  <c r="AB70" i="5"/>
  <c r="AB70" i="1" s="1"/>
  <c r="AB73" i="1" s="1"/>
  <c r="AA73" i="5"/>
  <c r="AA75" i="5" s="1"/>
  <c r="AM58" i="9" l="1"/>
  <c r="AN50" i="9"/>
  <c r="AL96" i="9"/>
  <c r="AL64" i="9"/>
  <c r="BZ7" i="9"/>
  <c r="BY9" i="9"/>
  <c r="BY8" i="9" s="1"/>
  <c r="BY79" i="9" s="1"/>
  <c r="BZ11" i="9"/>
  <c r="BY82" i="9"/>
  <c r="AX24" i="1"/>
  <c r="AX26" i="1" s="1"/>
  <c r="BW80" i="9"/>
  <c r="AX8" i="9"/>
  <c r="AA79" i="9"/>
  <c r="BB79" i="9" s="1"/>
  <c r="BB8" i="9"/>
  <c r="Z79" i="9"/>
  <c r="Z80" i="9" s="1"/>
  <c r="BA8" i="9"/>
  <c r="BG25" i="14"/>
  <c r="BG27" i="14" s="1"/>
  <c r="AC26" i="1"/>
  <c r="AI20" i="13"/>
  <c r="AH20" i="13"/>
  <c r="AO95" i="9"/>
  <c r="AO81" i="1"/>
  <c r="AH20" i="14"/>
  <c r="BD73" i="6"/>
  <c r="BD75" i="6" s="1"/>
  <c r="BD156" i="6" s="1"/>
  <c r="BD158" i="6" s="1"/>
  <c r="BD159" i="6" s="1"/>
  <c r="AE51" i="9" s="1"/>
  <c r="AG22" i="14"/>
  <c r="BE20" i="14"/>
  <c r="BE22" i="14" s="1"/>
  <c r="AP95" i="9"/>
  <c r="AP81" i="1"/>
  <c r="AN25" i="14"/>
  <c r="AO27" i="12"/>
  <c r="AJ71" i="1"/>
  <c r="AJ73" i="1" s="1"/>
  <c r="AJ75" i="1" s="1"/>
  <c r="AJ15" i="13" s="1"/>
  <c r="AL63" i="8"/>
  <c r="AL72" i="8" s="1"/>
  <c r="AL13" i="12" s="1"/>
  <c r="AK71" i="7"/>
  <c r="AJ73" i="7"/>
  <c r="AJ75" i="7" s="1"/>
  <c r="AI78" i="1"/>
  <c r="AI82" i="1" s="1"/>
  <c r="AI83" i="1" s="1"/>
  <c r="AI22" i="10"/>
  <c r="AH82" i="1"/>
  <c r="AH83" i="1" s="1"/>
  <c r="AJ21" i="10"/>
  <c r="AJ80" i="1"/>
  <c r="AL71" i="5"/>
  <c r="BF73" i="5"/>
  <c r="BF75" i="5" s="1"/>
  <c r="AK73" i="5"/>
  <c r="AK75" i="5" s="1"/>
  <c r="AB75" i="1"/>
  <c r="AB15" i="13" s="1"/>
  <c r="AB20" i="13" s="1"/>
  <c r="AB24" i="13" s="1"/>
  <c r="AA73" i="1"/>
  <c r="AA75" i="1" s="1"/>
  <c r="AA15" i="13" s="1"/>
  <c r="AA20" i="13" s="1"/>
  <c r="AG94" i="5"/>
  <c r="AG110" i="5" s="1"/>
  <c r="AG24" i="5" s="1"/>
  <c r="AF110" i="5"/>
  <c r="AF24" i="5" s="1"/>
  <c r="AE26" i="5"/>
  <c r="AE24" i="1"/>
  <c r="W82" i="1"/>
  <c r="W83" i="1" s="1"/>
  <c r="AZ78" i="1"/>
  <c r="AZ22" i="10"/>
  <c r="AZ23" i="10" s="1"/>
  <c r="AA80" i="1"/>
  <c r="AA21" i="10"/>
  <c r="X78" i="1"/>
  <c r="X22" i="10"/>
  <c r="Y73" i="7"/>
  <c r="Y75" i="7" s="1"/>
  <c r="AB73" i="5"/>
  <c r="AB75" i="5" s="1"/>
  <c r="AC70" i="5"/>
  <c r="AN58" i="9" l="1"/>
  <c r="AO50" i="9"/>
  <c r="AM96" i="9"/>
  <c r="BG96" i="9" s="1"/>
  <c r="AM64" i="9"/>
  <c r="AA80" i="9"/>
  <c r="Z22" i="13"/>
  <c r="Z24" i="13" s="1"/>
  <c r="Z20" i="12" s="1"/>
  <c r="Z15" i="14" s="1"/>
  <c r="BA15" i="14" s="1"/>
  <c r="BZ9" i="9"/>
  <c r="BZ8" i="9" s="1"/>
  <c r="BZ82" i="9"/>
  <c r="BH95" i="9"/>
  <c r="AA22" i="13"/>
  <c r="AA24" i="13" s="1"/>
  <c r="BA79" i="9"/>
  <c r="AX79" i="9"/>
  <c r="BD95" i="9"/>
  <c r="BH81" i="1"/>
  <c r="AF51" i="9"/>
  <c r="AE59" i="9"/>
  <c r="AB20" i="12"/>
  <c r="BD81" i="1"/>
  <c r="AN27" i="14"/>
  <c r="AH22" i="14"/>
  <c r="BF71" i="1"/>
  <c r="BF73" i="1" s="1"/>
  <c r="BF75" i="1" s="1"/>
  <c r="AJ18" i="13"/>
  <c r="AJ20" i="13" s="1"/>
  <c r="AJ8" i="14"/>
  <c r="AO25" i="14"/>
  <c r="AO27" i="14" s="1"/>
  <c r="AP27" i="12"/>
  <c r="AK73" i="7"/>
  <c r="AK75" i="7" s="1"/>
  <c r="AK71" i="1"/>
  <c r="AI23" i="10"/>
  <c r="AM63" i="8"/>
  <c r="AM72" i="8" s="1"/>
  <c r="AM13" i="12" s="1"/>
  <c r="AL71" i="7"/>
  <c r="AJ78" i="1"/>
  <c r="BF78" i="1" s="1"/>
  <c r="AJ22" i="10"/>
  <c r="BF22" i="10" s="1"/>
  <c r="BF21" i="10"/>
  <c r="AK80" i="1"/>
  <c r="AK21" i="10"/>
  <c r="BF80" i="1"/>
  <c r="AM71" i="5"/>
  <c r="AL73" i="5"/>
  <c r="AL75" i="5" s="1"/>
  <c r="AE26" i="1"/>
  <c r="AF26" i="5"/>
  <c r="AF24" i="1"/>
  <c r="AE70" i="5"/>
  <c r="AC70" i="1"/>
  <c r="AX70" i="5"/>
  <c r="AX73" i="5" s="1"/>
  <c r="BB70" i="5"/>
  <c r="BB73" i="5" s="1"/>
  <c r="BE24" i="5"/>
  <c r="BE26" i="5" s="1"/>
  <c r="AG26" i="5"/>
  <c r="AG24" i="1"/>
  <c r="BD24" i="5"/>
  <c r="X82" i="1"/>
  <c r="X83" i="1" s="1"/>
  <c r="X23" i="10"/>
  <c r="AB80" i="1"/>
  <c r="AB21" i="10"/>
  <c r="Y78" i="1"/>
  <c r="Y82" i="1" s="1"/>
  <c r="Y83" i="1" s="1"/>
  <c r="Y22" i="10"/>
  <c r="Z73" i="7"/>
  <c r="Z75" i="7" s="1"/>
  <c r="AC73" i="5"/>
  <c r="AN96" i="9" l="1"/>
  <c r="AN64" i="9"/>
  <c r="AO58" i="9"/>
  <c r="AP50" i="9"/>
  <c r="AP58" i="9" s="1"/>
  <c r="BZ79" i="9"/>
  <c r="BV8" i="9"/>
  <c r="BV9" i="9" s="1"/>
  <c r="BV11" i="9" s="1"/>
  <c r="AF59" i="9"/>
  <c r="AG51" i="9"/>
  <c r="AP25" i="14"/>
  <c r="AP27" i="14" s="1"/>
  <c r="AR27" i="12"/>
  <c r="AE97" i="9"/>
  <c r="AE65" i="9"/>
  <c r="AE66" i="9" s="1"/>
  <c r="AE60" i="9"/>
  <c r="AA20" i="12"/>
  <c r="AA15" i="14" s="1"/>
  <c r="AK73" i="1"/>
  <c r="AK75" i="1" s="1"/>
  <c r="AK15" i="13" s="1"/>
  <c r="AK8" i="14"/>
  <c r="AK18" i="13"/>
  <c r="AJ20" i="14"/>
  <c r="BF8" i="14"/>
  <c r="AJ23" i="10"/>
  <c r="BF23" i="10"/>
  <c r="BF82" i="1"/>
  <c r="BF83" i="1" s="1"/>
  <c r="AJ82" i="1"/>
  <c r="AJ83" i="1" s="1"/>
  <c r="AL73" i="7"/>
  <c r="AL75" i="7" s="1"/>
  <c r="AL71" i="1"/>
  <c r="AN63" i="8"/>
  <c r="AN72" i="8" s="1"/>
  <c r="AN13" i="12" s="1"/>
  <c r="AM71" i="7"/>
  <c r="BG71" i="7" s="1"/>
  <c r="AK78" i="1"/>
  <c r="AK82" i="1" s="1"/>
  <c r="AK22" i="10"/>
  <c r="AL80" i="1"/>
  <c r="AL21" i="10"/>
  <c r="AN71" i="5"/>
  <c r="AM73" i="5"/>
  <c r="AM75" i="5" s="1"/>
  <c r="BG71" i="5"/>
  <c r="BD26" i="5"/>
  <c r="AF70" i="5"/>
  <c r="AE70" i="1"/>
  <c r="AE73" i="5"/>
  <c r="AE75" i="5" s="1"/>
  <c r="AF26" i="1"/>
  <c r="BD24" i="1"/>
  <c r="BD26" i="1" s="1"/>
  <c r="BE24" i="1"/>
  <c r="AC73" i="1"/>
  <c r="AX70" i="1"/>
  <c r="AX73" i="1" s="1"/>
  <c r="BB70" i="1"/>
  <c r="BB73" i="1" s="1"/>
  <c r="AG26" i="1"/>
  <c r="Y23" i="10"/>
  <c r="Z78" i="1"/>
  <c r="Z82" i="1" s="1"/>
  <c r="Z83" i="1" s="1"/>
  <c r="Z22" i="10"/>
  <c r="AA73" i="7"/>
  <c r="AA75" i="7" s="1"/>
  <c r="AP64" i="9" l="1"/>
  <c r="AP96" i="9"/>
  <c r="AO64" i="9"/>
  <c r="AO96" i="9"/>
  <c r="BH25" i="14"/>
  <c r="BH27" i="14" s="1"/>
  <c r="BD25" i="14"/>
  <c r="BD27" i="14" s="1"/>
  <c r="BZ80" i="9"/>
  <c r="BV79" i="9"/>
  <c r="BV80" i="9" s="1"/>
  <c r="BV82" i="9" s="1"/>
  <c r="BY78" i="9" s="1"/>
  <c r="BY80" i="9" s="1"/>
  <c r="AE98" i="9"/>
  <c r="AE14" i="10" s="1"/>
  <c r="AS27" i="12"/>
  <c r="AT27" i="12" s="1"/>
  <c r="BK25" i="14"/>
  <c r="AH51" i="9"/>
  <c r="AG59" i="9"/>
  <c r="AK20" i="13"/>
  <c r="AE86" i="9"/>
  <c r="AE61" i="9"/>
  <c r="AF97" i="9"/>
  <c r="AF98" i="9" s="1"/>
  <c r="AF14" i="10" s="1"/>
  <c r="AF65" i="9"/>
  <c r="AF66" i="9" s="1"/>
  <c r="AF60" i="9"/>
  <c r="AB15" i="14"/>
  <c r="AK83" i="1"/>
  <c r="AL73" i="1"/>
  <c r="AL75" i="1" s="1"/>
  <c r="AL15" i="13" s="1"/>
  <c r="AL8" i="14"/>
  <c r="AL18" i="13"/>
  <c r="AJ22" i="14"/>
  <c r="BF20" i="14"/>
  <c r="BF22" i="14" s="1"/>
  <c r="AK20" i="14"/>
  <c r="AM71" i="1"/>
  <c r="AO63" i="8"/>
  <c r="AO72" i="8" s="1"/>
  <c r="AO13" i="12" s="1"/>
  <c r="AN71" i="7"/>
  <c r="AL22" i="10"/>
  <c r="AL23" i="10" s="1"/>
  <c r="AL78" i="1"/>
  <c r="AL82" i="1" s="1"/>
  <c r="BG73" i="7"/>
  <c r="BG75" i="7" s="1"/>
  <c r="AK23" i="10"/>
  <c r="AM73" i="7"/>
  <c r="AM75" i="7" s="1"/>
  <c r="BG73" i="5"/>
  <c r="BG75" i="5" s="1"/>
  <c r="AP71" i="5"/>
  <c r="AO71" i="5"/>
  <c r="AM80" i="1"/>
  <c r="AM21" i="10"/>
  <c r="AN73" i="5"/>
  <c r="AN75" i="5" s="1"/>
  <c r="AE73" i="1"/>
  <c r="AE75" i="1" s="1"/>
  <c r="AE15" i="13" s="1"/>
  <c r="AE20" i="13" s="1"/>
  <c r="AE24" i="13" s="1"/>
  <c r="BE26" i="1"/>
  <c r="AE80" i="1"/>
  <c r="AE21" i="10"/>
  <c r="AG70" i="5"/>
  <c r="AF70" i="1"/>
  <c r="AF73" i="1" s="1"/>
  <c r="AF75" i="1" s="1"/>
  <c r="AF15" i="13" s="1"/>
  <c r="AF20" i="13" s="1"/>
  <c r="AF24" i="13" s="1"/>
  <c r="AF73" i="5"/>
  <c r="AF75" i="5" s="1"/>
  <c r="Z23" i="10"/>
  <c r="BA22" i="10"/>
  <c r="BA23" i="10" s="1"/>
  <c r="BA78" i="1"/>
  <c r="BA82" i="1" s="1"/>
  <c r="BA83" i="1" s="1"/>
  <c r="AA78" i="1"/>
  <c r="AA22" i="10"/>
  <c r="AB73" i="7"/>
  <c r="AB75" i="7" s="1"/>
  <c r="AC73" i="7"/>
  <c r="AC75" i="7" s="1"/>
  <c r="AC91" i="5"/>
  <c r="AC6" i="5" s="1"/>
  <c r="BH96" i="9" l="1"/>
  <c r="BD96" i="9"/>
  <c r="AF86" i="9"/>
  <c r="AF61" i="9"/>
  <c r="AG65" i="9"/>
  <c r="AG66" i="9" s="1"/>
  <c r="AG97" i="9"/>
  <c r="AG60" i="9"/>
  <c r="BK27" i="14"/>
  <c r="AH59" i="9"/>
  <c r="AI51" i="9"/>
  <c r="BL25" i="14"/>
  <c r="BL27" i="14" s="1"/>
  <c r="BM25" i="14"/>
  <c r="BM27" i="14" s="1"/>
  <c r="AE20" i="12"/>
  <c r="AF20" i="12"/>
  <c r="AL20" i="13"/>
  <c r="AL20" i="14"/>
  <c r="AL83" i="1"/>
  <c r="BG71" i="1"/>
  <c r="BG73" i="1" s="1"/>
  <c r="BG75" i="1" s="1"/>
  <c r="AM18" i="13"/>
  <c r="AM8" i="14"/>
  <c r="AK22" i="14"/>
  <c r="AM73" i="1"/>
  <c r="AM75" i="1" s="1"/>
  <c r="AM15" i="13" s="1"/>
  <c r="AN73" i="7"/>
  <c r="AN75" i="7" s="1"/>
  <c r="AN71" i="1"/>
  <c r="AM78" i="1"/>
  <c r="BG78" i="1" s="1"/>
  <c r="AM22" i="10"/>
  <c r="BG22" i="10" s="1"/>
  <c r="AP63" i="8"/>
  <c r="BK63" i="8" s="1"/>
  <c r="AO71" i="7"/>
  <c r="BH71" i="5"/>
  <c r="BH73" i="5" s="1"/>
  <c r="BH75" i="5" s="1"/>
  <c r="AN21" i="10"/>
  <c r="AN80" i="1"/>
  <c r="BG21" i="10"/>
  <c r="AP73" i="5"/>
  <c r="AP75" i="5" s="1"/>
  <c r="BD71" i="5"/>
  <c r="AO73" i="5"/>
  <c r="AO75" i="5" s="1"/>
  <c r="BG80" i="1"/>
  <c r="BB6" i="5"/>
  <c r="BB9" i="5" s="1"/>
  <c r="AX6" i="5"/>
  <c r="AX9" i="5" s="1"/>
  <c r="AC12" i="5"/>
  <c r="AG70" i="1"/>
  <c r="AG73" i="1" s="1"/>
  <c r="AG75" i="1" s="1"/>
  <c r="AG15" i="13" s="1"/>
  <c r="AG20" i="13" s="1"/>
  <c r="AG73" i="5"/>
  <c r="AG75" i="5" s="1"/>
  <c r="BE70" i="5"/>
  <c r="BE73" i="5" s="1"/>
  <c r="BE75" i="5" s="1"/>
  <c r="BD70" i="5"/>
  <c r="AF21" i="10"/>
  <c r="AF23" i="10" s="1"/>
  <c r="AF80" i="1"/>
  <c r="AF82" i="1" s="1"/>
  <c r="AF83" i="1" s="1"/>
  <c r="AE82" i="1"/>
  <c r="AE83" i="1" s="1"/>
  <c r="AE23" i="10"/>
  <c r="AA82" i="1"/>
  <c r="AA83" i="1" s="1"/>
  <c r="AA23" i="10"/>
  <c r="AC13" i="5"/>
  <c r="AC6" i="1"/>
  <c r="AB78" i="1"/>
  <c r="AB82" i="1" s="1"/>
  <c r="AB83" i="1" s="1"/>
  <c r="AB22" i="10"/>
  <c r="AB23" i="10" s="1"/>
  <c r="AC78" i="1"/>
  <c r="AC22" i="10"/>
  <c r="AC11" i="5"/>
  <c r="AC15" i="5"/>
  <c r="AC9" i="5"/>
  <c r="AC14" i="5"/>
  <c r="BK72" i="8" l="1"/>
  <c r="BK8" i="14" s="1"/>
  <c r="BL63" i="8"/>
  <c r="AM20" i="13"/>
  <c r="AG98" i="9"/>
  <c r="AG14" i="10" s="1"/>
  <c r="BE14" i="10" s="1"/>
  <c r="BE97" i="9"/>
  <c r="BE98" i="9" s="1"/>
  <c r="AU27" i="12"/>
  <c r="AH65" i="9"/>
  <c r="AH97" i="9"/>
  <c r="AF15" i="14"/>
  <c r="AJ51" i="9"/>
  <c r="AI59" i="9"/>
  <c r="AG86" i="9"/>
  <c r="AG61" i="9"/>
  <c r="AM82" i="1"/>
  <c r="AM83" i="1" s="1"/>
  <c r="AM20" i="14"/>
  <c r="BG8" i="14"/>
  <c r="AL22" i="14"/>
  <c r="AN73" i="1"/>
  <c r="AN75" i="1" s="1"/>
  <c r="AN15" i="13" s="1"/>
  <c r="AN18" i="13"/>
  <c r="AN8" i="14"/>
  <c r="AP71" i="7"/>
  <c r="BH71" i="7" s="1"/>
  <c r="BK71" i="7" s="1"/>
  <c r="AP72" i="8"/>
  <c r="AP13" i="12" s="1"/>
  <c r="AR13" i="12" s="1"/>
  <c r="AO71" i="1"/>
  <c r="BG23" i="10"/>
  <c r="AN22" i="10"/>
  <c r="AN78" i="1"/>
  <c r="AN82" i="1" s="1"/>
  <c r="BG82" i="1"/>
  <c r="BG83" i="1" s="1"/>
  <c r="AM23" i="10"/>
  <c r="AO73" i="7"/>
  <c r="AO75" i="7" s="1"/>
  <c r="AP21" i="10"/>
  <c r="AP80" i="1"/>
  <c r="AO80" i="1"/>
  <c r="AO21" i="10"/>
  <c r="BE70" i="1"/>
  <c r="BE73" i="1" s="1"/>
  <c r="BD70" i="1"/>
  <c r="AG21" i="10"/>
  <c r="AG80" i="1"/>
  <c r="AG82" i="1" s="1"/>
  <c r="AG83" i="1" s="1"/>
  <c r="AC13" i="1"/>
  <c r="AX13" i="5"/>
  <c r="BB13" i="5"/>
  <c r="AC9" i="1"/>
  <c r="BB6" i="1"/>
  <c r="BB9" i="1" s="1"/>
  <c r="BB11" i="5"/>
  <c r="AX11" i="5"/>
  <c r="AC14" i="1"/>
  <c r="AX14" i="5"/>
  <c r="BB14" i="5"/>
  <c r="BD73" i="5"/>
  <c r="BD75" i="5" s="1"/>
  <c r="AC15" i="1"/>
  <c r="BB15" i="5"/>
  <c r="AX15" i="5"/>
  <c r="AC12" i="1"/>
  <c r="AX12" i="5"/>
  <c r="BB12" i="5"/>
  <c r="BB78" i="1"/>
  <c r="AX78" i="1"/>
  <c r="AX22" i="10"/>
  <c r="BB22" i="10"/>
  <c r="AC18" i="5"/>
  <c r="AC17" i="5"/>
  <c r="AC11" i="1"/>
  <c r="BE75" i="1" l="1"/>
  <c r="BL71" i="7"/>
  <c r="BK73" i="7"/>
  <c r="BK75" i="7" s="1"/>
  <c r="BL22" i="10" s="1"/>
  <c r="AN20" i="13"/>
  <c r="BM63" i="8"/>
  <c r="BL72" i="8"/>
  <c r="BL8" i="14" s="1"/>
  <c r="AH98" i="9"/>
  <c r="AH14" i="10" s="1"/>
  <c r="BE86" i="9"/>
  <c r="AJ59" i="9"/>
  <c r="AK51" i="9"/>
  <c r="AI65" i="9"/>
  <c r="AI66" i="9" s="1"/>
  <c r="AI97" i="9"/>
  <c r="AI98" i="9" s="1"/>
  <c r="AI14" i="10" s="1"/>
  <c r="AI60" i="9"/>
  <c r="BN25" i="14"/>
  <c r="AW27" i="12"/>
  <c r="AN83" i="1"/>
  <c r="AM22" i="14"/>
  <c r="BG20" i="14"/>
  <c r="BG22" i="14" s="1"/>
  <c r="AN20" i="14"/>
  <c r="AO73" i="1"/>
  <c r="AO75" i="1" s="1"/>
  <c r="AO15" i="13" s="1"/>
  <c r="AO8" i="14"/>
  <c r="AO20" i="14" s="1"/>
  <c r="AO22" i="14" s="1"/>
  <c r="AO18" i="13"/>
  <c r="AP71" i="1"/>
  <c r="BD71" i="7"/>
  <c r="BD73" i="7" s="1"/>
  <c r="BD75" i="7" s="1"/>
  <c r="BH73" i="7"/>
  <c r="BH75" i="7" s="1"/>
  <c r="BD80" i="1"/>
  <c r="AP73" i="7"/>
  <c r="AP75" i="7" s="1"/>
  <c r="AP78" i="1" s="1"/>
  <c r="AO78" i="1"/>
  <c r="AO22" i="10"/>
  <c r="BH80" i="1"/>
  <c r="AN23" i="10"/>
  <c r="BH21" i="10"/>
  <c r="BL21" i="10" s="1"/>
  <c r="BE80" i="1"/>
  <c r="BE82" i="1" s="1"/>
  <c r="BB14" i="1"/>
  <c r="AG23" i="10"/>
  <c r="BE21" i="10"/>
  <c r="BE23" i="10" s="1"/>
  <c r="BD21" i="10"/>
  <c r="BI21" i="10" s="1"/>
  <c r="BB11" i="1"/>
  <c r="BB15" i="1"/>
  <c r="AX17" i="5"/>
  <c r="AX18" i="5" s="1"/>
  <c r="AX75" i="5" s="1"/>
  <c r="BB17" i="5"/>
  <c r="BB18" i="5" s="1"/>
  <c r="BB75" i="5" s="1"/>
  <c r="BB12" i="1"/>
  <c r="BB13" i="1"/>
  <c r="AC75" i="5"/>
  <c r="AC17" i="1"/>
  <c r="AC18" i="1"/>
  <c r="AC16" i="13" s="1"/>
  <c r="BE83" i="1" l="1"/>
  <c r="AS13" i="12"/>
  <c r="BM71" i="7"/>
  <c r="BL73" i="7"/>
  <c r="BL75" i="7" s="1"/>
  <c r="BM22" i="10" s="1"/>
  <c r="BN63" i="8"/>
  <c r="BM72" i="8"/>
  <c r="BM8" i="14" s="1"/>
  <c r="AO20" i="13"/>
  <c r="BN27" i="14"/>
  <c r="BJ25" i="14"/>
  <c r="BJ27" i="14" s="1"/>
  <c r="AL51" i="9"/>
  <c r="AK59" i="9"/>
  <c r="AX27" i="12"/>
  <c r="AI61" i="9"/>
  <c r="AI86" i="9"/>
  <c r="AJ97" i="9"/>
  <c r="AJ65" i="9"/>
  <c r="BM21" i="10"/>
  <c r="BN21" i="10" s="1"/>
  <c r="BO21" i="10" s="1"/>
  <c r="BT21" i="10" s="1"/>
  <c r="AN22" i="14"/>
  <c r="AP73" i="1"/>
  <c r="AP75" i="1" s="1"/>
  <c r="AP15" i="13" s="1"/>
  <c r="AP8" i="14"/>
  <c r="AP18" i="13"/>
  <c r="AP22" i="10"/>
  <c r="BD22" i="10" s="1"/>
  <c r="BH71" i="1"/>
  <c r="BH73" i="1" s="1"/>
  <c r="BH75" i="1" s="1"/>
  <c r="BD71" i="1"/>
  <c r="BD73" i="1" s="1"/>
  <c r="BD75" i="1" s="1"/>
  <c r="BH78" i="1"/>
  <c r="BH82" i="1" s="1"/>
  <c r="BD78" i="1"/>
  <c r="BD82" i="1" s="1"/>
  <c r="AO82" i="1"/>
  <c r="AO83" i="1" s="1"/>
  <c r="AO23" i="10"/>
  <c r="AP82" i="1"/>
  <c r="AC75" i="1"/>
  <c r="AC15" i="13" s="1"/>
  <c r="AC20" i="13" s="1"/>
  <c r="AC24" i="13" s="1"/>
  <c r="BB17" i="1"/>
  <c r="BB18" i="1" s="1"/>
  <c r="BB75" i="1" s="1"/>
  <c r="AC80" i="1"/>
  <c r="AC21" i="10"/>
  <c r="BN71" i="7" l="1"/>
  <c r="BJ71" i="7" s="1"/>
  <c r="BJ73" i="7" s="1"/>
  <c r="BJ75" i="7" s="1"/>
  <c r="BM73" i="7"/>
  <c r="BM75" i="7" s="1"/>
  <c r="BN22" i="10" s="1"/>
  <c r="AT13" i="12"/>
  <c r="BN72" i="8"/>
  <c r="BN8" i="14" s="1"/>
  <c r="BQ63" i="8"/>
  <c r="AJ98" i="9"/>
  <c r="AJ14" i="10" s="1"/>
  <c r="BF14" i="10" s="1"/>
  <c r="BF97" i="9"/>
  <c r="BF98" i="9" s="1"/>
  <c r="AY27" i="12"/>
  <c r="BS25" i="14" s="1"/>
  <c r="BS27" i="14" s="1"/>
  <c r="BQ25" i="14"/>
  <c r="AM51" i="9"/>
  <c r="AL59" i="9"/>
  <c r="AP20" i="13"/>
  <c r="BR25" i="14"/>
  <c r="BR27" i="14" s="1"/>
  <c r="AK97" i="9"/>
  <c r="AK65" i="9"/>
  <c r="AC20" i="12"/>
  <c r="AC15" i="14" s="1"/>
  <c r="BK21" i="10"/>
  <c r="BD23" i="10"/>
  <c r="BI22" i="10"/>
  <c r="AP83" i="1"/>
  <c r="AP20" i="14"/>
  <c r="BD8" i="14"/>
  <c r="BH8" i="14"/>
  <c r="AP23" i="10"/>
  <c r="BH22" i="10"/>
  <c r="BH83" i="1"/>
  <c r="BD83" i="1"/>
  <c r="AC82" i="1"/>
  <c r="AC83" i="1" s="1"/>
  <c r="AX80" i="1"/>
  <c r="BB80" i="1"/>
  <c r="BB82" i="1" s="1"/>
  <c r="BB83" i="1" s="1"/>
  <c r="AC23" i="10"/>
  <c r="AX21" i="10"/>
  <c r="AX23" i="10" s="1"/>
  <c r="BB21" i="10"/>
  <c r="BB23" i="10" s="1"/>
  <c r="AU13" i="12" l="1"/>
  <c r="BQ71" i="7"/>
  <c r="BN73" i="7"/>
  <c r="BN75" i="7" s="1"/>
  <c r="BO22" i="10" s="1"/>
  <c r="BO23" i="10" s="1"/>
  <c r="BQ72" i="8"/>
  <c r="BQ8" i="14" s="1"/>
  <c r="BR63" i="8"/>
  <c r="AK98" i="9"/>
  <c r="AK14" i="10" s="1"/>
  <c r="AE15" i="14"/>
  <c r="AM59" i="9"/>
  <c r="AN51" i="9"/>
  <c r="BQ27" i="14"/>
  <c r="AL97" i="9"/>
  <c r="AL65" i="9"/>
  <c r="AZ27" i="12"/>
  <c r="BB27" i="12" s="1"/>
  <c r="BK20" i="14"/>
  <c r="BQ21" i="10"/>
  <c r="BP21" i="10"/>
  <c r="BH23" i="10"/>
  <c r="BN23" i="10"/>
  <c r="BB15" i="14"/>
  <c r="AP22" i="14"/>
  <c r="BD20" i="14"/>
  <c r="BD22" i="14" s="1"/>
  <c r="BH20" i="14"/>
  <c r="BH22" i="14" s="1"/>
  <c r="BT25" i="14" l="1"/>
  <c r="BT27" i="14" s="1"/>
  <c r="BR71" i="7"/>
  <c r="BQ73" i="7"/>
  <c r="BQ75" i="7" s="1"/>
  <c r="BT22" i="10" s="1"/>
  <c r="AW13" i="12"/>
  <c r="BS63" i="8"/>
  <c r="BR72" i="8"/>
  <c r="BR8" i="14" s="1"/>
  <c r="AL98" i="9"/>
  <c r="AL14" i="10" s="1"/>
  <c r="BC27" i="12"/>
  <c r="AO51" i="9"/>
  <c r="AN59" i="9"/>
  <c r="AM65" i="9"/>
  <c r="AM97" i="9"/>
  <c r="BK22" i="14"/>
  <c r="BL20" i="14"/>
  <c r="BL22" i="14" s="1"/>
  <c r="BM23" i="10"/>
  <c r="BU21" i="10"/>
  <c r="BL23" i="10"/>
  <c r="BK22" i="10"/>
  <c r="BP25" i="14" l="1"/>
  <c r="BP27" i="14" s="1"/>
  <c r="BS71" i="7"/>
  <c r="BR73" i="7"/>
  <c r="BR75" i="7" s="1"/>
  <c r="BU22" i="10" s="1"/>
  <c r="AX13" i="12"/>
  <c r="BR20" i="14" s="1"/>
  <c r="BR22" i="14" s="1"/>
  <c r="BQ20" i="14"/>
  <c r="BT63" i="8"/>
  <c r="BT72" i="8" s="1"/>
  <c r="BT8" i="14" s="1"/>
  <c r="BS72" i="8"/>
  <c r="BS8" i="14" s="1"/>
  <c r="AM98" i="9"/>
  <c r="AM14" i="10" s="1"/>
  <c r="BG14" i="10" s="1"/>
  <c r="BG97" i="9"/>
  <c r="BG98" i="9" s="1"/>
  <c r="AO59" i="9"/>
  <c r="AP51" i="9"/>
  <c r="AP59" i="9" s="1"/>
  <c r="BX25" i="14"/>
  <c r="BX27" i="14" s="1"/>
  <c r="BD27" i="12"/>
  <c r="AN97" i="9"/>
  <c r="AN65" i="9"/>
  <c r="BW25" i="14"/>
  <c r="BN20" i="14"/>
  <c r="BN22" i="14" s="1"/>
  <c r="BM20" i="14"/>
  <c r="BV21" i="10"/>
  <c r="BQ22" i="10"/>
  <c r="BP22" i="10"/>
  <c r="BK23" i="10"/>
  <c r="BT71" i="7" l="1"/>
  <c r="BP71" i="7" s="1"/>
  <c r="BP73" i="7" s="1"/>
  <c r="BP75" i="7" s="1"/>
  <c r="BS73" i="7"/>
  <c r="BS75" i="7" s="1"/>
  <c r="BV22" i="10" s="1"/>
  <c r="BP8" i="14"/>
  <c r="BQ22" i="14"/>
  <c r="AY13" i="12"/>
  <c r="BS20" i="14" s="1"/>
  <c r="AN98" i="9"/>
  <c r="AN14" i="10" s="1"/>
  <c r="BW27" i="14"/>
  <c r="BY25" i="14"/>
  <c r="BY27" i="14" s="1"/>
  <c r="BE27" i="12"/>
  <c r="BZ25" i="14" s="1"/>
  <c r="BZ27" i="14" s="1"/>
  <c r="AP97" i="9"/>
  <c r="AP65" i="9"/>
  <c r="AO65" i="9"/>
  <c r="AO97" i="9"/>
  <c r="AO98" i="9" s="1"/>
  <c r="AO14" i="10" s="1"/>
  <c r="BM22" i="14"/>
  <c r="BJ20" i="14"/>
  <c r="BJ22" i="14" s="1"/>
  <c r="BJ8" i="14"/>
  <c r="BP23" i="10"/>
  <c r="BW21" i="10"/>
  <c r="BQ23" i="10"/>
  <c r="BW71" i="7" l="1"/>
  <c r="BT73" i="7"/>
  <c r="BT75" i="7" s="1"/>
  <c r="BW22" i="10" s="1"/>
  <c r="BS22" i="14"/>
  <c r="AZ13" i="12"/>
  <c r="AP98" i="9"/>
  <c r="AP14" i="10" s="1"/>
  <c r="BD14" i="10" s="1"/>
  <c r="BI14" i="10" s="1"/>
  <c r="BD97" i="9"/>
  <c r="BD98" i="9" s="1"/>
  <c r="BH97" i="9"/>
  <c r="BH98" i="9" s="1"/>
  <c r="BS21" i="10"/>
  <c r="BX21" i="10" s="1"/>
  <c r="CB21" i="10"/>
  <c r="BV25" i="14"/>
  <c r="BV27" i="14" s="1"/>
  <c r="BT23" i="10"/>
  <c r="BX71" i="7" l="1"/>
  <c r="BW73" i="7"/>
  <c r="BW75" i="7" s="1"/>
  <c r="CB22" i="10" s="1"/>
  <c r="BB13" i="12"/>
  <c r="BT20" i="14"/>
  <c r="BY21" i="10"/>
  <c r="BH14" i="10"/>
  <c r="CC21" i="10"/>
  <c r="BU23" i="10"/>
  <c r="CB23" i="10" l="1"/>
  <c r="BY71" i="7"/>
  <c r="BX73" i="7"/>
  <c r="BX75" i="7" s="1"/>
  <c r="CC22" i="10" s="1"/>
  <c r="BT22" i="14"/>
  <c r="BP20" i="14"/>
  <c r="BP22" i="14" s="1"/>
  <c r="BC13" i="12"/>
  <c r="BW20" i="14"/>
  <c r="CD21" i="10"/>
  <c r="BS22" i="10"/>
  <c r="BW23" i="10"/>
  <c r="BV23" i="10"/>
  <c r="CC23" i="10" l="1"/>
  <c r="BZ71" i="7"/>
  <c r="BY73" i="7"/>
  <c r="BY75" i="7" s="1"/>
  <c r="CD22" i="10" s="1"/>
  <c r="BW22" i="14"/>
  <c r="BD13" i="12"/>
  <c r="BX20" i="14"/>
  <c r="BX22" i="14" s="1"/>
  <c r="CE21" i="10"/>
  <c r="BY22" i="10"/>
  <c r="BX22" i="10"/>
  <c r="BX23" i="10" s="1"/>
  <c r="BS23" i="10"/>
  <c r="CD23" i="10" l="1"/>
  <c r="BZ73" i="7"/>
  <c r="BZ75" i="7" s="1"/>
  <c r="CE22" i="10" s="1"/>
  <c r="CA22" i="10" s="1"/>
  <c r="BV71" i="7"/>
  <c r="BV73" i="7" s="1"/>
  <c r="BV75" i="7" s="1"/>
  <c r="BE13" i="12"/>
  <c r="BZ20" i="14" s="1"/>
  <c r="BZ22" i="14" s="1"/>
  <c r="BY20" i="14"/>
  <c r="BY22" i="14" s="1"/>
  <c r="CA21" i="10"/>
  <c r="BY23" i="10"/>
  <c r="CF22" i="10" l="1"/>
  <c r="CG22" i="10"/>
  <c r="CE23" i="10"/>
  <c r="BV20" i="14"/>
  <c r="BV22" i="14" s="1"/>
  <c r="CG21" i="10"/>
  <c r="CF21" i="10"/>
  <c r="CA23" i="10"/>
  <c r="CG23" i="10" s="1"/>
  <c r="CF23" i="10" l="1"/>
  <c r="E22" i="12"/>
  <c r="E24" i="12" l="1"/>
  <c r="E16" i="14"/>
  <c r="F22" i="12"/>
  <c r="E78" i="11"/>
  <c r="F24" i="12" l="1"/>
  <c r="F16" i="14"/>
  <c r="F17" i="14" s="1"/>
  <c r="F30" i="14" s="1"/>
  <c r="G22" i="12"/>
  <c r="E97" i="11"/>
  <c r="E11" i="10"/>
  <c r="E81" i="9"/>
  <c r="AS81" i="9" l="1"/>
  <c r="AR81" i="9"/>
  <c r="G24" i="12"/>
  <c r="H22" i="12"/>
  <c r="G16" i="14"/>
  <c r="E15" i="10"/>
  <c r="E16" i="10" s="1"/>
  <c r="E25" i="10" s="1"/>
  <c r="E31" i="10" s="1"/>
  <c r="E33" i="10" s="1"/>
  <c r="AR11" i="10"/>
  <c r="AR15" i="10" s="1"/>
  <c r="AS11" i="10"/>
  <c r="AS15" i="10" s="1"/>
  <c r="AR16" i="10" l="1"/>
  <c r="B5" i="3"/>
  <c r="E10" i="3" s="1"/>
  <c r="AS16" i="10"/>
  <c r="C5" i="3"/>
  <c r="E17" i="3" s="1"/>
  <c r="I22" i="12"/>
  <c r="H24" i="12"/>
  <c r="H16" i="14"/>
  <c r="G17" i="14"/>
  <c r="G30" i="14" s="1"/>
  <c r="AS16" i="14"/>
  <c r="E6" i="14"/>
  <c r="E28" i="12"/>
  <c r="AR25" i="10" l="1"/>
  <c r="AR31" i="10" s="1"/>
  <c r="AS25" i="10"/>
  <c r="AS31" i="10" s="1"/>
  <c r="AR6" i="14"/>
  <c r="AR10" i="14" s="1"/>
  <c r="E10" i="14"/>
  <c r="E17" i="14" s="1"/>
  <c r="E30" i="14" s="1"/>
  <c r="E32" i="14" s="1"/>
  <c r="F31" i="14" s="1"/>
  <c r="F32" i="14" s="1"/>
  <c r="G31" i="14" s="1"/>
  <c r="G32" i="14" s="1"/>
  <c r="H31" i="14" s="1"/>
  <c r="AS6" i="14"/>
  <c r="AS10" i="14" s="1"/>
  <c r="AS17" i="14" s="1"/>
  <c r="AS30" i="14" s="1"/>
  <c r="AS32" i="14" s="1"/>
  <c r="AT31" i="14" s="1"/>
  <c r="H17" i="14"/>
  <c r="H30" i="14" s="1"/>
  <c r="I24" i="12"/>
  <c r="I16" i="14"/>
  <c r="J22" i="12"/>
  <c r="F28" i="12"/>
  <c r="E29" i="12"/>
  <c r="E30" i="12" s="1"/>
  <c r="E17" i="12" s="1"/>
  <c r="E10" i="12" s="1"/>
  <c r="E6" i="12" s="1"/>
  <c r="E34" i="14" s="1"/>
  <c r="AS33" i="10" l="1"/>
  <c r="C6" i="3"/>
  <c r="F17" i="3" s="1"/>
  <c r="AR33" i="10"/>
  <c r="B6" i="3"/>
  <c r="F10" i="3" s="1"/>
  <c r="E35" i="14"/>
  <c r="H32" i="14"/>
  <c r="I31" i="14" s="1"/>
  <c r="G28" i="12"/>
  <c r="F29" i="12"/>
  <c r="F30" i="12" s="1"/>
  <c r="F17" i="12" s="1"/>
  <c r="F10" i="12" s="1"/>
  <c r="F6" i="12" s="1"/>
  <c r="F34" i="14" s="1"/>
  <c r="F35" i="14" s="1"/>
  <c r="I17" i="14"/>
  <c r="I30" i="14" s="1"/>
  <c r="J16" i="14"/>
  <c r="J24" i="12"/>
  <c r="K22" i="12"/>
  <c r="I32" i="14" l="1"/>
  <c r="J31" i="14" s="1"/>
  <c r="L22" i="12"/>
  <c r="K24" i="12"/>
  <c r="K16" i="14"/>
  <c r="G29" i="12"/>
  <c r="G30" i="12" s="1"/>
  <c r="G17" i="12" s="1"/>
  <c r="G10" i="12" s="1"/>
  <c r="G6" i="12" s="1"/>
  <c r="G34" i="14" s="1"/>
  <c r="H28" i="12"/>
  <c r="J17" i="14"/>
  <c r="J30" i="14" s="1"/>
  <c r="AT16" i="14"/>
  <c r="AT17" i="14" s="1"/>
  <c r="AT30" i="14" s="1"/>
  <c r="AT32" i="14" s="1"/>
  <c r="AU31" i="14" s="1"/>
  <c r="J32" i="14" l="1"/>
  <c r="K31" i="14" s="1"/>
  <c r="K17" i="14"/>
  <c r="K30" i="14" s="1"/>
  <c r="H29" i="12"/>
  <c r="H30" i="12" s="1"/>
  <c r="H17" i="12" s="1"/>
  <c r="H10" i="12" s="1"/>
  <c r="H6" i="12" s="1"/>
  <c r="H34" i="14" s="1"/>
  <c r="H35" i="14" s="1"/>
  <c r="I28" i="12"/>
  <c r="G35" i="14"/>
  <c r="AS34" i="14"/>
  <c r="AS35" i="14" s="1"/>
  <c r="L16" i="14"/>
  <c r="L17" i="14" s="1"/>
  <c r="L30" i="14" s="1"/>
  <c r="M22" i="12"/>
  <c r="L24" i="12"/>
  <c r="K32" i="14" l="1"/>
  <c r="L31" i="14" s="1"/>
  <c r="L32" i="14" s="1"/>
  <c r="M31" i="14" s="1"/>
  <c r="M24" i="12"/>
  <c r="M16" i="14"/>
  <c r="N22" i="12"/>
  <c r="I29" i="12"/>
  <c r="I30" i="12" s="1"/>
  <c r="I17" i="12" s="1"/>
  <c r="I10" i="12" s="1"/>
  <c r="I6" i="12" s="1"/>
  <c r="I34" i="14" s="1"/>
  <c r="I35" i="14" s="1"/>
  <c r="J28" i="12"/>
  <c r="K28" i="12" l="1"/>
  <c r="J29" i="12"/>
  <c r="J30" i="12" s="1"/>
  <c r="J17" i="12" s="1"/>
  <c r="J10" i="12" s="1"/>
  <c r="J6" i="12" s="1"/>
  <c r="J34" i="14" s="1"/>
  <c r="M17" i="14"/>
  <c r="M30" i="14" s="1"/>
  <c r="M32" i="14" s="1"/>
  <c r="N31" i="14" s="1"/>
  <c r="AU16" i="14"/>
  <c r="AU17" i="14" s="1"/>
  <c r="AU30" i="14" s="1"/>
  <c r="AU32" i="14" s="1"/>
  <c r="AV31" i="14" s="1"/>
  <c r="N24" i="12"/>
  <c r="O22" i="12"/>
  <c r="N16" i="14"/>
  <c r="O16" i="14" l="1"/>
  <c r="O17" i="14" s="1"/>
  <c r="O30" i="14" s="1"/>
  <c r="O24" i="12"/>
  <c r="P22" i="12"/>
  <c r="K29" i="12"/>
  <c r="K30" i="12" s="1"/>
  <c r="K17" i="12" s="1"/>
  <c r="K10" i="12" s="1"/>
  <c r="K6" i="12" s="1"/>
  <c r="K34" i="14" s="1"/>
  <c r="K35" i="14" s="1"/>
  <c r="L28" i="12"/>
  <c r="N17" i="14"/>
  <c r="N30" i="14" s="1"/>
  <c r="N32" i="14" s="1"/>
  <c r="O31" i="14" s="1"/>
  <c r="J35" i="14"/>
  <c r="AT34" i="14"/>
  <c r="AT35" i="14" s="1"/>
  <c r="L29" i="12" l="1"/>
  <c r="L30" i="12" s="1"/>
  <c r="L17" i="12" s="1"/>
  <c r="L10" i="12" s="1"/>
  <c r="L6" i="12" s="1"/>
  <c r="L34" i="14" s="1"/>
  <c r="L35" i="14" s="1"/>
  <c r="M28" i="12"/>
  <c r="P24" i="12"/>
  <c r="P16" i="14"/>
  <c r="AV16" i="14" s="1"/>
  <c r="AV17" i="14" s="1"/>
  <c r="AV30" i="14" s="1"/>
  <c r="AV32" i="14" s="1"/>
  <c r="R22" i="12"/>
  <c r="O32" i="14"/>
  <c r="P31" i="14" s="1"/>
  <c r="AX31" i="14" l="1"/>
  <c r="AY31" i="14"/>
  <c r="P17" i="14"/>
  <c r="P30" i="14" s="1"/>
  <c r="P32" i="14" s="1"/>
  <c r="R31" i="14" s="1"/>
  <c r="AR16" i="14"/>
  <c r="AR17" i="14" s="1"/>
  <c r="AR30" i="14" s="1"/>
  <c r="AR32" i="14" s="1"/>
  <c r="R24" i="12"/>
  <c r="R16" i="14"/>
  <c r="S22" i="12"/>
  <c r="N28" i="12"/>
  <c r="M29" i="12"/>
  <c r="M30" i="12" s="1"/>
  <c r="M17" i="12" s="1"/>
  <c r="M10" i="12" s="1"/>
  <c r="M6" i="12" s="1"/>
  <c r="M34" i="14" s="1"/>
  <c r="O28" i="12" l="1"/>
  <c r="N29" i="12"/>
  <c r="N30" i="12" s="1"/>
  <c r="N17" i="12" s="1"/>
  <c r="N10" i="12" s="1"/>
  <c r="N6" i="12" s="1"/>
  <c r="N34" i="14" s="1"/>
  <c r="N35" i="14" s="1"/>
  <c r="S16" i="14"/>
  <c r="S24" i="12"/>
  <c r="T22" i="12"/>
  <c r="M35" i="14"/>
  <c r="AU34" i="14"/>
  <c r="AU35" i="14" s="1"/>
  <c r="T24" i="12" l="1"/>
  <c r="T16" i="14"/>
  <c r="AY16" i="14" s="1"/>
  <c r="U22" i="12"/>
  <c r="O29" i="12"/>
  <c r="O30" i="12" s="1"/>
  <c r="O17" i="12" s="1"/>
  <c r="O10" i="12" s="1"/>
  <c r="O6" i="12" s="1"/>
  <c r="O34" i="14" s="1"/>
  <c r="O35" i="14" s="1"/>
  <c r="P28" i="12"/>
  <c r="V22" i="12" l="1"/>
  <c r="P29" i="12"/>
  <c r="P30" i="12" s="1"/>
  <c r="P17" i="12" s="1"/>
  <c r="P10" i="12" s="1"/>
  <c r="P6" i="12" s="1"/>
  <c r="P34" i="14" s="1"/>
  <c r="P35" i="14" l="1"/>
  <c r="AR34" i="14"/>
  <c r="W22" i="12"/>
  <c r="AR35" i="14" l="1"/>
  <c r="AV34" i="14"/>
  <c r="AV35" i="14" s="1"/>
  <c r="X22" i="12"/>
  <c r="Y22" i="12" l="1"/>
  <c r="Z22" i="12" l="1"/>
  <c r="AA22" i="12" l="1"/>
  <c r="AB22" i="12" l="1"/>
  <c r="AC22" i="12" l="1"/>
  <c r="AE22" i="12" l="1"/>
  <c r="AF22" i="12" l="1"/>
  <c r="AG22" i="12" l="1"/>
  <c r="AH22" i="12" l="1"/>
  <c r="AI22" i="12" l="1"/>
  <c r="AJ22" i="12" l="1"/>
  <c r="AK22" i="12" l="1"/>
  <c r="AL22" i="12" l="1"/>
  <c r="AM22" i="12" l="1"/>
  <c r="AN22" i="12" l="1"/>
  <c r="AO22" i="12" l="1"/>
  <c r="AP22" i="12" l="1"/>
  <c r="U85" i="11" l="1"/>
  <c r="U91" i="11"/>
  <c r="U92" i="11"/>
  <c r="U88" i="11"/>
  <c r="U87" i="11"/>
  <c r="U84" i="11"/>
  <c r="U90" i="11"/>
  <c r="U89" i="11"/>
  <c r="U86" i="11"/>
  <c r="U83" i="11"/>
  <c r="U94" i="11" l="1"/>
  <c r="U12" i="10" s="1"/>
  <c r="U88" i="9" l="1"/>
  <c r="U97" i="11"/>
  <c r="AS7" i="9" l="1"/>
  <c r="AS9" i="9" s="1"/>
  <c r="AS11" i="9" s="1"/>
  <c r="AT7" i="9" s="1"/>
  <c r="AT9" i="9" s="1"/>
  <c r="AT11" i="9" s="1"/>
  <c r="AU7" i="9" s="1"/>
  <c r="AU9" i="9" s="1"/>
  <c r="AU11" i="9" s="1"/>
  <c r="AV7" i="9" s="1"/>
  <c r="AV9" i="9" s="1"/>
  <c r="AV11" i="9" s="1"/>
  <c r="AX7" i="9" s="1"/>
  <c r="AS16" i="9"/>
  <c r="AS18" i="9" s="1"/>
  <c r="AS20" i="9" s="1"/>
  <c r="AR74" i="9"/>
  <c r="AS70" i="9" s="1"/>
  <c r="AS72" i="9" s="1"/>
  <c r="AS74" i="9" s="1"/>
  <c r="AT70" i="9" s="1"/>
  <c r="AT72" i="9" s="1"/>
  <c r="AT74" i="9" s="1"/>
  <c r="AU70" i="9" s="1"/>
  <c r="AU72" i="9" s="1"/>
  <c r="AU74" i="9" s="1"/>
  <c r="AV70" i="9" s="1"/>
  <c r="AV72" i="9" s="1"/>
  <c r="AV74" i="9" s="1"/>
  <c r="AX70" i="9" s="1"/>
  <c r="AX72" i="9" s="1"/>
  <c r="AX74" i="9" s="1"/>
  <c r="AY72" i="9" s="1"/>
  <c r="AY74" i="9" s="1"/>
  <c r="AZ70" i="9" s="1"/>
  <c r="AZ72" i="9" s="1"/>
  <c r="AZ74" i="9" s="1"/>
  <c r="BA70" i="9" s="1"/>
  <c r="BA72" i="9" s="1"/>
  <c r="BA74" i="9" s="1"/>
  <c r="BB70" i="9" s="1"/>
  <c r="BB72" i="9" s="1"/>
  <c r="BB74" i="9" s="1"/>
  <c r="BD70" i="9" s="1"/>
  <c r="AR89" i="9"/>
  <c r="AS85" i="9" s="1"/>
  <c r="AS87" i="9" s="1"/>
  <c r="AS89" i="9" s="1"/>
  <c r="AY7" i="9" l="1"/>
  <c r="AY9" i="9" s="1"/>
  <c r="AY11" i="9" s="1"/>
  <c r="AZ7" i="9" s="1"/>
  <c r="AZ9" i="9" s="1"/>
  <c r="AZ11" i="9" s="1"/>
  <c r="BA7" i="9" s="1"/>
  <c r="BA9" i="9" s="1"/>
  <c r="BA11" i="9" s="1"/>
  <c r="BB7" i="9" s="1"/>
  <c r="BB9" i="9" s="1"/>
  <c r="BB11" i="9" s="1"/>
  <c r="BD7" i="9" s="1"/>
  <c r="BE7" i="9" s="1"/>
  <c r="AX9" i="9"/>
  <c r="AX11" i="9" s="1"/>
  <c r="AT16" i="9"/>
  <c r="AT18" i="9" s="1"/>
  <c r="AT20" i="9" s="1"/>
  <c r="AS90" i="9"/>
  <c r="AT85" i="9"/>
  <c r="AT87" i="9" s="1"/>
  <c r="AT89" i="9" s="1"/>
  <c r="BD9" i="9" l="1"/>
  <c r="BD11" i="9" s="1"/>
  <c r="AT90" i="9"/>
  <c r="AU16" i="9"/>
  <c r="AU18" i="9" s="1"/>
  <c r="AU20" i="9" s="1"/>
  <c r="BE9" i="9"/>
  <c r="BE11" i="9" s="1"/>
  <c r="BF7" i="9" s="1"/>
  <c r="BF9" i="9" s="1"/>
  <c r="BF11" i="9" s="1"/>
  <c r="BG7" i="9" s="1"/>
  <c r="BG9" i="9" s="1"/>
  <c r="BG11" i="9" s="1"/>
  <c r="BH7" i="9" s="1"/>
  <c r="BH9" i="9" s="1"/>
  <c r="BH11" i="9" s="1"/>
  <c r="AU85" i="9"/>
  <c r="AU87" i="9" s="1"/>
  <c r="AU89" i="9" s="1"/>
  <c r="AV16" i="9" l="1"/>
  <c r="AV18" i="9" s="1"/>
  <c r="AV20" i="9" s="1"/>
  <c r="AU90" i="9"/>
  <c r="BJ7" i="9"/>
  <c r="BK8" i="9"/>
  <c r="AV85" i="9"/>
  <c r="AV87" i="9" s="1"/>
  <c r="AV89" i="9" s="1"/>
  <c r="AV90" i="9" l="1"/>
  <c r="AX16" i="9"/>
  <c r="BJ8" i="9"/>
  <c r="BJ9" i="9" s="1"/>
  <c r="BJ11" i="9" s="1"/>
  <c r="BK79" i="9"/>
  <c r="AX85" i="9"/>
  <c r="AY16" i="9" l="1"/>
  <c r="AY18" i="9" s="1"/>
  <c r="AY20" i="9" s="1"/>
  <c r="AZ16" i="9" s="1"/>
  <c r="AZ18" i="9" s="1"/>
  <c r="AZ20" i="9" s="1"/>
  <c r="BA16" i="9" s="1"/>
  <c r="BA18" i="9" s="1"/>
  <c r="BA20" i="9" s="1"/>
  <c r="BB16" i="9" s="1"/>
  <c r="BB18" i="9" s="1"/>
  <c r="BB20" i="9" s="1"/>
  <c r="BD16" i="9" s="1"/>
  <c r="AX18" i="9"/>
  <c r="AX20" i="9" s="1"/>
  <c r="BK80" i="9"/>
  <c r="BJ79" i="9"/>
  <c r="BJ80" i="9" s="1"/>
  <c r="BJ82" i="9" s="1"/>
  <c r="AY87" i="9"/>
  <c r="AY89" i="9" s="1"/>
  <c r="BD18" i="9" l="1"/>
  <c r="BD20" i="9" s="1"/>
  <c r="BE16" i="9"/>
  <c r="AZ85" i="9"/>
  <c r="AY90" i="9"/>
  <c r="BE18" i="9" l="1"/>
  <c r="BE20" i="9" s="1"/>
  <c r="BF16" i="9" s="1"/>
  <c r="AE24" i="9" s="1"/>
  <c r="BF18" i="9" l="1"/>
  <c r="BF20" i="9" s="1"/>
  <c r="BG16" i="9" s="1"/>
  <c r="AF24" i="9" s="1"/>
  <c r="BG18" i="9" l="1"/>
  <c r="BG20" i="9" s="1"/>
  <c r="BH16" i="9" s="1"/>
  <c r="AG24" i="9" s="1"/>
  <c r="BH18" i="9" l="1"/>
  <c r="BH20" i="9" s="1"/>
  <c r="BK16" i="9" s="1"/>
  <c r="AH24" i="9"/>
  <c r="AH47" i="9" s="1"/>
  <c r="AH48" i="9" s="1"/>
  <c r="AH57" i="9" s="1"/>
  <c r="AK70" i="9"/>
  <c r="AJ72" i="9"/>
  <c r="AG74" i="9" l="1"/>
  <c r="AH63" i="9"/>
  <c r="AH66" i="9" s="1"/>
  <c r="AH60" i="9"/>
  <c r="AK24" i="9"/>
  <c r="AJ24" i="9"/>
  <c r="AJ47" i="9" s="1"/>
  <c r="AJ48" i="9" s="1"/>
  <c r="AJ57" i="9" s="1"/>
  <c r="AM73" i="9"/>
  <c r="AL70" i="9"/>
  <c r="AI74" i="9" l="1"/>
  <c r="AJ63" i="9"/>
  <c r="AJ66" i="9" s="1"/>
  <c r="AJ60" i="9"/>
  <c r="AL24" i="9"/>
  <c r="AK47" i="9"/>
  <c r="AK48" i="9" s="1"/>
  <c r="AK57" i="9" s="1"/>
  <c r="AH86" i="9"/>
  <c r="AH61" i="9"/>
  <c r="AH70" i="9"/>
  <c r="AH71" i="9" s="1"/>
  <c r="AG72" i="9"/>
  <c r="AG71" i="9" s="1"/>
  <c r="AM70" i="9"/>
  <c r="AN73" i="9"/>
  <c r="AN70" i="9"/>
  <c r="AH22" i="13" l="1"/>
  <c r="AH24" i="13" s="1"/>
  <c r="AH20" i="12" s="1"/>
  <c r="AJ86" i="9"/>
  <c r="BF86" i="9" s="1"/>
  <c r="AJ61" i="9"/>
  <c r="AK73" i="9"/>
  <c r="AK63" i="9"/>
  <c r="AK66" i="9" s="1"/>
  <c r="AK60" i="9"/>
  <c r="AM24" i="9"/>
  <c r="AL47" i="9"/>
  <c r="AL48" i="9" s="1"/>
  <c r="AL57" i="9" s="1"/>
  <c r="AG22" i="13"/>
  <c r="AG24" i="13" s="1"/>
  <c r="AG20" i="12" s="1"/>
  <c r="AG15" i="14" s="1"/>
  <c r="BE15" i="14" s="1"/>
  <c r="BE71" i="9"/>
  <c r="AJ70" i="9"/>
  <c r="AJ71" i="9" s="1"/>
  <c r="AJ22" i="13" s="1"/>
  <c r="AJ24" i="13" s="1"/>
  <c r="AJ20" i="12" s="1"/>
  <c r="AI72" i="9"/>
  <c r="AI71" i="9" s="1"/>
  <c r="AI22" i="13" s="1"/>
  <c r="AI24" i="13" s="1"/>
  <c r="AI20" i="12" s="1"/>
  <c r="AM72" i="9"/>
  <c r="AM71" i="9" s="1"/>
  <c r="AM22" i="13" s="1"/>
  <c r="AO73" i="9"/>
  <c r="AO70" i="9"/>
  <c r="AI15" i="14" l="1"/>
  <c r="AN24" i="9"/>
  <c r="AM47" i="9"/>
  <c r="AM48" i="9" s="1"/>
  <c r="AM57" i="9" s="1"/>
  <c r="AK61" i="9"/>
  <c r="AK86" i="9"/>
  <c r="AJ15" i="14"/>
  <c r="BF71" i="9"/>
  <c r="AK72" i="9"/>
  <c r="AK71" i="9" s="1"/>
  <c r="AK22" i="13" s="1"/>
  <c r="AK24" i="13" s="1"/>
  <c r="AK20" i="12" s="1"/>
  <c r="AK15" i="14" s="1"/>
  <c r="AL73" i="9"/>
  <c r="AL72" i="9" s="1"/>
  <c r="AL71" i="9" s="1"/>
  <c r="AL22" i="13" s="1"/>
  <c r="AL24" i="13" s="1"/>
  <c r="AL20" i="12" s="1"/>
  <c r="AL63" i="9"/>
  <c r="AL66" i="9" s="1"/>
  <c r="AL60" i="9"/>
  <c r="AH15" i="14"/>
  <c r="AN72" i="9"/>
  <c r="AN71" i="9" s="1"/>
  <c r="AM24" i="13"/>
  <c r="AM20" i="12" s="1"/>
  <c r="AP73" i="9"/>
  <c r="BH73" i="9" s="1"/>
  <c r="AP70" i="9"/>
  <c r="AR82" i="9"/>
  <c r="AS78" i="9" s="1"/>
  <c r="AS80" i="9" s="1"/>
  <c r="AS82" i="9" s="1"/>
  <c r="BG71" i="9" l="1"/>
  <c r="AM15" i="14"/>
  <c r="BG73" i="9"/>
  <c r="BF15" i="14"/>
  <c r="AL86" i="9"/>
  <c r="AL61" i="9"/>
  <c r="AM63" i="9"/>
  <c r="AM66" i="9" s="1"/>
  <c r="AM60" i="9"/>
  <c r="AL15" i="14"/>
  <c r="AN47" i="9"/>
  <c r="AN48" i="9" s="1"/>
  <c r="AN57" i="9" s="1"/>
  <c r="AO24" i="9"/>
  <c r="AN22" i="13"/>
  <c r="AN24" i="13" s="1"/>
  <c r="AN20" i="12" s="1"/>
  <c r="AN15" i="14" s="1"/>
  <c r="AO72" i="9"/>
  <c r="AO71" i="9" s="1"/>
  <c r="BD73" i="9"/>
  <c r="BK74" i="9"/>
  <c r="AS92" i="9"/>
  <c r="AT78" i="9"/>
  <c r="AT80" i="9" s="1"/>
  <c r="AT82" i="9" s="1"/>
  <c r="AR92" i="9"/>
  <c r="BG15" i="14" l="1"/>
  <c r="AM61" i="9"/>
  <c r="AM86" i="9"/>
  <c r="BG86" i="9" s="1"/>
  <c r="AP24" i="9"/>
  <c r="AO47" i="9"/>
  <c r="AO48" i="9" s="1"/>
  <c r="AO57" i="9" s="1"/>
  <c r="AN63" i="9"/>
  <c r="AN66" i="9" s="1"/>
  <c r="AN60" i="9"/>
  <c r="AO22" i="13"/>
  <c r="AO24" i="13" s="1"/>
  <c r="AO20" i="12" s="1"/>
  <c r="AO15" i="14" s="1"/>
  <c r="AT92" i="9"/>
  <c r="AU78" i="9"/>
  <c r="AU80" i="9" s="1"/>
  <c r="AU82" i="9" s="1"/>
  <c r="AN86" i="9" l="1"/>
  <c r="AN61" i="9"/>
  <c r="BK24" i="9"/>
  <c r="AP47" i="9"/>
  <c r="AP48" i="9" s="1"/>
  <c r="AP57" i="9" s="1"/>
  <c r="AO63" i="9"/>
  <c r="AO66" i="9" s="1"/>
  <c r="AO60" i="9"/>
  <c r="AV78" i="9"/>
  <c r="AV80" i="9" s="1"/>
  <c r="AV82" i="9" s="1"/>
  <c r="AU92" i="9"/>
  <c r="AO61" i="9" l="1"/>
  <c r="AO86" i="9"/>
  <c r="BL24" i="9"/>
  <c r="BL47" i="9" s="1"/>
  <c r="BL48" i="9" s="1"/>
  <c r="BL57" i="9" s="1"/>
  <c r="BK47" i="9"/>
  <c r="BK48" i="9" s="1"/>
  <c r="AP63" i="9"/>
  <c r="AP66" i="9" s="1"/>
  <c r="AP60" i="9"/>
  <c r="AX78" i="9"/>
  <c r="AX80" i="9" s="1"/>
  <c r="AX82" i="9" s="1"/>
  <c r="AV92" i="9"/>
  <c r="AP61" i="9" l="1"/>
  <c r="AP86" i="9"/>
  <c r="BH86" i="9" s="1"/>
  <c r="BL73" i="9"/>
  <c r="BL63" i="9"/>
  <c r="AY80" i="9"/>
  <c r="AY82" i="9" s="1"/>
  <c r="BD86" i="9" l="1"/>
  <c r="AY92" i="9"/>
  <c r="AZ78" i="9"/>
  <c r="AZ80" i="9" s="1"/>
  <c r="AZ82" i="9" s="1"/>
  <c r="BA78" i="9" l="1"/>
  <c r="BA80" i="9" s="1"/>
  <c r="BA82" i="9" s="1"/>
  <c r="BB78" i="9" l="1"/>
  <c r="BB80" i="9" s="1"/>
  <c r="BB82" i="9" s="1"/>
  <c r="BD78" i="9" l="1"/>
  <c r="BD80" i="9" s="1"/>
  <c r="BD82" i="9" s="1"/>
  <c r="BE80" i="9" l="1"/>
  <c r="BE82" i="9" s="1"/>
  <c r="BF78" i="9" l="1"/>
  <c r="BF80" i="9" s="1"/>
  <c r="BF82" i="9" s="1"/>
  <c r="BG78" i="9" l="1"/>
  <c r="BG80" i="9" s="1"/>
  <c r="BG82" i="9" s="1"/>
  <c r="BH78" i="9" l="1"/>
  <c r="BH80" i="9" s="1"/>
  <c r="BH82" i="9" s="1"/>
  <c r="BK17" i="9"/>
  <c r="BK30" i="9" s="1"/>
  <c r="BK133" i="6" l="1"/>
  <c r="BK49" i="9"/>
  <c r="BK102" i="9" s="1"/>
  <c r="BK54" i="9"/>
  <c r="BJ17" i="9"/>
  <c r="BJ18" i="9" s="1"/>
  <c r="BJ20" i="9" s="1"/>
  <c r="BK122" i="6" l="1"/>
  <c r="BJ122" i="6" s="1"/>
  <c r="BK114" i="6"/>
  <c r="BJ114" i="6" s="1"/>
  <c r="BK106" i="6"/>
  <c r="BJ106" i="6" s="1"/>
  <c r="BK125" i="6"/>
  <c r="BJ125" i="6" s="1"/>
  <c r="BK117" i="6"/>
  <c r="BJ117" i="6" s="1"/>
  <c r="BK109" i="6"/>
  <c r="BJ109" i="6" s="1"/>
  <c r="BK120" i="6"/>
  <c r="BJ120" i="6" s="1"/>
  <c r="BK110" i="6"/>
  <c r="BJ110" i="6" s="1"/>
  <c r="BK124" i="6"/>
  <c r="BJ124" i="6" s="1"/>
  <c r="BK113" i="6"/>
  <c r="BJ113" i="6" s="1"/>
  <c r="BK126" i="6"/>
  <c r="BJ126" i="6" s="1"/>
  <c r="BK111" i="6"/>
  <c r="BJ111" i="6" s="1"/>
  <c r="BK123" i="6"/>
  <c r="BJ123" i="6" s="1"/>
  <c r="BK108" i="6"/>
  <c r="BJ108" i="6" s="1"/>
  <c r="BK119" i="6"/>
  <c r="BJ119" i="6" s="1"/>
  <c r="BK116" i="6"/>
  <c r="BJ116" i="6" s="1"/>
  <c r="BK121" i="6"/>
  <c r="BJ121" i="6" s="1"/>
  <c r="BK107" i="6"/>
  <c r="BJ107" i="6" s="1"/>
  <c r="BK128" i="6"/>
  <c r="BJ128" i="6" s="1"/>
  <c r="BK115" i="6"/>
  <c r="BJ115" i="6" s="1"/>
  <c r="BK127" i="6"/>
  <c r="BJ127" i="6" s="1"/>
  <c r="BK112" i="6"/>
  <c r="BJ112" i="6" s="1"/>
  <c r="BK118" i="6"/>
  <c r="BJ118" i="6" s="1"/>
  <c r="BK129" i="6"/>
  <c r="BJ129" i="6" s="1"/>
  <c r="BK105" i="6"/>
  <c r="BJ105" i="6" s="1"/>
  <c r="BK103" i="6"/>
  <c r="BJ103" i="6" s="1"/>
  <c r="BK100" i="6"/>
  <c r="BJ100" i="6" s="1"/>
  <c r="BK98" i="6"/>
  <c r="BJ98" i="6" s="1"/>
  <c r="BK96" i="6"/>
  <c r="BJ96" i="6" s="1"/>
  <c r="BK94" i="6"/>
  <c r="BJ94" i="6" s="1"/>
  <c r="BK92" i="6"/>
  <c r="BJ92" i="6" s="1"/>
  <c r="BK90" i="6"/>
  <c r="BJ90" i="6" s="1"/>
  <c r="BK88" i="6"/>
  <c r="BJ88" i="6" s="1"/>
  <c r="BK87" i="6"/>
  <c r="BJ87" i="6" s="1"/>
  <c r="BK85" i="6"/>
  <c r="BJ85" i="6" s="1"/>
  <c r="BK99" i="6"/>
  <c r="BJ99" i="6" s="1"/>
  <c r="BK95" i="6"/>
  <c r="BJ95" i="6" s="1"/>
  <c r="BK93" i="6"/>
  <c r="BJ93" i="6" s="1"/>
  <c r="BK84" i="6"/>
  <c r="BK86" i="6"/>
  <c r="BJ86" i="6" s="1"/>
  <c r="BK104" i="6"/>
  <c r="BJ104" i="6" s="1"/>
  <c r="BK102" i="6"/>
  <c r="BJ102" i="6" s="1"/>
  <c r="BK101" i="6"/>
  <c r="BJ101" i="6" s="1"/>
  <c r="BK97" i="6"/>
  <c r="BJ97" i="6" s="1"/>
  <c r="BK91" i="6"/>
  <c r="BJ91" i="6" s="1"/>
  <c r="BK89" i="6"/>
  <c r="BJ89" i="6" s="1"/>
  <c r="BJ102" i="9"/>
  <c r="BK132" i="6" l="1"/>
  <c r="BJ84" i="6"/>
  <c r="BJ131" i="6" s="1"/>
  <c r="BK131" i="6"/>
  <c r="BK6" i="6" s="1"/>
  <c r="BK57" i="9"/>
  <c r="AP72" i="9" l="1"/>
  <c r="AP71" i="9" s="1"/>
  <c r="BK73" i="9"/>
  <c r="BJ157" i="6"/>
  <c r="BK31" i="9"/>
  <c r="BK101" i="9" s="1"/>
  <c r="BK104" i="9" s="1"/>
  <c r="BJ132" i="6"/>
  <c r="BJ154" i="6" s="1"/>
  <c r="BK50" i="9" s="1"/>
  <c r="BJ6" i="6"/>
  <c r="BK9" i="6"/>
  <c r="BK11" i="6"/>
  <c r="BK15" i="6"/>
  <c r="BJ15" i="6" s="1"/>
  <c r="BK14" i="6"/>
  <c r="BJ14" i="6" s="1"/>
  <c r="BK13" i="6"/>
  <c r="BJ13" i="6" s="1"/>
  <c r="BK12" i="6"/>
  <c r="BJ12" i="6" s="1"/>
  <c r="BK63" i="9"/>
  <c r="BD71" i="9" l="1"/>
  <c r="BD72" i="9" s="1"/>
  <c r="BD74" i="9" s="1"/>
  <c r="BH71" i="9"/>
  <c r="AP22" i="13"/>
  <c r="AP24" i="13" s="1"/>
  <c r="AP20" i="12" s="1"/>
  <c r="BJ101" i="9"/>
  <c r="BK103" i="9"/>
  <c r="BK18" i="6"/>
  <c r="BJ9" i="6"/>
  <c r="BJ11" i="6"/>
  <c r="BJ17" i="6" s="1"/>
  <c r="BK17" i="6"/>
  <c r="BL50" i="9"/>
  <c r="BK58" i="9"/>
  <c r="BJ73" i="9"/>
  <c r="BJ103" i="9" l="1"/>
  <c r="BJ104" i="9"/>
  <c r="AP15" i="14"/>
  <c r="BE72" i="9"/>
  <c r="BE74" i="9" s="1"/>
  <c r="BK75" i="6"/>
  <c r="BK95" i="9" s="1"/>
  <c r="BJ95" i="9" s="1"/>
  <c r="BJ18" i="6"/>
  <c r="BJ75" i="6" s="1"/>
  <c r="BJ156" i="6" s="1"/>
  <c r="BJ158" i="6" s="1"/>
  <c r="BJ159" i="6" s="1"/>
  <c r="BK51" i="9" s="1"/>
  <c r="BM50" i="9"/>
  <c r="BL58" i="9"/>
  <c r="BK96" i="9"/>
  <c r="BK64" i="9"/>
  <c r="BF70" i="9" l="1"/>
  <c r="BF72" i="9" s="1"/>
  <c r="BF74" i="9" s="1"/>
  <c r="BH15" i="14"/>
  <c r="BD15" i="14"/>
  <c r="BL51" i="9"/>
  <c r="BM51" i="9" s="1"/>
  <c r="BN51" i="9" s="1"/>
  <c r="BK59" i="9"/>
  <c r="BK60" i="9" s="1"/>
  <c r="BK86" i="9" s="1"/>
  <c r="BL96" i="9"/>
  <c r="BL64" i="9"/>
  <c r="BN50" i="9"/>
  <c r="BN58" i="9" s="1"/>
  <c r="BM58" i="9"/>
  <c r="BG70" i="9" l="1"/>
  <c r="BG72" i="9" s="1"/>
  <c r="BG74" i="9" s="1"/>
  <c r="BH70" i="9" s="1"/>
  <c r="BH72" i="9" s="1"/>
  <c r="BH74" i="9" s="1"/>
  <c r="BK97" i="9"/>
  <c r="BK98" i="9" s="1"/>
  <c r="BL14" i="10" s="1"/>
  <c r="BL59" i="9"/>
  <c r="BL97" i="9" s="1"/>
  <c r="BL98" i="9" s="1"/>
  <c r="BM14" i="10" s="1"/>
  <c r="BK61" i="9"/>
  <c r="BK65" i="9"/>
  <c r="BK66" i="9" s="1"/>
  <c r="BM96" i="9"/>
  <c r="BM64" i="9"/>
  <c r="BM59" i="9"/>
  <c r="BM60" i="9" s="1"/>
  <c r="BN64" i="9"/>
  <c r="BN96" i="9"/>
  <c r="BN59" i="9"/>
  <c r="BN60" i="9" s="1"/>
  <c r="BK70" i="9" l="1"/>
  <c r="BJ70" i="9" s="1"/>
  <c r="BL60" i="9"/>
  <c r="BL61" i="9" s="1"/>
  <c r="BJ96" i="9"/>
  <c r="BL65" i="9"/>
  <c r="BL66" i="9" s="1"/>
  <c r="BM86" i="9"/>
  <c r="BM61" i="9"/>
  <c r="BN61" i="9"/>
  <c r="BN86" i="9"/>
  <c r="BN97" i="9"/>
  <c r="BN98" i="9" s="1"/>
  <c r="BO14" i="10" s="1"/>
  <c r="BN65" i="9"/>
  <c r="BN66" i="9" s="1"/>
  <c r="BM97" i="9"/>
  <c r="BM98" i="9" s="1"/>
  <c r="BN14" i="10" s="1"/>
  <c r="BM65" i="9"/>
  <c r="BM66" i="9" s="1"/>
  <c r="BL86" i="9" l="1"/>
  <c r="BJ86" i="9" s="1"/>
  <c r="BJ97" i="9"/>
  <c r="BJ98" i="9" s="1"/>
  <c r="BK14" i="10"/>
  <c r="BL70" i="9" l="1"/>
  <c r="BN70" i="9"/>
  <c r="BK72" i="9"/>
  <c r="BK71" i="9" s="1"/>
  <c r="BM70" i="9" l="1"/>
  <c r="BL72" i="9"/>
  <c r="BL71" i="9" s="1"/>
  <c r="BM72" i="9" l="1"/>
  <c r="BM71" i="9" s="1"/>
  <c r="BN72" i="9" l="1"/>
  <c r="BN71" i="9" s="1"/>
  <c r="BJ71" i="9" s="1"/>
  <c r="BJ72" i="9" s="1"/>
  <c r="BJ74" i="9" s="1"/>
  <c r="BQ70" i="9"/>
  <c r="BP70" i="9" s="1"/>
  <c r="BR70" i="9" l="1"/>
  <c r="BQ72" i="9"/>
  <c r="BQ71" i="9" s="1"/>
  <c r="BT70" i="9"/>
  <c r="BR72" i="9" l="1"/>
  <c r="BR71" i="9" s="1"/>
  <c r="BS70" i="9"/>
  <c r="BS72" i="9" l="1"/>
  <c r="BS71" i="9" s="1"/>
  <c r="BT72" i="9" l="1"/>
  <c r="BT71" i="9" s="1"/>
  <c r="BP71" i="9" s="1"/>
  <c r="BP72" i="9" s="1"/>
  <c r="BP74" i="9" s="1"/>
  <c r="BW70" i="9"/>
  <c r="BV70" i="9" s="1"/>
  <c r="BW72" i="9" l="1"/>
  <c r="BW71" i="9" s="1"/>
  <c r="BX70" i="9"/>
  <c r="BZ70" i="9"/>
  <c r="BX72" i="9"/>
  <c r="BY70" i="9"/>
  <c r="BX71" i="9" l="1"/>
  <c r="BY72" i="9" l="1"/>
  <c r="BY71" i="9" s="1"/>
  <c r="BZ72" i="9" l="1"/>
  <c r="BZ71" i="9" s="1"/>
  <c r="BV71" i="9" s="1"/>
  <c r="BV72" i="9" s="1"/>
  <c r="BV74" i="9" s="1"/>
  <c r="AZ81" i="6"/>
  <c r="AZ131" i="6" s="1"/>
  <c r="U131" i="6"/>
  <c r="U6" i="6" s="1"/>
  <c r="AX132" i="6"/>
  <c r="AX81" i="6"/>
  <c r="AX131" i="6" s="1"/>
  <c r="AX157" i="6" l="1"/>
  <c r="AX154" i="6"/>
  <c r="U31" i="9"/>
  <c r="U101" i="9" s="1"/>
  <c r="U9" i="6"/>
  <c r="U15" i="6"/>
  <c r="U12" i="6"/>
  <c r="U14" i="6"/>
  <c r="U13" i="6"/>
  <c r="AX6" i="6"/>
  <c r="AZ6" i="6"/>
  <c r="U6" i="1"/>
  <c r="U11" i="6"/>
  <c r="U17" i="6" l="1"/>
  <c r="AX11" i="6"/>
  <c r="AZ11" i="6"/>
  <c r="U11" i="1"/>
  <c r="AX6" i="1"/>
  <c r="AZ6" i="1"/>
  <c r="U9" i="1"/>
  <c r="U18" i="6"/>
  <c r="U13" i="1"/>
  <c r="AX13" i="6"/>
  <c r="AZ13" i="6"/>
  <c r="AX12" i="6"/>
  <c r="AZ12" i="6"/>
  <c r="U12" i="1"/>
  <c r="S50" i="9"/>
  <c r="S58" i="9" s="1"/>
  <c r="T50" i="9"/>
  <c r="T58" i="9" s="1"/>
  <c r="R50" i="9"/>
  <c r="R58" i="9" s="1"/>
  <c r="U50" i="9"/>
  <c r="AZ9" i="6"/>
  <c r="AX9" i="6"/>
  <c r="AZ14" i="6"/>
  <c r="U14" i="1"/>
  <c r="AX14" i="6"/>
  <c r="AZ15" i="6"/>
  <c r="AX15" i="6"/>
  <c r="U15" i="1"/>
  <c r="U104" i="9"/>
  <c r="U103" i="9"/>
  <c r="AX101" i="9"/>
  <c r="AX103" i="9" s="1"/>
  <c r="AZ101" i="9"/>
  <c r="AZ103" i="9" s="1"/>
  <c r="U75" i="6" l="1"/>
  <c r="U81" i="1" s="1"/>
  <c r="AZ15" i="1"/>
  <c r="AX15" i="1"/>
  <c r="AX14" i="1"/>
  <c r="AZ14" i="1"/>
  <c r="U58" i="9"/>
  <c r="V50" i="9"/>
  <c r="T96" i="9"/>
  <c r="AX12" i="1"/>
  <c r="AZ12" i="1"/>
  <c r="AX17" i="6"/>
  <c r="AZ9" i="1"/>
  <c r="U18" i="1"/>
  <c r="U16" i="13" s="1"/>
  <c r="AX11" i="1"/>
  <c r="AZ11" i="1"/>
  <c r="U17" i="1"/>
  <c r="U21" i="12"/>
  <c r="R96" i="9"/>
  <c r="S96" i="9"/>
  <c r="AZ17" i="6"/>
  <c r="AX13" i="1"/>
  <c r="AZ13" i="1"/>
  <c r="AX9" i="1"/>
  <c r="U95" i="9" l="1"/>
  <c r="AZ95" i="9" s="1"/>
  <c r="AZ17" i="1"/>
  <c r="AZ18" i="1" s="1"/>
  <c r="AZ75" i="1" s="1"/>
  <c r="AX17" i="1"/>
  <c r="AX18" i="1" s="1"/>
  <c r="AX75" i="1" s="1"/>
  <c r="U75" i="1"/>
  <c r="U15" i="13" s="1"/>
  <c r="U20" i="13" s="1"/>
  <c r="U24" i="13" s="1"/>
  <c r="U20" i="12" s="1"/>
  <c r="U24" i="12" s="1"/>
  <c r="AZ81" i="1"/>
  <c r="AZ82" i="1" s="1"/>
  <c r="U82" i="1"/>
  <c r="AX81" i="1"/>
  <c r="AX82" i="1" s="1"/>
  <c r="V58" i="9"/>
  <c r="W50" i="9"/>
  <c r="AZ18" i="6"/>
  <c r="AZ75" i="6" s="1"/>
  <c r="U16" i="14"/>
  <c r="V21" i="12"/>
  <c r="U64" i="9"/>
  <c r="U96" i="9"/>
  <c r="AX18" i="6"/>
  <c r="AX75" i="6" s="1"/>
  <c r="AX156" i="6" s="1"/>
  <c r="AX158" i="6" s="1"/>
  <c r="AX159" i="6" s="1"/>
  <c r="AX95" i="9" l="1"/>
  <c r="U15" i="14"/>
  <c r="U83" i="1"/>
  <c r="V15" i="14"/>
  <c r="S51" i="9"/>
  <c r="S59" i="9" s="1"/>
  <c r="U51" i="9"/>
  <c r="R51" i="9"/>
  <c r="R59" i="9" s="1"/>
  <c r="T51" i="9"/>
  <c r="T59" i="9" s="1"/>
  <c r="W58" i="9"/>
  <c r="X50" i="9"/>
  <c r="AZ83" i="1"/>
  <c r="V64" i="9"/>
  <c r="V96" i="9"/>
  <c r="V24" i="12"/>
  <c r="V16" i="14"/>
  <c r="W21" i="12"/>
  <c r="AX83" i="1"/>
  <c r="AX15" i="14" l="1"/>
  <c r="AZ15" i="14"/>
  <c r="W24" i="12"/>
  <c r="W16" i="14"/>
  <c r="X21" i="12"/>
  <c r="X58" i="9"/>
  <c r="Y50" i="9"/>
  <c r="R97" i="9"/>
  <c r="R60" i="9"/>
  <c r="R86" i="9" s="1"/>
  <c r="S97" i="9"/>
  <c r="S98" i="9" s="1"/>
  <c r="S14" i="10" s="1"/>
  <c r="S15" i="10" s="1"/>
  <c r="S16" i="10" s="1"/>
  <c r="S25" i="10" s="1"/>
  <c r="S31" i="10" s="1"/>
  <c r="S33" i="10" s="1"/>
  <c r="S60" i="9"/>
  <c r="S86" i="9" s="1"/>
  <c r="W64" i="9"/>
  <c r="W96" i="9"/>
  <c r="T97" i="9"/>
  <c r="T98" i="9" s="1"/>
  <c r="T14" i="10" s="1"/>
  <c r="T15" i="10" s="1"/>
  <c r="T16" i="10" s="1"/>
  <c r="T25" i="10" s="1"/>
  <c r="T31" i="10" s="1"/>
  <c r="T33" i="10" s="1"/>
  <c r="T60" i="9"/>
  <c r="T86" i="9" s="1"/>
  <c r="V51" i="9"/>
  <c r="U59" i="9"/>
  <c r="W51" i="9" l="1"/>
  <c r="V59" i="9"/>
  <c r="U65" i="9"/>
  <c r="U66" i="9" s="1"/>
  <c r="U97" i="9"/>
  <c r="U60" i="9"/>
  <c r="S6" i="14"/>
  <c r="S10" i="14" s="1"/>
  <c r="AY95" i="9"/>
  <c r="R98" i="9"/>
  <c r="X64" i="9"/>
  <c r="X96" i="9"/>
  <c r="X24" i="12"/>
  <c r="X16" i="14"/>
  <c r="Y21" i="12"/>
  <c r="T6" i="14"/>
  <c r="T10" i="14" s="1"/>
  <c r="R87" i="9"/>
  <c r="R89" i="9" s="1"/>
  <c r="Y58" i="9"/>
  <c r="Z50" i="9"/>
  <c r="AZ96" i="9"/>
  <c r="AZ16" i="14"/>
  <c r="Z58" i="9" l="1"/>
  <c r="AA50" i="9"/>
  <c r="AY96" i="9"/>
  <c r="AY98" i="9" s="1"/>
  <c r="R14" i="10"/>
  <c r="U61" i="9"/>
  <c r="U86" i="9"/>
  <c r="X51" i="9"/>
  <c r="W59" i="9"/>
  <c r="Y96" i="9"/>
  <c r="Y64" i="9"/>
  <c r="S85" i="9"/>
  <c r="S87" i="9" s="1"/>
  <c r="S89" i="9" s="1"/>
  <c r="R92" i="9"/>
  <c r="R8" i="12" s="1"/>
  <c r="Y16" i="14"/>
  <c r="Y24" i="12"/>
  <c r="Z21" i="12"/>
  <c r="U98" i="9"/>
  <c r="U14" i="10" s="1"/>
  <c r="V97" i="9"/>
  <c r="V65" i="9"/>
  <c r="V66" i="9" s="1"/>
  <c r="V60" i="9"/>
  <c r="V61" i="9" l="1"/>
  <c r="V86" i="9"/>
  <c r="V98" i="9"/>
  <c r="V14" i="10" s="1"/>
  <c r="R13" i="14"/>
  <c r="Y51" i="9"/>
  <c r="X59" i="9"/>
  <c r="AY14" i="10"/>
  <c r="AY15" i="10" s="1"/>
  <c r="R15" i="10"/>
  <c r="R16" i="10" s="1"/>
  <c r="R25" i="10" s="1"/>
  <c r="R31" i="10" s="1"/>
  <c r="R33" i="10" s="1"/>
  <c r="AA58" i="9"/>
  <c r="AB50" i="9"/>
  <c r="U15" i="10"/>
  <c r="U16" i="10" s="1"/>
  <c r="U25" i="10" s="1"/>
  <c r="U31" i="10" s="1"/>
  <c r="U33" i="10" s="1"/>
  <c r="Z24" i="12"/>
  <c r="Z16" i="14"/>
  <c r="BA16" i="14" s="1"/>
  <c r="AA21" i="12"/>
  <c r="T85" i="9"/>
  <c r="T87" i="9" s="1"/>
  <c r="T89" i="9" s="1"/>
  <c r="S92" i="9"/>
  <c r="S8" i="12" s="1"/>
  <c r="W97" i="9"/>
  <c r="W98" i="9" s="1"/>
  <c r="W14" i="10" s="1"/>
  <c r="W65" i="9"/>
  <c r="W66" i="9" s="1"/>
  <c r="W60" i="9"/>
  <c r="Z96" i="9"/>
  <c r="Z64" i="9"/>
  <c r="AZ14" i="10" l="1"/>
  <c r="U6" i="14"/>
  <c r="AB58" i="9"/>
  <c r="AC50" i="9"/>
  <c r="AC58" i="9" s="1"/>
  <c r="R28" i="12"/>
  <c r="R6" i="14"/>
  <c r="Z51" i="9"/>
  <c r="Y59" i="9"/>
  <c r="AZ97" i="9"/>
  <c r="AZ98" i="9" s="1"/>
  <c r="BA96" i="9"/>
  <c r="W61" i="9"/>
  <c r="W86" i="9"/>
  <c r="U85" i="9"/>
  <c r="U87" i="9" s="1"/>
  <c r="U89" i="9" s="1"/>
  <c r="T92" i="9"/>
  <c r="T8" i="12" s="1"/>
  <c r="AA24" i="12"/>
  <c r="AA16" i="14"/>
  <c r="AB21" i="12"/>
  <c r="AA64" i="9"/>
  <c r="AA96" i="9"/>
  <c r="H5" i="3"/>
  <c r="E21" i="3" s="1"/>
  <c r="AY16" i="10"/>
  <c r="X65" i="9"/>
  <c r="X66" i="9" s="1"/>
  <c r="X97" i="9"/>
  <c r="X60" i="9"/>
  <c r="S13" i="14"/>
  <c r="S17" i="14" s="1"/>
  <c r="S30" i="14" s="1"/>
  <c r="X61" i="9" l="1"/>
  <c r="X86" i="9"/>
  <c r="AZ86" i="9"/>
  <c r="AZ87" i="9" s="1"/>
  <c r="AA51" i="9"/>
  <c r="Z59" i="9"/>
  <c r="R10" i="14"/>
  <c r="R17" i="14" s="1"/>
  <c r="R30" i="14" s="1"/>
  <c r="R32" i="14" s="1"/>
  <c r="S31" i="14" s="1"/>
  <c r="S32" i="14" s="1"/>
  <c r="T31" i="14" s="1"/>
  <c r="AY6" i="14"/>
  <c r="AY10" i="14" s="1"/>
  <c r="AC64" i="9"/>
  <c r="AC96" i="9"/>
  <c r="U10" i="14"/>
  <c r="X98" i="9"/>
  <c r="X14" i="10" s="1"/>
  <c r="AY25" i="10"/>
  <c r="AY31" i="10" s="1"/>
  <c r="AB24" i="12"/>
  <c r="AB16" i="14"/>
  <c r="AC21" i="12"/>
  <c r="V85" i="9"/>
  <c r="V87" i="9" s="1"/>
  <c r="U92" i="9"/>
  <c r="U8" i="12" s="1"/>
  <c r="U90" i="9"/>
  <c r="V82" i="11" s="1"/>
  <c r="T13" i="14"/>
  <c r="T17" i="14" s="1"/>
  <c r="T30" i="14" s="1"/>
  <c r="Y97" i="9"/>
  <c r="Y65" i="9"/>
  <c r="Y66" i="9" s="1"/>
  <c r="Y60" i="9"/>
  <c r="R29" i="12"/>
  <c r="R30" i="12" s="1"/>
  <c r="R17" i="12" s="1"/>
  <c r="R10" i="12" s="1"/>
  <c r="R6" i="12" s="1"/>
  <c r="R34" i="14" s="1"/>
  <c r="S28" i="12"/>
  <c r="AB64" i="9"/>
  <c r="AB96" i="9"/>
  <c r="R35" i="14" l="1"/>
  <c r="AY33" i="10"/>
  <c r="H6" i="3"/>
  <c r="F21" i="3" s="1"/>
  <c r="S29" i="12"/>
  <c r="S30" i="12" s="1"/>
  <c r="S17" i="12" s="1"/>
  <c r="S10" i="12" s="1"/>
  <c r="S6" i="12" s="1"/>
  <c r="S34" i="14" s="1"/>
  <c r="S35" i="14" s="1"/>
  <c r="T28" i="12"/>
  <c r="Y61" i="9"/>
  <c r="Y86" i="9"/>
  <c r="Y98" i="9"/>
  <c r="Y14" i="10" s="1"/>
  <c r="AC24" i="12"/>
  <c r="AC16" i="14"/>
  <c r="AX16" i="14" s="1"/>
  <c r="AE21" i="12"/>
  <c r="AB51" i="9"/>
  <c r="AA59" i="9"/>
  <c r="U13" i="14"/>
  <c r="V89" i="11"/>
  <c r="V90" i="11"/>
  <c r="V88" i="11"/>
  <c r="V91" i="11"/>
  <c r="V85" i="11"/>
  <c r="V84" i="11"/>
  <c r="V92" i="11"/>
  <c r="V86" i="11"/>
  <c r="V87" i="11"/>
  <c r="V83" i="11"/>
  <c r="AX96" i="9"/>
  <c r="T32" i="14"/>
  <c r="U31" i="14" s="1"/>
  <c r="Z65" i="9"/>
  <c r="Z66" i="9" s="1"/>
  <c r="Z97" i="9"/>
  <c r="Z98" i="9" s="1"/>
  <c r="Z14" i="10" s="1"/>
  <c r="Z60" i="9"/>
  <c r="AY13" i="14"/>
  <c r="AY17" i="14" s="1"/>
  <c r="AY30" i="14" s="1"/>
  <c r="AY32" i="14" s="1"/>
  <c r="AZ31" i="14" s="1"/>
  <c r="BB96" i="9"/>
  <c r="BA14" i="10" l="1"/>
  <c r="V94" i="11"/>
  <c r="AC51" i="9"/>
  <c r="AC59" i="9" s="1"/>
  <c r="AB59" i="9"/>
  <c r="BA97" i="9"/>
  <c r="BA98" i="9" s="1"/>
  <c r="Z61" i="9"/>
  <c r="Z86" i="9"/>
  <c r="U17" i="14"/>
  <c r="U30" i="14" s="1"/>
  <c r="U32" i="14" s="1"/>
  <c r="V31" i="14" s="1"/>
  <c r="AA65" i="9"/>
  <c r="AA66" i="9" s="1"/>
  <c r="AA97" i="9"/>
  <c r="AA60" i="9"/>
  <c r="AE24" i="12"/>
  <c r="AE16" i="14"/>
  <c r="AF21" i="12"/>
  <c r="T29" i="12"/>
  <c r="T30" i="12" s="1"/>
  <c r="T17" i="12" s="1"/>
  <c r="T10" i="12" s="1"/>
  <c r="T6" i="12" s="1"/>
  <c r="T34" i="14" s="1"/>
  <c r="U28" i="12"/>
  <c r="U29" i="12" s="1"/>
  <c r="U30" i="12" s="1"/>
  <c r="U17" i="12" s="1"/>
  <c r="U10" i="12" s="1"/>
  <c r="U6" i="12" s="1"/>
  <c r="U34" i="14" s="1"/>
  <c r="BB16" i="14"/>
  <c r="AY34" i="14" l="1"/>
  <c r="AY35" i="14" s="1"/>
  <c r="T35" i="14"/>
  <c r="AF16" i="14"/>
  <c r="AF24" i="12"/>
  <c r="AG21" i="12"/>
  <c r="AA98" i="9"/>
  <c r="AA14" i="10" s="1"/>
  <c r="BA86" i="9"/>
  <c r="AB65" i="9"/>
  <c r="AB66" i="9" s="1"/>
  <c r="AB97" i="9"/>
  <c r="AB98" i="9" s="1"/>
  <c r="AB14" i="10" s="1"/>
  <c r="AB60" i="9"/>
  <c r="V97" i="11"/>
  <c r="V88" i="9"/>
  <c r="V12" i="10"/>
  <c r="U35" i="14"/>
  <c r="AA61" i="9"/>
  <c r="AA86" i="9"/>
  <c r="AC97" i="9"/>
  <c r="AC65" i="9"/>
  <c r="AC66" i="9" s="1"/>
  <c r="AC60" i="9"/>
  <c r="AC61" i="9" l="1"/>
  <c r="AC86" i="9"/>
  <c r="AG24" i="12"/>
  <c r="AG16" i="14"/>
  <c r="AH21" i="12"/>
  <c r="AC98" i="9"/>
  <c r="AC14" i="10" s="1"/>
  <c r="AX14" i="10" s="1"/>
  <c r="AX97" i="9"/>
  <c r="AX98" i="9" s="1"/>
  <c r="V15" i="10"/>
  <c r="V16" i="10" s="1"/>
  <c r="V89" i="9"/>
  <c r="AB61" i="9"/>
  <c r="AB86" i="9"/>
  <c r="BB97" i="9"/>
  <c r="BB98" i="9" s="1"/>
  <c r="V25" i="10" l="1"/>
  <c r="V31" i="10" s="1"/>
  <c r="V33" i="10" s="1"/>
  <c r="V28" i="12" s="1"/>
  <c r="V29" i="12" s="1"/>
  <c r="V30" i="12" s="1"/>
  <c r="V17" i="12" s="1"/>
  <c r="V10" i="12" s="1"/>
  <c r="V17" i="10"/>
  <c r="BB86" i="9"/>
  <c r="AX86" i="9"/>
  <c r="AX87" i="9" s="1"/>
  <c r="AH24" i="12"/>
  <c r="AH16" i="14"/>
  <c r="AI21" i="12"/>
  <c r="W85" i="9"/>
  <c r="W87" i="9" s="1"/>
  <c r="V92" i="9"/>
  <c r="V8" i="12" s="1"/>
  <c r="V90" i="9"/>
  <c r="W82" i="11" s="1"/>
  <c r="BE16" i="14"/>
  <c r="BB14" i="10"/>
  <c r="V6" i="14" l="1"/>
  <c r="V10" i="14" s="1"/>
  <c r="V6" i="12"/>
  <c r="V34" i="14" s="1"/>
  <c r="V13" i="14"/>
  <c r="AI24" i="12"/>
  <c r="AI16" i="14"/>
  <c r="AJ21" i="12"/>
  <c r="W87" i="11"/>
  <c r="W84" i="11"/>
  <c r="W88" i="11"/>
  <c r="W85" i="11"/>
  <c r="W86" i="11"/>
  <c r="W92" i="11"/>
  <c r="W90" i="11"/>
  <c r="W91" i="11"/>
  <c r="W89" i="11"/>
  <c r="W83" i="11"/>
  <c r="V17" i="14" l="1"/>
  <c r="V30" i="14" s="1"/>
  <c r="V32" i="14" s="1"/>
  <c r="W31" i="14" s="1"/>
  <c r="AZ91" i="11"/>
  <c r="AZ92" i="11"/>
  <c r="AZ85" i="11"/>
  <c r="AZ84" i="11"/>
  <c r="W94" i="11"/>
  <c r="AZ83" i="11"/>
  <c r="AZ89" i="11"/>
  <c r="AZ90" i="11"/>
  <c r="AZ86" i="11"/>
  <c r="AZ88" i="11"/>
  <c r="AZ87" i="11"/>
  <c r="AJ16" i="14"/>
  <c r="BF16" i="14" s="1"/>
  <c r="AJ24" i="12"/>
  <c r="AK21" i="12"/>
  <c r="V35" i="14" l="1"/>
  <c r="AK24" i="12"/>
  <c r="AK16" i="14"/>
  <c r="AL21" i="12"/>
  <c r="AZ94" i="11"/>
  <c r="AZ97" i="11" s="1"/>
  <c r="W88" i="9"/>
  <c r="W97" i="11"/>
  <c r="W12" i="10"/>
  <c r="W15" i="10" l="1"/>
  <c r="W16" i="10" s="1"/>
  <c r="W25" i="10" s="1"/>
  <c r="W31" i="10" s="1"/>
  <c r="W33" i="10" s="1"/>
  <c r="AZ12" i="10"/>
  <c r="AZ15" i="10" s="1"/>
  <c r="AZ88" i="9"/>
  <c r="AZ89" i="9" s="1"/>
  <c r="W89" i="9"/>
  <c r="AL24" i="12"/>
  <c r="AL16" i="14"/>
  <c r="AM21" i="12"/>
  <c r="W6" i="14" l="1"/>
  <c r="W28" i="12"/>
  <c r="W29" i="12" s="1"/>
  <c r="W30" i="12" s="1"/>
  <c r="W17" i="12" s="1"/>
  <c r="W10" i="12" s="1"/>
  <c r="AM24" i="12"/>
  <c r="AM16" i="14"/>
  <c r="BG16" i="14" s="1"/>
  <c r="AN21" i="12"/>
  <c r="X85" i="9"/>
  <c r="X87" i="9" s="1"/>
  <c r="W92" i="9"/>
  <c r="W8" i="12" s="1"/>
  <c r="W90" i="9"/>
  <c r="X82" i="11" s="1"/>
  <c r="AZ92" i="9"/>
  <c r="AZ90" i="9"/>
  <c r="BA85" i="9"/>
  <c r="BA87" i="9" s="1"/>
  <c r="AZ16" i="10"/>
  <c r="AZ17" i="10" s="1"/>
  <c r="I5" i="3"/>
  <c r="E22" i="3" s="1"/>
  <c r="W6" i="12" l="1"/>
  <c r="W34" i="14" s="1"/>
  <c r="AZ34" i="14" s="1"/>
  <c r="W13" i="14"/>
  <c r="AN24" i="12"/>
  <c r="AN16" i="14"/>
  <c r="AO21" i="12"/>
  <c r="W10" i="14"/>
  <c r="W17" i="14" s="1"/>
  <c r="W30" i="14" s="1"/>
  <c r="W32" i="14" s="1"/>
  <c r="X31" i="14" s="1"/>
  <c r="AZ6" i="14"/>
  <c r="AZ10" i="14" s="1"/>
  <c r="AZ25" i="10"/>
  <c r="AZ31" i="10" s="1"/>
  <c r="X92" i="11"/>
  <c r="X90" i="11"/>
  <c r="X86" i="11"/>
  <c r="X84" i="11"/>
  <c r="X91" i="11"/>
  <c r="X88" i="11"/>
  <c r="X89" i="11"/>
  <c r="X85" i="11"/>
  <c r="X87" i="11"/>
  <c r="X83" i="11"/>
  <c r="AZ33" i="10" l="1"/>
  <c r="I6" i="3"/>
  <c r="F22" i="3" s="1"/>
  <c r="W35" i="14"/>
  <c r="X94" i="11"/>
  <c r="AO16" i="14"/>
  <c r="AO24" i="12"/>
  <c r="AP21" i="12"/>
  <c r="AZ13" i="14"/>
  <c r="AZ17" i="14" s="1"/>
  <c r="AZ30" i="14" s="1"/>
  <c r="AZ32" i="14" s="1"/>
  <c r="BA31" i="14" l="1"/>
  <c r="AZ35" i="14"/>
  <c r="X95" i="11"/>
  <c r="X97" i="11"/>
  <c r="X88" i="9"/>
  <c r="X12" i="10"/>
  <c r="AP16" i="14"/>
  <c r="AP24" i="12"/>
  <c r="AR21" i="12"/>
  <c r="BD16" i="14" l="1"/>
  <c r="BH16" i="14"/>
  <c r="X15" i="10"/>
  <c r="X16" i="10" s="1"/>
  <c r="BK16" i="14"/>
  <c r="AS21" i="12"/>
  <c r="X89" i="9"/>
  <c r="Y85" i="9" l="1"/>
  <c r="Y87" i="9" s="1"/>
  <c r="X92" i="9"/>
  <c r="X8" i="12" s="1"/>
  <c r="X90" i="9"/>
  <c r="Y82" i="11" s="1"/>
  <c r="X17" i="10"/>
  <c r="X25" i="10"/>
  <c r="X31" i="10" s="1"/>
  <c r="X33" i="10" s="1"/>
  <c r="BL16" i="14"/>
  <c r="AT21" i="12"/>
  <c r="BM16" i="14" l="1"/>
  <c r="AU21" i="12"/>
  <c r="X6" i="14"/>
  <c r="X28" i="12"/>
  <c r="X29" i="12" s="1"/>
  <c r="X30" i="12" s="1"/>
  <c r="X17" i="12" s="1"/>
  <c r="X10" i="12" s="1"/>
  <c r="X6" i="12" s="1"/>
  <c r="X34" i="14" s="1"/>
  <c r="X13" i="14"/>
  <c r="Y85" i="11"/>
  <c r="Y92" i="11"/>
  <c r="Y84" i="11"/>
  <c r="Y90" i="11"/>
  <c r="Y88" i="11"/>
  <c r="Y91" i="11"/>
  <c r="Y89" i="11"/>
  <c r="Y86" i="11"/>
  <c r="Y87" i="11"/>
  <c r="Y83" i="11"/>
  <c r="Y94" i="11" l="1"/>
  <c r="X10" i="14"/>
  <c r="X17" i="14" s="1"/>
  <c r="X30" i="14" s="1"/>
  <c r="X32" i="14" s="1"/>
  <c r="Y31" i="14" s="1"/>
  <c r="BN16" i="14"/>
  <c r="BJ16" i="14" s="1"/>
  <c r="AW21" i="12"/>
  <c r="X35" i="14" l="1"/>
  <c r="BQ16" i="14"/>
  <c r="AX21" i="12"/>
  <c r="Y95" i="11"/>
  <c r="Y88" i="9"/>
  <c r="Y97" i="11"/>
  <c r="Y12" i="10"/>
  <c r="Y15" i="10" l="1"/>
  <c r="Y16" i="10" s="1"/>
  <c r="Y89" i="9"/>
  <c r="BR16" i="14"/>
  <c r="AY21" i="12"/>
  <c r="Y17" i="10" l="1"/>
  <c r="Y25" i="10"/>
  <c r="Y31" i="10" s="1"/>
  <c r="Y33" i="10" s="1"/>
  <c r="BS16" i="14"/>
  <c r="AZ21" i="12"/>
  <c r="Z85" i="9"/>
  <c r="Z87" i="9" s="1"/>
  <c r="Y92" i="9"/>
  <c r="Y8" i="12" s="1"/>
  <c r="Y90" i="9"/>
  <c r="Z82" i="11" s="1"/>
  <c r="Z86" i="11" l="1"/>
  <c r="Z88" i="11"/>
  <c r="Z91" i="11"/>
  <c r="Z89" i="11"/>
  <c r="Z92" i="11"/>
  <c r="Z84" i="11"/>
  <c r="Z85" i="11"/>
  <c r="Z87" i="11"/>
  <c r="Z90" i="11"/>
  <c r="Z83" i="11"/>
  <c r="Y13" i="14"/>
  <c r="BT16" i="14"/>
  <c r="BP16" i="14" s="1"/>
  <c r="BB21" i="12"/>
  <c r="Y28" i="12"/>
  <c r="Y29" i="12" s="1"/>
  <c r="Y30" i="12" s="1"/>
  <c r="Y17" i="12" s="1"/>
  <c r="Y10" i="12" s="1"/>
  <c r="Y6" i="12" s="1"/>
  <c r="Y34" i="14" s="1"/>
  <c r="Y6" i="14"/>
  <c r="Y10" i="14" l="1"/>
  <c r="Y17" i="14" s="1"/>
  <c r="Y30" i="14" s="1"/>
  <c r="Y32" i="14" s="1"/>
  <c r="Z31" i="14" s="1"/>
  <c r="BC21" i="12"/>
  <c r="BW16" i="14"/>
  <c r="BA90" i="11"/>
  <c r="BA85" i="11"/>
  <c r="BA92" i="11"/>
  <c r="BA91" i="11"/>
  <c r="BA86" i="11"/>
  <c r="Z94" i="11"/>
  <c r="BA83" i="11"/>
  <c r="BA87" i="11"/>
  <c r="BA84" i="11"/>
  <c r="BA89" i="11"/>
  <c r="BA88" i="11"/>
  <c r="Y35" i="14" l="1"/>
  <c r="BA94" i="11"/>
  <c r="Z95" i="11"/>
  <c r="Z97" i="11"/>
  <c r="Z88" i="9"/>
  <c r="Z12" i="10"/>
  <c r="BX16" i="14"/>
  <c r="BD21" i="12"/>
  <c r="BA88" i="9" l="1"/>
  <c r="BA89" i="9" s="1"/>
  <c r="Z89" i="9"/>
  <c r="BY16" i="14"/>
  <c r="BE21" i="12"/>
  <c r="BZ16" i="14" s="1"/>
  <c r="Z15" i="10"/>
  <c r="Z16" i="10" s="1"/>
  <c r="BA12" i="10"/>
  <c r="BA15" i="10" s="1"/>
  <c r="BA95" i="11"/>
  <c r="BA82" i="11"/>
  <c r="BA97" i="11"/>
  <c r="Z17" i="10" l="1"/>
  <c r="Z25" i="10"/>
  <c r="Z31" i="10" s="1"/>
  <c r="Z33" i="10" s="1"/>
  <c r="BV16" i="14"/>
  <c r="BA90" i="9"/>
  <c r="BA92" i="9"/>
  <c r="BB85" i="9"/>
  <c r="BB87" i="9" s="1"/>
  <c r="J5" i="3"/>
  <c r="E23" i="3" s="1"/>
  <c r="BA16" i="10"/>
  <c r="AA85" i="9"/>
  <c r="AA87" i="9" s="1"/>
  <c r="Z92" i="9"/>
  <c r="Z8" i="12" s="1"/>
  <c r="Z90" i="9"/>
  <c r="AA82" i="11" s="1"/>
  <c r="Z13" i="14" l="1"/>
  <c r="BA13" i="14" s="1"/>
  <c r="BA17" i="10"/>
  <c r="BA25" i="10"/>
  <c r="BA31" i="10" s="1"/>
  <c r="Z6" i="14"/>
  <c r="Z28" i="12"/>
  <c r="Z29" i="12" s="1"/>
  <c r="Z30" i="12" s="1"/>
  <c r="Z17" i="12" s="1"/>
  <c r="Z10" i="12" s="1"/>
  <c r="Z6" i="12" s="1"/>
  <c r="Z34" i="14" s="1"/>
  <c r="AA88" i="11"/>
  <c r="AA84" i="11"/>
  <c r="AA89" i="11"/>
  <c r="AA87" i="11"/>
  <c r="AA91" i="11"/>
  <c r="AA90" i="11"/>
  <c r="AA85" i="11"/>
  <c r="AA92" i="11"/>
  <c r="AA86" i="11"/>
  <c r="AA83" i="11"/>
  <c r="BA33" i="10" l="1"/>
  <c r="J6" i="3"/>
  <c r="F23" i="3" s="1"/>
  <c r="BA34" i="14"/>
  <c r="AA94" i="11"/>
  <c r="Z10" i="14"/>
  <c r="Z17" i="14" s="1"/>
  <c r="Z30" i="14" s="1"/>
  <c r="Z32" i="14" s="1"/>
  <c r="AA31" i="14" s="1"/>
  <c r="BA6" i="14"/>
  <c r="BA10" i="14" s="1"/>
  <c r="BA17" i="14" s="1"/>
  <c r="BA30" i="14" s="1"/>
  <c r="BA32" i="14" s="1"/>
  <c r="BB31" i="14" s="1"/>
  <c r="AA95" i="11" l="1"/>
  <c r="AA97" i="11"/>
  <c r="AA88" i="9"/>
  <c r="AA12" i="10"/>
  <c r="BA35" i="14"/>
  <c r="Z35" i="14"/>
  <c r="AA89" i="9" l="1"/>
  <c r="AA15" i="10"/>
  <c r="AA16" i="10" s="1"/>
  <c r="AA17" i="10" l="1"/>
  <c r="AA25" i="10"/>
  <c r="AA31" i="10" s="1"/>
  <c r="AA33" i="10" s="1"/>
  <c r="AB85" i="9"/>
  <c r="AB87" i="9" s="1"/>
  <c r="AA92" i="9"/>
  <c r="AA8" i="12" s="1"/>
  <c r="AA90" i="9"/>
  <c r="AB82" i="11" s="1"/>
  <c r="AA13" i="14" l="1"/>
  <c r="AA6" i="14"/>
  <c r="AA28" i="12"/>
  <c r="AA29" i="12" s="1"/>
  <c r="AA30" i="12" s="1"/>
  <c r="AA17" i="12" s="1"/>
  <c r="AA10" i="12" s="1"/>
  <c r="AA6" i="12" s="1"/>
  <c r="AA34" i="14" s="1"/>
  <c r="AB90" i="11"/>
  <c r="AB89" i="11"/>
  <c r="AB92" i="11"/>
  <c r="AB88" i="11"/>
  <c r="AB87" i="11"/>
  <c r="AB85" i="11"/>
  <c r="AB86" i="11"/>
  <c r="AB91" i="11"/>
  <c r="AB84" i="11"/>
  <c r="AB83" i="11"/>
  <c r="AB94" i="11" l="1"/>
  <c r="AA10" i="14"/>
  <c r="AA17" i="14" s="1"/>
  <c r="AA30" i="14" s="1"/>
  <c r="AA32" i="14" s="1"/>
  <c r="AB31" i="14" s="1"/>
  <c r="AA35" i="14" l="1"/>
  <c r="AB95" i="11"/>
  <c r="AB97" i="11"/>
  <c r="AB88" i="9"/>
  <c r="AB12" i="10"/>
  <c r="AB15" i="10" l="1"/>
  <c r="AB16" i="10" s="1"/>
  <c r="AB89" i="9"/>
  <c r="AC85" i="9" l="1"/>
  <c r="AC87" i="9" s="1"/>
  <c r="AB92" i="9"/>
  <c r="AB8" i="12" s="1"/>
  <c r="AB90" i="9"/>
  <c r="AC82" i="11" s="1"/>
  <c r="AB17" i="10"/>
  <c r="AB25" i="10"/>
  <c r="AB31" i="10" s="1"/>
  <c r="AB33" i="10" s="1"/>
  <c r="AB13" i="14" l="1"/>
  <c r="AB6" i="14"/>
  <c r="AB28" i="12"/>
  <c r="AB29" i="12" s="1"/>
  <c r="AB30" i="12" s="1"/>
  <c r="AB17" i="12" s="1"/>
  <c r="AB10" i="12" s="1"/>
  <c r="AB6" i="12" s="1"/>
  <c r="AB34" i="14" s="1"/>
  <c r="AC92" i="11"/>
  <c r="AC90" i="11"/>
  <c r="AC85" i="11"/>
  <c r="AC87" i="11"/>
  <c r="AC89" i="11"/>
  <c r="AC91" i="11"/>
  <c r="AC86" i="11"/>
  <c r="AC88" i="11"/>
  <c r="AC84" i="11"/>
  <c r="AC83" i="11"/>
  <c r="AX88" i="11" l="1"/>
  <c r="BB88" i="11"/>
  <c r="AC94" i="11"/>
  <c r="AX83" i="11"/>
  <c r="BB83" i="11"/>
  <c r="AX91" i="11"/>
  <c r="BB91" i="11"/>
  <c r="AX87" i="11"/>
  <c r="BB87" i="11"/>
  <c r="AX90" i="11"/>
  <c r="BB90" i="11"/>
  <c r="AX84" i="11"/>
  <c r="BB84" i="11"/>
  <c r="AX86" i="11"/>
  <c r="BB86" i="11"/>
  <c r="AX89" i="11"/>
  <c r="BB89" i="11"/>
  <c r="AX85" i="11"/>
  <c r="BB85" i="11"/>
  <c r="AX92" i="11"/>
  <c r="BB92" i="11"/>
  <c r="AB10" i="14"/>
  <c r="AB17" i="14" s="1"/>
  <c r="AB30" i="14" s="1"/>
  <c r="AB32" i="14" s="1"/>
  <c r="AC31" i="14" s="1"/>
  <c r="AX94" i="11" l="1"/>
  <c r="BB94" i="11"/>
  <c r="AC95" i="11"/>
  <c r="AC88" i="9"/>
  <c r="AC97" i="11"/>
  <c r="AC12" i="10"/>
  <c r="AB35" i="14"/>
  <c r="AC15" i="10" l="1"/>
  <c r="AC16" i="10" s="1"/>
  <c r="AX12" i="10"/>
  <c r="AX15" i="10" s="1"/>
  <c r="BB12" i="10"/>
  <c r="BB15" i="10" s="1"/>
  <c r="AX88" i="9"/>
  <c r="AX89" i="9" s="1"/>
  <c r="BB88" i="9"/>
  <c r="BB89" i="9" s="1"/>
  <c r="AC89" i="9"/>
  <c r="BB97" i="11"/>
  <c r="BB82" i="11"/>
  <c r="BB95" i="11"/>
  <c r="AX82" i="11"/>
  <c r="AX97" i="11"/>
  <c r="AX95" i="11"/>
  <c r="AC92" i="9" l="1"/>
  <c r="AC8" i="12" s="1"/>
  <c r="AC90" i="9"/>
  <c r="AE82" i="11" s="1"/>
  <c r="AE85" i="9"/>
  <c r="AX90" i="9"/>
  <c r="AX92" i="9"/>
  <c r="AX16" i="10"/>
  <c r="G5" i="3"/>
  <c r="E11" i="3" s="1"/>
  <c r="BB92" i="9"/>
  <c r="BB90" i="9"/>
  <c r="BD85" i="9"/>
  <c r="BD87" i="9" s="1"/>
  <c r="K5" i="3"/>
  <c r="E24" i="3" s="1"/>
  <c r="BB16" i="10"/>
  <c r="AC17" i="10"/>
  <c r="AC25" i="10"/>
  <c r="AC31" i="10" s="1"/>
  <c r="AC33" i="10" s="1"/>
  <c r="AC6" i="14" l="1"/>
  <c r="AC28" i="12"/>
  <c r="AC29" i="12" s="1"/>
  <c r="AC30" i="12" s="1"/>
  <c r="AC17" i="12" s="1"/>
  <c r="AC10" i="12" s="1"/>
  <c r="AC6" i="12" s="1"/>
  <c r="AC34" i="14" s="1"/>
  <c r="BB25" i="10"/>
  <c r="BB31" i="10" s="1"/>
  <c r="BB17" i="10"/>
  <c r="AX17" i="10"/>
  <c r="AX25" i="10"/>
  <c r="AX31" i="10" s="1"/>
  <c r="AE86" i="11"/>
  <c r="AE92" i="11"/>
  <c r="AE87" i="11"/>
  <c r="AE85" i="11"/>
  <c r="AE91" i="11"/>
  <c r="AE89" i="11"/>
  <c r="AE90" i="11"/>
  <c r="AE88" i="11"/>
  <c r="AE84" i="11"/>
  <c r="AE83" i="11"/>
  <c r="AE87" i="9"/>
  <c r="BE85" i="9"/>
  <c r="BE87" i="9" s="1"/>
  <c r="AC13" i="14"/>
  <c r="G6" i="3" l="1"/>
  <c r="F11" i="3" s="1"/>
  <c r="BB33" i="10"/>
  <c r="K6" i="3"/>
  <c r="F24" i="3" s="1"/>
  <c r="AC10" i="14"/>
  <c r="AC17" i="14" s="1"/>
  <c r="AC30" i="14" s="1"/>
  <c r="AC32" i="14" s="1"/>
  <c r="AE31" i="14" s="1"/>
  <c r="AX6" i="14"/>
  <c r="AX10" i="14" s="1"/>
  <c r="BB6" i="14"/>
  <c r="BB10" i="14" s="1"/>
  <c r="AX13" i="14"/>
  <c r="BB13" i="14"/>
  <c r="AE94" i="11"/>
  <c r="AX33" i="10"/>
  <c r="AX34" i="14"/>
  <c r="BB34" i="14"/>
  <c r="AC35" i="14" l="1"/>
  <c r="AX17" i="14"/>
  <c r="AX30" i="14" s="1"/>
  <c r="AX32" i="14" s="1"/>
  <c r="AX35" i="14" s="1"/>
  <c r="AE95" i="11"/>
  <c r="AE97" i="11"/>
  <c r="AE88" i="9"/>
  <c r="AE12" i="10"/>
  <c r="BB17" i="14"/>
  <c r="BB30" i="14" s="1"/>
  <c r="BB32" i="14" s="1"/>
  <c r="BD31" i="14" s="1"/>
  <c r="AE89" i="9" l="1"/>
  <c r="BE31" i="14"/>
  <c r="AE15" i="10"/>
  <c r="AE16" i="10" s="1"/>
  <c r="BB35" i="14"/>
  <c r="AE92" i="9" l="1"/>
  <c r="AE8" i="12" s="1"/>
  <c r="AE90" i="9"/>
  <c r="AF82" i="11" s="1"/>
  <c r="AF85" i="9"/>
  <c r="AF87" i="9" s="1"/>
  <c r="AE17" i="10"/>
  <c r="AE25" i="10"/>
  <c r="AE31" i="10" s="1"/>
  <c r="AE33" i="10" s="1"/>
  <c r="AE28" i="12" l="1"/>
  <c r="AE29" i="12" s="1"/>
  <c r="AE30" i="12" s="1"/>
  <c r="AE17" i="12" s="1"/>
  <c r="AE10" i="12" s="1"/>
  <c r="AE6" i="12" s="1"/>
  <c r="AE34" i="14" s="1"/>
  <c r="AE6" i="14"/>
  <c r="AE13" i="14"/>
  <c r="AF91" i="11"/>
  <c r="AF92" i="11"/>
  <c r="AF90" i="11"/>
  <c r="AF87" i="11"/>
  <c r="AF85" i="11"/>
  <c r="AF89" i="11"/>
  <c r="AF84" i="11"/>
  <c r="AF88" i="11"/>
  <c r="AF86" i="11"/>
  <c r="AF83" i="11"/>
  <c r="AF94" i="11" l="1"/>
  <c r="AE10" i="14"/>
  <c r="AE17" i="14" s="1"/>
  <c r="AE30" i="14" s="1"/>
  <c r="AE32" i="14" s="1"/>
  <c r="AF31" i="14" s="1"/>
  <c r="AE35" i="14" l="1"/>
  <c r="AF95" i="11"/>
  <c r="AF97" i="11"/>
  <c r="AF88" i="9"/>
  <c r="AF12" i="10"/>
  <c r="AF89" i="9" l="1"/>
  <c r="AF15" i="10"/>
  <c r="AF16" i="10" s="1"/>
  <c r="AF92" i="9" l="1"/>
  <c r="AF8" i="12" s="1"/>
  <c r="AF90" i="9"/>
  <c r="AG82" i="11" s="1"/>
  <c r="AG85" i="9"/>
  <c r="AG87" i="9" s="1"/>
  <c r="AF17" i="10"/>
  <c r="AF25" i="10"/>
  <c r="AF31" i="10" s="1"/>
  <c r="AF33" i="10" s="1"/>
  <c r="AF28" i="12" l="1"/>
  <c r="AF29" i="12" s="1"/>
  <c r="AF30" i="12" s="1"/>
  <c r="AF17" i="12" s="1"/>
  <c r="AF10" i="12" s="1"/>
  <c r="AF6" i="12" s="1"/>
  <c r="AF34" i="14" s="1"/>
  <c r="AF6" i="14"/>
  <c r="AF13" i="14"/>
  <c r="AG89" i="11"/>
  <c r="AG91" i="11"/>
  <c r="AG87" i="11"/>
  <c r="AG92" i="11"/>
  <c r="AG90" i="11"/>
  <c r="AG86" i="11"/>
  <c r="AG88" i="11"/>
  <c r="AG84" i="11"/>
  <c r="AG85" i="11"/>
  <c r="AG83" i="11"/>
  <c r="BE84" i="11" l="1"/>
  <c r="BE86" i="11"/>
  <c r="BE92" i="11"/>
  <c r="BE91" i="11"/>
  <c r="BE85" i="11"/>
  <c r="BE88" i="11"/>
  <c r="BE90" i="11"/>
  <c r="BE87" i="11"/>
  <c r="BE89" i="11"/>
  <c r="AF10" i="14"/>
  <c r="AF17" i="14" s="1"/>
  <c r="AF30" i="14" s="1"/>
  <c r="AF32" i="14" s="1"/>
  <c r="AG31" i="14" s="1"/>
  <c r="AG94" i="11"/>
  <c r="BE83" i="11"/>
  <c r="AF35" i="14" l="1"/>
  <c r="BE94" i="11"/>
  <c r="AG88" i="9"/>
  <c r="AG95" i="11"/>
  <c r="AG97" i="11"/>
  <c r="AG12" i="10"/>
  <c r="BE88" i="9" l="1"/>
  <c r="BE89" i="9" s="1"/>
  <c r="AG89" i="9"/>
  <c r="BE82" i="11"/>
  <c r="BE97" i="11"/>
  <c r="BE95" i="11"/>
  <c r="AG15" i="10"/>
  <c r="AG16" i="10" s="1"/>
  <c r="BE12" i="10"/>
  <c r="BE15" i="10" s="1"/>
  <c r="M5" i="3" l="1"/>
  <c r="E25" i="3" s="1"/>
  <c r="BE16" i="10"/>
  <c r="AG17" i="10"/>
  <c r="AG25" i="10"/>
  <c r="AG31" i="10" s="1"/>
  <c r="AG33" i="10" s="1"/>
  <c r="AG90" i="9"/>
  <c r="AH82" i="11" s="1"/>
  <c r="AG92" i="9"/>
  <c r="AG8" i="12" s="1"/>
  <c r="AH85" i="9"/>
  <c r="AH87" i="9" s="1"/>
  <c r="BE90" i="9"/>
  <c r="BE92" i="9"/>
  <c r="BF85" i="9"/>
  <c r="BF87" i="9" s="1"/>
  <c r="AH90" i="11" l="1"/>
  <c r="AH87" i="11"/>
  <c r="AH92" i="11"/>
  <c r="AH91" i="11"/>
  <c r="AH89" i="11"/>
  <c r="AH85" i="11"/>
  <c r="AH88" i="11"/>
  <c r="AH86" i="11"/>
  <c r="AH84" i="11"/>
  <c r="AH83" i="11"/>
  <c r="AG13" i="14"/>
  <c r="AG6" i="14"/>
  <c r="AG28" i="12"/>
  <c r="AG29" i="12" s="1"/>
  <c r="AG30" i="12" s="1"/>
  <c r="AG17" i="12" s="1"/>
  <c r="AG10" i="12" s="1"/>
  <c r="AG6" i="12" s="1"/>
  <c r="AG34" i="14" s="1"/>
  <c r="BE17" i="10"/>
  <c r="BE25" i="10"/>
  <c r="BE31" i="10" s="1"/>
  <c r="BE33" i="10" l="1"/>
  <c r="M6" i="3"/>
  <c r="F25" i="3" s="1"/>
  <c r="BE13" i="14"/>
  <c r="AG10" i="14"/>
  <c r="AG17" i="14" s="1"/>
  <c r="AG30" i="14" s="1"/>
  <c r="AG32" i="14" s="1"/>
  <c r="AH31" i="14" s="1"/>
  <c r="BE6" i="14"/>
  <c r="BE10" i="14" s="1"/>
  <c r="AH94" i="11"/>
  <c r="BE34" i="14"/>
  <c r="BE17" i="14" l="1"/>
  <c r="BE30" i="14" s="1"/>
  <c r="BE32" i="14" s="1"/>
  <c r="BF31" i="14" s="1"/>
  <c r="AG35" i="14"/>
  <c r="AH95" i="11"/>
  <c r="AH88" i="9"/>
  <c r="AH97" i="11"/>
  <c r="AH12" i="10"/>
  <c r="BE35" i="14" l="1"/>
  <c r="AH15" i="10"/>
  <c r="AH16" i="10" s="1"/>
  <c r="AH89" i="9"/>
  <c r="AH92" i="9" l="1"/>
  <c r="AH8" i="12" s="1"/>
  <c r="AH90" i="9"/>
  <c r="AI82" i="11" s="1"/>
  <c r="AI85" i="9"/>
  <c r="AI87" i="9" s="1"/>
  <c r="AH17" i="10"/>
  <c r="AH25" i="10"/>
  <c r="AH31" i="10" s="1"/>
  <c r="AH33" i="10" s="1"/>
  <c r="AH28" i="12" l="1"/>
  <c r="AH29" i="12" s="1"/>
  <c r="AH30" i="12" s="1"/>
  <c r="AH17" i="12" s="1"/>
  <c r="AH10" i="12" s="1"/>
  <c r="AH6" i="12" s="1"/>
  <c r="AH34" i="14" s="1"/>
  <c r="AH6" i="14"/>
  <c r="AH13" i="14"/>
  <c r="AI85" i="11"/>
  <c r="AI88" i="11"/>
  <c r="AI92" i="11"/>
  <c r="AI87" i="11"/>
  <c r="AI84" i="11"/>
  <c r="AI91" i="11"/>
  <c r="AI90" i="11"/>
  <c r="AI89" i="11"/>
  <c r="AI86" i="11"/>
  <c r="AI83" i="11"/>
  <c r="AI94" i="11" l="1"/>
  <c r="AH10" i="14"/>
  <c r="AH17" i="14" s="1"/>
  <c r="AH30" i="14" s="1"/>
  <c r="AH32" i="14" s="1"/>
  <c r="AI31" i="14" s="1"/>
  <c r="AH35" i="14" l="1"/>
  <c r="AI95" i="11"/>
  <c r="AI97" i="11"/>
  <c r="AI88" i="9"/>
  <c r="AI12" i="10"/>
  <c r="AI15" i="10" l="1"/>
  <c r="AI16" i="10" s="1"/>
  <c r="AI89" i="9"/>
  <c r="AI92" i="9" l="1"/>
  <c r="AI8" i="12" s="1"/>
  <c r="AI90" i="9"/>
  <c r="AJ82" i="11" s="1"/>
  <c r="AJ85" i="9"/>
  <c r="AJ87" i="9" s="1"/>
  <c r="AI17" i="10"/>
  <c r="AI25" i="10"/>
  <c r="AI31" i="10" s="1"/>
  <c r="AI33" i="10" s="1"/>
  <c r="AJ84" i="11" l="1"/>
  <c r="BF84" i="11" s="1"/>
  <c r="AJ88" i="11"/>
  <c r="BF88" i="11" s="1"/>
  <c r="AJ90" i="11"/>
  <c r="BF90" i="11" s="1"/>
  <c r="AJ92" i="11"/>
  <c r="BF92" i="11" s="1"/>
  <c r="AJ87" i="11"/>
  <c r="BF87" i="11" s="1"/>
  <c r="AJ86" i="11"/>
  <c r="BF86" i="11" s="1"/>
  <c r="AJ85" i="11"/>
  <c r="BF85" i="11" s="1"/>
  <c r="AJ91" i="11"/>
  <c r="BF91" i="11" s="1"/>
  <c r="AJ89" i="11"/>
  <c r="BF89" i="11" s="1"/>
  <c r="AJ83" i="11"/>
  <c r="AI6" i="14"/>
  <c r="AI28" i="12"/>
  <c r="AI29" i="12" s="1"/>
  <c r="AI30" i="12" s="1"/>
  <c r="AI17" i="12" s="1"/>
  <c r="AI10" i="12" s="1"/>
  <c r="AI6" i="12" s="1"/>
  <c r="AI34" i="14" s="1"/>
  <c r="AI13" i="14"/>
  <c r="AJ94" i="11" l="1"/>
  <c r="BF83" i="11"/>
  <c r="BF94" i="11" s="1"/>
  <c r="AI10" i="14"/>
  <c r="AI17" i="14" s="1"/>
  <c r="AI30" i="14" s="1"/>
  <c r="AI32" i="14" s="1"/>
  <c r="AJ31" i="14" s="1"/>
  <c r="AJ88" i="9" l="1"/>
  <c r="AJ97" i="11"/>
  <c r="AJ95" i="11"/>
  <c r="AJ12" i="10"/>
  <c r="BF97" i="11"/>
  <c r="BF82" i="11"/>
  <c r="BF95" i="11"/>
  <c r="AI35" i="14"/>
  <c r="BF88" i="9" l="1"/>
  <c r="BF89" i="9" s="1"/>
  <c r="AJ89" i="9"/>
  <c r="AJ15" i="10"/>
  <c r="AJ16" i="10" s="1"/>
  <c r="BF12" i="10"/>
  <c r="BF15" i="10" s="1"/>
  <c r="N5" i="3" l="1"/>
  <c r="E26" i="3" s="1"/>
  <c r="BF16" i="10"/>
  <c r="AJ92" i="9"/>
  <c r="AJ8" i="12" s="1"/>
  <c r="AJ90" i="9"/>
  <c r="AK82" i="11" s="1"/>
  <c r="AK85" i="9"/>
  <c r="AK87" i="9" s="1"/>
  <c r="AJ17" i="10"/>
  <c r="AJ25" i="10"/>
  <c r="AJ31" i="10" s="1"/>
  <c r="AJ33" i="10" s="1"/>
  <c r="BF90" i="9"/>
  <c r="BF92" i="9"/>
  <c r="BG85" i="9"/>
  <c r="BG87" i="9" s="1"/>
  <c r="AK88" i="11" l="1"/>
  <c r="AK92" i="11"/>
  <c r="AK91" i="11"/>
  <c r="AK86" i="11"/>
  <c r="AK89" i="11"/>
  <c r="AK90" i="11"/>
  <c r="AK87" i="11"/>
  <c r="AK84" i="11"/>
  <c r="AK85" i="11"/>
  <c r="AK83" i="11"/>
  <c r="BF17" i="10"/>
  <c r="BF25" i="10"/>
  <c r="BF31" i="10" s="1"/>
  <c r="AJ6" i="14"/>
  <c r="AJ28" i="12"/>
  <c r="AJ29" i="12" s="1"/>
  <c r="AJ30" i="12" s="1"/>
  <c r="AJ17" i="12" s="1"/>
  <c r="AJ10" i="12" s="1"/>
  <c r="AJ6" i="12" s="1"/>
  <c r="AJ34" i="14" s="1"/>
  <c r="AJ13" i="14"/>
  <c r="BF13" i="14" s="1"/>
  <c r="BF33" i="10" l="1"/>
  <c r="N6" i="3"/>
  <c r="F26" i="3" s="1"/>
  <c r="BF34" i="14"/>
  <c r="AJ10" i="14"/>
  <c r="AJ17" i="14" s="1"/>
  <c r="AJ30" i="14" s="1"/>
  <c r="AJ32" i="14" s="1"/>
  <c r="AK31" i="14" s="1"/>
  <c r="BF6" i="14"/>
  <c r="BF10" i="14" s="1"/>
  <c r="BF17" i="14" s="1"/>
  <c r="BF30" i="14" s="1"/>
  <c r="BF32" i="14" s="1"/>
  <c r="BG31" i="14" s="1"/>
  <c r="AK94" i="11"/>
  <c r="AJ35" i="14" l="1"/>
  <c r="AK97" i="11"/>
  <c r="AK95" i="11"/>
  <c r="AK88" i="9"/>
  <c r="AK12" i="10"/>
  <c r="BF35" i="14"/>
  <c r="AK15" i="10" l="1"/>
  <c r="AK16" i="10" s="1"/>
  <c r="AK89" i="9"/>
  <c r="AK92" i="9" l="1"/>
  <c r="AK8" i="12" s="1"/>
  <c r="AK90" i="9"/>
  <c r="AL82" i="11" s="1"/>
  <c r="AL85" i="9"/>
  <c r="AL87" i="9" s="1"/>
  <c r="AK17" i="10"/>
  <c r="AK25" i="10"/>
  <c r="AK31" i="10" s="1"/>
  <c r="AK33" i="10" s="1"/>
  <c r="AL90" i="11" l="1"/>
  <c r="AL92" i="11"/>
  <c r="AL89" i="11"/>
  <c r="AL86" i="11"/>
  <c r="AL87" i="11"/>
  <c r="AL91" i="11"/>
  <c r="AL85" i="11"/>
  <c r="AL84" i="11"/>
  <c r="AL88" i="11"/>
  <c r="AL83" i="11"/>
  <c r="AK28" i="12"/>
  <c r="AK29" i="12" s="1"/>
  <c r="AK30" i="12" s="1"/>
  <c r="AK17" i="12" s="1"/>
  <c r="AK10" i="12" s="1"/>
  <c r="AK6" i="12" s="1"/>
  <c r="AK34" i="14" s="1"/>
  <c r="AK6" i="14"/>
  <c r="AK13" i="14"/>
  <c r="AK10" i="14" l="1"/>
  <c r="AK17" i="14" s="1"/>
  <c r="AK30" i="14" s="1"/>
  <c r="AK32" i="14" s="1"/>
  <c r="AL31" i="14" s="1"/>
  <c r="AL94" i="11"/>
  <c r="AK35" i="14" l="1"/>
  <c r="AL97" i="11"/>
  <c r="AL88" i="9"/>
  <c r="AL95" i="11"/>
  <c r="AL12" i="10"/>
  <c r="AL15" i="10" l="1"/>
  <c r="AL16" i="10" s="1"/>
  <c r="AL89" i="9"/>
  <c r="AL92" i="9" l="1"/>
  <c r="AL8" i="12" s="1"/>
  <c r="AL90" i="9"/>
  <c r="AM82" i="11" s="1"/>
  <c r="AM85" i="9"/>
  <c r="AM87" i="9" s="1"/>
  <c r="AL17" i="10"/>
  <c r="AL25" i="10"/>
  <c r="AL31" i="10" s="1"/>
  <c r="AL33" i="10" s="1"/>
  <c r="AM84" i="11" l="1"/>
  <c r="BG84" i="11" s="1"/>
  <c r="AM90" i="11"/>
  <c r="BG90" i="11" s="1"/>
  <c r="AM92" i="11"/>
  <c r="BG92" i="11" s="1"/>
  <c r="AM87" i="11"/>
  <c r="BG87" i="11" s="1"/>
  <c r="AM86" i="11"/>
  <c r="BG86" i="11" s="1"/>
  <c r="AM88" i="11"/>
  <c r="BG88" i="11" s="1"/>
  <c r="AM85" i="11"/>
  <c r="BG85" i="11" s="1"/>
  <c r="AM91" i="11"/>
  <c r="BG91" i="11" s="1"/>
  <c r="AM89" i="11"/>
  <c r="BG89" i="11" s="1"/>
  <c r="AM83" i="11"/>
  <c r="AL6" i="14"/>
  <c r="AL28" i="12"/>
  <c r="AL29" i="12" s="1"/>
  <c r="AL30" i="12" s="1"/>
  <c r="AL17" i="12" s="1"/>
  <c r="AL10" i="12" s="1"/>
  <c r="AL6" i="12" s="1"/>
  <c r="AL34" i="14" s="1"/>
  <c r="AL13" i="14"/>
  <c r="AM94" i="11" l="1"/>
  <c r="BG83" i="11"/>
  <c r="BG94" i="11" s="1"/>
  <c r="AL10" i="14"/>
  <c r="AL17" i="14" s="1"/>
  <c r="AL30" i="14" s="1"/>
  <c r="AL32" i="14" s="1"/>
  <c r="AM31" i="14" s="1"/>
  <c r="AL35" i="14" l="1"/>
  <c r="AM95" i="11"/>
  <c r="AM88" i="9"/>
  <c r="AM97" i="11"/>
  <c r="AM12" i="10"/>
  <c r="BG97" i="11"/>
  <c r="BG95" i="11"/>
  <c r="BG82" i="11"/>
  <c r="AM15" i="10" l="1"/>
  <c r="AM16" i="10" s="1"/>
  <c r="BG12" i="10"/>
  <c r="BG15" i="10" s="1"/>
  <c r="BG88" i="9"/>
  <c r="BG89" i="9" s="1"/>
  <c r="AM89" i="9"/>
  <c r="BG92" i="9" l="1"/>
  <c r="BG90" i="9"/>
  <c r="BH85" i="9"/>
  <c r="BH87" i="9" s="1"/>
  <c r="AM25" i="10"/>
  <c r="AM31" i="10" s="1"/>
  <c r="AM33" i="10" s="1"/>
  <c r="AM17" i="10"/>
  <c r="AM92" i="9"/>
  <c r="AM8" i="12" s="1"/>
  <c r="AM90" i="9"/>
  <c r="AN82" i="11" s="1"/>
  <c r="AN85" i="9"/>
  <c r="AN87" i="9" s="1"/>
  <c r="O5" i="3"/>
  <c r="E27" i="3" s="1"/>
  <c r="BG16" i="10"/>
  <c r="BG17" i="10" l="1"/>
  <c r="BG25" i="10"/>
  <c r="BG31" i="10" s="1"/>
  <c r="AM13" i="14"/>
  <c r="BG13" i="14" s="1"/>
  <c r="AM6" i="14"/>
  <c r="AM28" i="12"/>
  <c r="AM29" i="12" s="1"/>
  <c r="AM30" i="12" s="1"/>
  <c r="AM17" i="12" s="1"/>
  <c r="AM10" i="12" s="1"/>
  <c r="AM6" i="12" s="1"/>
  <c r="AM34" i="14" s="1"/>
  <c r="AN91" i="11"/>
  <c r="AN89" i="11"/>
  <c r="AN87" i="11"/>
  <c r="AN85" i="11"/>
  <c r="AN92" i="11"/>
  <c r="AN88" i="11"/>
  <c r="AN84" i="11"/>
  <c r="AN90" i="11"/>
  <c r="AN86" i="11"/>
  <c r="AN83" i="11"/>
  <c r="BG33" i="10" l="1"/>
  <c r="O6" i="3"/>
  <c r="F27" i="3" s="1"/>
  <c r="AN94" i="11"/>
  <c r="AM10" i="14"/>
  <c r="AM17" i="14" s="1"/>
  <c r="AM30" i="14" s="1"/>
  <c r="AM32" i="14" s="1"/>
  <c r="AN31" i="14" s="1"/>
  <c r="BG6" i="14"/>
  <c r="BG10" i="14" s="1"/>
  <c r="BG17" i="14" s="1"/>
  <c r="BG30" i="14" s="1"/>
  <c r="BG32" i="14" s="1"/>
  <c r="BH31" i="14" s="1"/>
  <c r="BG34" i="14"/>
  <c r="BG35" i="14" l="1"/>
  <c r="AN95" i="11"/>
  <c r="AN97" i="11"/>
  <c r="AN88" i="9"/>
  <c r="AN12" i="10"/>
  <c r="AM35" i="14"/>
  <c r="AN15" i="10" l="1"/>
  <c r="AN16" i="10" s="1"/>
  <c r="AN89" i="9"/>
  <c r="AO85" i="9" l="1"/>
  <c r="AO87" i="9" s="1"/>
  <c r="AN92" i="9"/>
  <c r="AN8" i="12" s="1"/>
  <c r="AN90" i="9"/>
  <c r="AO82" i="11" s="1"/>
  <c r="AN17" i="10"/>
  <c r="AN25" i="10"/>
  <c r="AN31" i="10" s="1"/>
  <c r="AN33" i="10" s="1"/>
  <c r="AN13" i="14" l="1"/>
  <c r="AN6" i="14"/>
  <c r="AN28" i="12"/>
  <c r="AN29" i="12" s="1"/>
  <c r="AN30" i="12" s="1"/>
  <c r="AN17" i="12" s="1"/>
  <c r="AN10" i="12" s="1"/>
  <c r="AN6" i="12" s="1"/>
  <c r="AN34" i="14" s="1"/>
  <c r="AO85" i="11"/>
  <c r="AO90" i="11"/>
  <c r="AO92" i="11"/>
  <c r="AO87" i="11"/>
  <c r="AO91" i="11"/>
  <c r="AO84" i="11"/>
  <c r="AO89" i="11"/>
  <c r="AO88" i="11"/>
  <c r="AO86" i="11"/>
  <c r="AO83" i="11"/>
  <c r="AO94" i="11" l="1"/>
  <c r="AN10" i="14"/>
  <c r="AN17" i="14" s="1"/>
  <c r="AN30" i="14" s="1"/>
  <c r="AN32" i="14" s="1"/>
  <c r="AO31" i="14" s="1"/>
  <c r="AO95" i="11" l="1"/>
  <c r="AO88" i="9"/>
  <c r="AO97" i="11"/>
  <c r="AO12" i="10"/>
  <c r="AN35" i="14"/>
  <c r="AO15" i="10" l="1"/>
  <c r="AO16" i="10" s="1"/>
  <c r="AO89" i="9"/>
  <c r="AO17" i="10" l="1"/>
  <c r="AO25" i="10"/>
  <c r="AO31" i="10" s="1"/>
  <c r="AO33" i="10" s="1"/>
  <c r="AO92" i="9"/>
  <c r="AO8" i="12" s="1"/>
  <c r="AO90" i="9"/>
  <c r="AP82" i="11" s="1"/>
  <c r="AP85" i="9"/>
  <c r="AP87" i="9" s="1"/>
  <c r="AO13" i="14" l="1"/>
  <c r="AP92" i="11"/>
  <c r="AP89" i="11"/>
  <c r="AP85" i="11"/>
  <c r="AP86" i="11"/>
  <c r="AP88" i="11"/>
  <c r="AP87" i="11"/>
  <c r="AP91" i="11"/>
  <c r="AP90" i="11"/>
  <c r="AP84" i="11"/>
  <c r="AP83" i="11"/>
  <c r="AO6" i="14"/>
  <c r="AO28" i="12"/>
  <c r="AO29" i="12" s="1"/>
  <c r="AO30" i="12" s="1"/>
  <c r="AO17" i="12" s="1"/>
  <c r="AO10" i="12" s="1"/>
  <c r="AO6" i="12" s="1"/>
  <c r="AO34" i="14" s="1"/>
  <c r="AP94" i="11" l="1"/>
  <c r="BD83" i="11"/>
  <c r="BH83" i="11"/>
  <c r="BD90" i="11"/>
  <c r="BH90" i="11"/>
  <c r="BD87" i="11"/>
  <c r="BH87" i="11"/>
  <c r="BD86" i="11"/>
  <c r="BH86" i="11"/>
  <c r="BD89" i="11"/>
  <c r="BH89" i="11"/>
  <c r="AO10" i="14"/>
  <c r="AO17" i="14" s="1"/>
  <c r="AO30" i="14" s="1"/>
  <c r="AO32" i="14" s="1"/>
  <c r="AP31" i="14" s="1"/>
  <c r="BD84" i="11"/>
  <c r="BH84" i="11"/>
  <c r="BD91" i="11"/>
  <c r="BH91" i="11"/>
  <c r="BD88" i="11"/>
  <c r="BH88" i="11"/>
  <c r="BD85" i="11"/>
  <c r="BH85" i="11"/>
  <c r="BD92" i="11"/>
  <c r="BH92" i="11"/>
  <c r="BH94" i="11" l="1"/>
  <c r="AP88" i="9"/>
  <c r="AP95" i="11"/>
  <c r="AP97" i="11"/>
  <c r="AP12" i="10"/>
  <c r="BD94" i="11"/>
  <c r="AO35" i="14"/>
  <c r="BD88" i="9" l="1"/>
  <c r="BD89" i="9" s="1"/>
  <c r="BH88" i="9"/>
  <c r="BH89" i="9" s="1"/>
  <c r="AP89" i="9"/>
  <c r="BD95" i="11"/>
  <c r="BD82" i="11"/>
  <c r="BD97" i="11"/>
  <c r="AP15" i="10"/>
  <c r="AP16" i="10" s="1"/>
  <c r="BD12" i="10"/>
  <c r="BH12" i="10"/>
  <c r="BH82" i="11"/>
  <c r="BH95" i="11"/>
  <c r="BH97" i="11"/>
  <c r="BI12" i="10" l="1"/>
  <c r="BD15" i="10"/>
  <c r="BH92" i="9"/>
  <c r="BH90" i="9"/>
  <c r="BK85" i="9"/>
  <c r="BH13" i="10"/>
  <c r="BH15" i="10" s="1"/>
  <c r="AP17" i="10"/>
  <c r="AP25" i="10"/>
  <c r="AP31" i="10" s="1"/>
  <c r="AP33" i="10" s="1"/>
  <c r="AP92" i="9"/>
  <c r="AP8" i="12" s="1"/>
  <c r="AP13" i="14" s="1"/>
  <c r="AP90" i="9"/>
  <c r="BK82" i="11" s="1"/>
  <c r="BD92" i="9"/>
  <c r="BD90" i="9"/>
  <c r="P5" i="3" l="1"/>
  <c r="E28" i="3" s="1"/>
  <c r="BH16" i="10"/>
  <c r="BD13" i="14"/>
  <c r="BH13" i="14"/>
  <c r="L5" i="3"/>
  <c r="E12" i="3" s="1"/>
  <c r="BI15" i="10"/>
  <c r="BD16" i="10"/>
  <c r="BK90" i="11"/>
  <c r="BK84" i="11"/>
  <c r="BK92" i="11"/>
  <c r="BK91" i="11"/>
  <c r="BK88" i="11"/>
  <c r="BK89" i="11"/>
  <c r="BK86" i="11"/>
  <c r="BK85" i="11"/>
  <c r="BK87" i="11"/>
  <c r="BK83" i="11"/>
  <c r="AP6" i="14"/>
  <c r="AP28" i="12"/>
  <c r="AP29" i="12" s="1"/>
  <c r="AP30" i="12" s="1"/>
  <c r="AP17" i="12" s="1"/>
  <c r="AP10" i="12" s="1"/>
  <c r="AP6" i="12" s="1"/>
  <c r="AP34" i="14" s="1"/>
  <c r="BJ85" i="9"/>
  <c r="BJ87" i="9" s="1"/>
  <c r="BK87" i="9"/>
  <c r="BH17" i="10" l="1"/>
  <c r="BH25" i="10"/>
  <c r="BH31" i="10" s="1"/>
  <c r="AP10" i="14"/>
  <c r="AP17" i="14" s="1"/>
  <c r="AP30" i="14" s="1"/>
  <c r="AP32" i="14" s="1"/>
  <c r="AP35" i="14" s="1"/>
  <c r="BD6" i="14"/>
  <c r="BD10" i="14" s="1"/>
  <c r="BD17" i="14" s="1"/>
  <c r="BD30" i="14" s="1"/>
  <c r="BD32" i="14" s="1"/>
  <c r="BJ31" i="14" s="1"/>
  <c r="BH6" i="14"/>
  <c r="BH10" i="14" s="1"/>
  <c r="BH17" i="14" s="1"/>
  <c r="BH30" i="14" s="1"/>
  <c r="BH32" i="14" s="1"/>
  <c r="BH34" i="14"/>
  <c r="BD34" i="14"/>
  <c r="BK94" i="11"/>
  <c r="BD17" i="10"/>
  <c r="BI16" i="10"/>
  <c r="BD25" i="10"/>
  <c r="BH33" i="10" l="1"/>
  <c r="P6" i="3"/>
  <c r="F28" i="3" s="1"/>
  <c r="BD35" i="14"/>
  <c r="BD31" i="10"/>
  <c r="BI25" i="10"/>
  <c r="BK95" i="11"/>
  <c r="BK97" i="11"/>
  <c r="BK88" i="9"/>
  <c r="BL12" i="10"/>
  <c r="BH35" i="14"/>
  <c r="BK31" i="14"/>
  <c r="L6" i="3" l="1"/>
  <c r="F12" i="3" s="1"/>
  <c r="BL13" i="10"/>
  <c r="BL15" i="10" s="1"/>
  <c r="BK89" i="9"/>
  <c r="BI31" i="10"/>
  <c r="BD33" i="10"/>
  <c r="BI33" i="10" s="1"/>
  <c r="BK90" i="9" l="1"/>
  <c r="BL82" i="11" s="1"/>
  <c r="BK92" i="9"/>
  <c r="BL85" i="9"/>
  <c r="BL87" i="9" s="1"/>
  <c r="R5" i="3"/>
  <c r="BL16" i="10"/>
  <c r="BL17" i="10" l="1"/>
  <c r="BL25" i="10"/>
  <c r="BL31" i="10" s="1"/>
  <c r="BL89" i="11"/>
  <c r="BL86" i="11"/>
  <c r="BL88" i="11"/>
  <c r="BL84" i="11"/>
  <c r="BL85" i="11"/>
  <c r="BL87" i="11"/>
  <c r="BL91" i="11"/>
  <c r="BL92" i="11"/>
  <c r="BL90" i="11"/>
  <c r="BL83" i="11"/>
  <c r="BL33" i="10" l="1"/>
  <c r="BL34" i="10" s="1"/>
  <c r="R6" i="3"/>
  <c r="BL94" i="11"/>
  <c r="AR28" i="12" l="1"/>
  <c r="AR29" i="12" s="1"/>
  <c r="BK6" i="14"/>
  <c r="BK10" i="14" s="1"/>
  <c r="BL88" i="9"/>
  <c r="BL95" i="11"/>
  <c r="BL97" i="11"/>
  <c r="BM12" i="10"/>
  <c r="BM13" i="10" l="1"/>
  <c r="BM15" i="10" s="1"/>
  <c r="BL89" i="9"/>
  <c r="S5" i="3" l="1"/>
  <c r="BM16" i="10"/>
  <c r="AR8" i="12"/>
  <c r="BL92" i="9"/>
  <c r="BL90" i="9"/>
  <c r="BM82" i="11" s="1"/>
  <c r="BM85" i="9"/>
  <c r="BM87" i="9" s="1"/>
  <c r="BM17" i="10" l="1"/>
  <c r="BM25" i="10"/>
  <c r="BM31" i="10" s="1"/>
  <c r="BM92" i="11"/>
  <c r="BM90" i="11"/>
  <c r="BM87" i="11"/>
  <c r="BM88" i="11"/>
  <c r="BM91" i="11"/>
  <c r="BM85" i="11"/>
  <c r="BM89" i="11"/>
  <c r="BM84" i="11"/>
  <c r="BM86" i="11"/>
  <c r="BM83" i="11"/>
  <c r="AR20" i="12"/>
  <c r="BK13" i="14"/>
  <c r="BM33" i="10" l="1"/>
  <c r="BM34" i="10" s="1"/>
  <c r="S6" i="3"/>
  <c r="BM94" i="11"/>
  <c r="AR24" i="12"/>
  <c r="AR30" i="12" s="1"/>
  <c r="AR17" i="12" s="1"/>
  <c r="AR10" i="12" s="1"/>
  <c r="AR6" i="12" s="1"/>
  <c r="BK34" i="14" s="1"/>
  <c r="BK15" i="14"/>
  <c r="BK17" i="14" s="1"/>
  <c r="BK30" i="14" s="1"/>
  <c r="BK32" i="14" s="1"/>
  <c r="BL31" i="14" s="1"/>
  <c r="AS28" i="12" l="1"/>
  <c r="AS29" i="12" s="1"/>
  <c r="BL6" i="14"/>
  <c r="BL10" i="14" s="1"/>
  <c r="BK35" i="14"/>
  <c r="BM97" i="11"/>
  <c r="BM88" i="9"/>
  <c r="BM95" i="11"/>
  <c r="BN12" i="10"/>
  <c r="BN13" i="10" l="1"/>
  <c r="BN15" i="10" s="1"/>
  <c r="BM89" i="9"/>
  <c r="AS8" i="12" l="1"/>
  <c r="T5" i="3"/>
  <c r="BN16" i="10"/>
  <c r="BM92" i="9"/>
  <c r="BM90" i="9"/>
  <c r="BN82" i="11" s="1"/>
  <c r="BN85" i="9"/>
  <c r="BN87" i="9" s="1"/>
  <c r="BN87" i="11" l="1"/>
  <c r="BJ87" i="11" s="1"/>
  <c r="BN88" i="11"/>
  <c r="BJ88" i="11" s="1"/>
  <c r="BN90" i="11"/>
  <c r="BJ90" i="11" s="1"/>
  <c r="BN89" i="11"/>
  <c r="BJ89" i="11" s="1"/>
  <c r="BN84" i="11"/>
  <c r="BJ84" i="11" s="1"/>
  <c r="BN86" i="11"/>
  <c r="BJ86" i="11" s="1"/>
  <c r="BN91" i="11"/>
  <c r="BJ91" i="11" s="1"/>
  <c r="BN85" i="11"/>
  <c r="BJ85" i="11" s="1"/>
  <c r="BN92" i="11"/>
  <c r="BJ92" i="11" s="1"/>
  <c r="BN83" i="11"/>
  <c r="BN17" i="10"/>
  <c r="BN25" i="10"/>
  <c r="BN31" i="10" s="1"/>
  <c r="AS20" i="12"/>
  <c r="BL13" i="14"/>
  <c r="BN33" i="10" l="1"/>
  <c r="BM6" i="14" s="1"/>
  <c r="T6" i="3"/>
  <c r="BL15" i="14"/>
  <c r="BL17" i="14" s="1"/>
  <c r="BL30" i="14" s="1"/>
  <c r="BL32" i="14" s="1"/>
  <c r="BM31" i="14" s="1"/>
  <c r="AS24" i="12"/>
  <c r="AS30" i="12" s="1"/>
  <c r="AS17" i="12" s="1"/>
  <c r="AS10" i="12" s="1"/>
  <c r="AS6" i="12" s="1"/>
  <c r="BL34" i="14" s="1"/>
  <c r="BN94" i="11"/>
  <c r="BJ83" i="11"/>
  <c r="BJ94" i="11" s="1"/>
  <c r="BN34" i="10" l="1"/>
  <c r="AT28" i="12"/>
  <c r="AT29" i="12" s="1"/>
  <c r="BN97" i="11"/>
  <c r="BN95" i="11"/>
  <c r="BN88" i="9"/>
  <c r="BO12" i="10"/>
  <c r="BM10" i="14"/>
  <c r="BJ95" i="11"/>
  <c r="BJ97" i="11"/>
  <c r="BJ82" i="11"/>
  <c r="BL35" i="14"/>
  <c r="BJ88" i="9" l="1"/>
  <c r="BJ89" i="9" s="1"/>
  <c r="BJ92" i="9" s="1"/>
  <c r="BN89" i="9"/>
  <c r="BO13" i="10"/>
  <c r="BO15" i="10" s="1"/>
  <c r="BK12" i="10"/>
  <c r="AT8" i="12" l="1"/>
  <c r="U5" i="3"/>
  <c r="BO16" i="10"/>
  <c r="BP12" i="10"/>
  <c r="BK15" i="10"/>
  <c r="BQ12" i="10"/>
  <c r="BN92" i="9"/>
  <c r="BN90" i="9"/>
  <c r="BQ82" i="11" s="1"/>
  <c r="BQ85" i="9"/>
  <c r="BQ87" i="9" s="1"/>
  <c r="BQ92" i="11" l="1"/>
  <c r="BQ91" i="11"/>
  <c r="BQ90" i="11"/>
  <c r="BQ84" i="11"/>
  <c r="BQ87" i="11"/>
  <c r="BQ86" i="11"/>
  <c r="BQ85" i="11"/>
  <c r="BQ88" i="11"/>
  <c r="BQ89" i="11"/>
  <c r="BQ83" i="11"/>
  <c r="BP85" i="9"/>
  <c r="BP87" i="9" s="1"/>
  <c r="BQ15" i="10"/>
  <c r="BP15" i="10"/>
  <c r="BK16" i="10"/>
  <c r="Q5" i="3"/>
  <c r="E13" i="3" s="1"/>
  <c r="BO17" i="10"/>
  <c r="BO25" i="10"/>
  <c r="BO31" i="10" s="1"/>
  <c r="BM13" i="14"/>
  <c r="AT20" i="12"/>
  <c r="BO33" i="10" l="1"/>
  <c r="BO34" i="10" s="1"/>
  <c r="U6" i="3"/>
  <c r="BQ94" i="11"/>
  <c r="BQ88" i="9" s="1"/>
  <c r="AT24" i="12"/>
  <c r="AT30" i="12" s="1"/>
  <c r="AT17" i="12" s="1"/>
  <c r="AT10" i="12" s="1"/>
  <c r="AT6" i="12" s="1"/>
  <c r="BM34" i="14" s="1"/>
  <c r="BM15" i="14"/>
  <c r="BP16" i="10"/>
  <c r="BK17" i="10"/>
  <c r="BQ16" i="10"/>
  <c r="BK25" i="10"/>
  <c r="BN6" i="14" l="1"/>
  <c r="BN10" i="14" s="1"/>
  <c r="AU28" i="12"/>
  <c r="AU29" i="12" s="1"/>
  <c r="BP25" i="10"/>
  <c r="BK31" i="10"/>
  <c r="BQ25" i="10"/>
  <c r="BQ97" i="11"/>
  <c r="BQ95" i="11"/>
  <c r="BT12" i="10"/>
  <c r="BM17" i="14"/>
  <c r="BM30" i="14" s="1"/>
  <c r="BM32" i="14" s="1"/>
  <c r="BN31" i="14" s="1"/>
  <c r="Q6" i="3" l="1"/>
  <c r="F13" i="3" s="1"/>
  <c r="BJ6" i="14"/>
  <c r="BJ10" i="14" s="1"/>
  <c r="BM35" i="14"/>
  <c r="BT13" i="10"/>
  <c r="BT15" i="10" s="1"/>
  <c r="BP31" i="10"/>
  <c r="BQ31" i="10"/>
  <c r="BK33" i="10"/>
  <c r="BQ89" i="9"/>
  <c r="BR85" i="9" s="1"/>
  <c r="BQ92" i="9" l="1"/>
  <c r="BQ90" i="9"/>
  <c r="BR82" i="11" s="1"/>
  <c r="BR87" i="9"/>
  <c r="BP33" i="10"/>
  <c r="BK34" i="10"/>
  <c r="BQ33" i="10"/>
  <c r="W5" i="3"/>
  <c r="AU8" i="12"/>
  <c r="BT16" i="10"/>
  <c r="AU20" i="12" l="1"/>
  <c r="BN13" i="14"/>
  <c r="BR87" i="11"/>
  <c r="BR91" i="11"/>
  <c r="BR90" i="11"/>
  <c r="BR88" i="11"/>
  <c r="BR86" i="11"/>
  <c r="BR84" i="11"/>
  <c r="BR89" i="11"/>
  <c r="BR85" i="11"/>
  <c r="BR92" i="11"/>
  <c r="BR83" i="11"/>
  <c r="BT17" i="10"/>
  <c r="BT25" i="10"/>
  <c r="BT31" i="10" s="1"/>
  <c r="BT32" i="10" s="1"/>
  <c r="W6" i="3" l="1"/>
  <c r="BJ13" i="14"/>
  <c r="BR94" i="11"/>
  <c r="AU24" i="12"/>
  <c r="AU30" i="12" s="1"/>
  <c r="AU17" i="12" s="1"/>
  <c r="AU10" i="12" s="1"/>
  <c r="AU6" i="12" s="1"/>
  <c r="BN34" i="14" s="1"/>
  <c r="BN15" i="14"/>
  <c r="BJ15" i="14" s="1"/>
  <c r="BJ34" i="14" l="1"/>
  <c r="BJ17" i="14"/>
  <c r="BJ30" i="14" s="1"/>
  <c r="BJ32" i="14" s="1"/>
  <c r="BP31" i="14" s="1"/>
  <c r="BR88" i="9"/>
  <c r="BR97" i="11"/>
  <c r="BR95" i="11"/>
  <c r="BU12" i="10"/>
  <c r="BT33" i="10"/>
  <c r="BN17" i="14"/>
  <c r="BN30" i="14" s="1"/>
  <c r="BN32" i="14" s="1"/>
  <c r="BN35" i="14" s="1"/>
  <c r="BJ35" i="14" l="1"/>
  <c r="BR89" i="9"/>
  <c r="BT34" i="10"/>
  <c r="AW28" i="12"/>
  <c r="AW29" i="12" s="1"/>
  <c r="BQ6" i="14"/>
  <c r="BU13" i="10"/>
  <c r="BU15" i="10" s="1"/>
  <c r="BQ31" i="14"/>
  <c r="X5" i="3" l="1"/>
  <c r="AW8" i="12"/>
  <c r="BU16" i="10"/>
  <c r="BR92" i="9"/>
  <c r="BR90" i="9"/>
  <c r="BS82" i="11" s="1"/>
  <c r="BS85" i="9"/>
  <c r="BS87" i="9" s="1"/>
  <c r="BQ10" i="14"/>
  <c r="BS91" i="11" l="1"/>
  <c r="BS89" i="11"/>
  <c r="BS86" i="11"/>
  <c r="BS90" i="11"/>
  <c r="BS92" i="11"/>
  <c r="BS88" i="11"/>
  <c r="BS84" i="11"/>
  <c r="BS87" i="11"/>
  <c r="BS85" i="11"/>
  <c r="BS83" i="11"/>
  <c r="BQ13" i="14"/>
  <c r="AW20" i="12"/>
  <c r="BU17" i="10"/>
  <c r="BU25" i="10"/>
  <c r="BU31" i="10" s="1"/>
  <c r="BU32" i="10" s="1"/>
  <c r="X6" i="3" l="1"/>
  <c r="AW24" i="12"/>
  <c r="AW30" i="12" s="1"/>
  <c r="AW17" i="12" s="1"/>
  <c r="AW10" i="12" s="1"/>
  <c r="AW6" i="12" s="1"/>
  <c r="BQ34" i="14" s="1"/>
  <c r="BQ15" i="14"/>
  <c r="BQ17" i="14" s="1"/>
  <c r="BQ30" i="14" s="1"/>
  <c r="BQ32" i="14" s="1"/>
  <c r="BR31" i="14" s="1"/>
  <c r="BS94" i="11"/>
  <c r="BQ35" i="14" l="1"/>
  <c r="BS95" i="11"/>
  <c r="BS97" i="11"/>
  <c r="BS88" i="9"/>
  <c r="BV12" i="10"/>
  <c r="BU33" i="10"/>
  <c r="BU34" i="10" l="1"/>
  <c r="AX28" i="12"/>
  <c r="AX29" i="12" s="1"/>
  <c r="BR6" i="14"/>
  <c r="BS89" i="9"/>
  <c r="BV13" i="10"/>
  <c r="BV15" i="10" s="1"/>
  <c r="Y5" i="3" l="1"/>
  <c r="AX8" i="12"/>
  <c r="BV16" i="10"/>
  <c r="BS92" i="9"/>
  <c r="BS90" i="9"/>
  <c r="BT82" i="11" s="1"/>
  <c r="BT85" i="9"/>
  <c r="BT87" i="9" s="1"/>
  <c r="BR10" i="14"/>
  <c r="BR13" i="14" l="1"/>
  <c r="AX20" i="12"/>
  <c r="BT92" i="11"/>
  <c r="BP92" i="11" s="1"/>
  <c r="BT88" i="11"/>
  <c r="BP88" i="11" s="1"/>
  <c r="BT91" i="11"/>
  <c r="BP91" i="11" s="1"/>
  <c r="BT87" i="11"/>
  <c r="BP87" i="11" s="1"/>
  <c r="BT84" i="11"/>
  <c r="BP84" i="11" s="1"/>
  <c r="BT89" i="11"/>
  <c r="BP89" i="11" s="1"/>
  <c r="BT90" i="11"/>
  <c r="BP90" i="11" s="1"/>
  <c r="BT85" i="11"/>
  <c r="BP85" i="11" s="1"/>
  <c r="BT86" i="11"/>
  <c r="BP86" i="11" s="1"/>
  <c r="BT83" i="11"/>
  <c r="BV17" i="10"/>
  <c r="BV25" i="10"/>
  <c r="BV31" i="10" s="1"/>
  <c r="BV32" i="10" s="1"/>
  <c r="Y6" i="3" l="1"/>
  <c r="BT94" i="11"/>
  <c r="BP83" i="11"/>
  <c r="BP94" i="11" s="1"/>
  <c r="BR15" i="14"/>
  <c r="AX24" i="12"/>
  <c r="AX30" i="12" s="1"/>
  <c r="AX17" i="12" s="1"/>
  <c r="AX10" i="12" s="1"/>
  <c r="AX6" i="12" s="1"/>
  <c r="BR34" i="14" s="1"/>
  <c r="BV33" i="10" l="1"/>
  <c r="BP82" i="11"/>
  <c r="BP97" i="11"/>
  <c r="BP95" i="11"/>
  <c r="BR17" i="14"/>
  <c r="BR30" i="14" s="1"/>
  <c r="BR32" i="14" s="1"/>
  <c r="BS31" i="14" s="1"/>
  <c r="BT95" i="11"/>
  <c r="BT97" i="11"/>
  <c r="BT88" i="9"/>
  <c r="BP88" i="9" s="1"/>
  <c r="BW12" i="10"/>
  <c r="BW13" i="10" l="1"/>
  <c r="BW15" i="10" s="1"/>
  <c r="BS12" i="10"/>
  <c r="BR35" i="14"/>
  <c r="BV34" i="10"/>
  <c r="BS6" i="14"/>
  <c r="AY28" i="12"/>
  <c r="AY29" i="12" s="1"/>
  <c r="BP89" i="9"/>
  <c r="BP92" i="9" s="1"/>
  <c r="BT89" i="9"/>
  <c r="BS10" i="14" l="1"/>
  <c r="BY12" i="10"/>
  <c r="BX12" i="10"/>
  <c r="BS15" i="10"/>
  <c r="Z5" i="3"/>
  <c r="AY8" i="12"/>
  <c r="BW16" i="10"/>
  <c r="BT90" i="9"/>
  <c r="BW82" i="11" s="1"/>
  <c r="BT92" i="9"/>
  <c r="BW85" i="9"/>
  <c r="BW25" i="10" l="1"/>
  <c r="BW31" i="10" s="1"/>
  <c r="BW32" i="10" s="1"/>
  <c r="BW17" i="10"/>
  <c r="BV85" i="9"/>
  <c r="BV87" i="9" s="1"/>
  <c r="BW87" i="9"/>
  <c r="BW84" i="11"/>
  <c r="BW90" i="11"/>
  <c r="BW88" i="11"/>
  <c r="BW92" i="11"/>
  <c r="BW91" i="11"/>
  <c r="BW87" i="11"/>
  <c r="BW83" i="11"/>
  <c r="BW85" i="11"/>
  <c r="BW86" i="11"/>
  <c r="BW89" i="11"/>
  <c r="AY20" i="12"/>
  <c r="BS13" i="14"/>
  <c r="BY15" i="10"/>
  <c r="BX15" i="10"/>
  <c r="BS16" i="10"/>
  <c r="V5" i="3"/>
  <c r="E14" i="3" s="1"/>
  <c r="Z6" i="3" l="1"/>
  <c r="BS32" i="10"/>
  <c r="BS17" i="10"/>
  <c r="BX16" i="10"/>
  <c r="BY16" i="10"/>
  <c r="BS25" i="10"/>
  <c r="AY24" i="12"/>
  <c r="AY30" i="12" s="1"/>
  <c r="AY17" i="12" s="1"/>
  <c r="AY10" i="12" s="1"/>
  <c r="AY6" i="12" s="1"/>
  <c r="BS34" i="14" s="1"/>
  <c r="BS15" i="14"/>
  <c r="BW94" i="11"/>
  <c r="BY32" i="10" l="1"/>
  <c r="BX32" i="10"/>
  <c r="BW33" i="10"/>
  <c r="BW34" i="10" s="1"/>
  <c r="BS17" i="14"/>
  <c r="BS30" i="14" s="1"/>
  <c r="BS32" i="14" s="1"/>
  <c r="BT31" i="14" s="1"/>
  <c r="BW95" i="11"/>
  <c r="CB12" i="10"/>
  <c r="BW97" i="11"/>
  <c r="BW88" i="9"/>
  <c r="BX25" i="10"/>
  <c r="BS31" i="10"/>
  <c r="BY25" i="10"/>
  <c r="V6" i="3" l="1"/>
  <c r="F14" i="3" s="1"/>
  <c r="BT6" i="14"/>
  <c r="BP6" i="14" s="1"/>
  <c r="BP10" i="14" s="1"/>
  <c r="BS35" i="14"/>
  <c r="AZ28" i="12"/>
  <c r="AZ29" i="12" s="1"/>
  <c r="BX31" i="10"/>
  <c r="BY31" i="10"/>
  <c r="BS33" i="10"/>
  <c r="BW89" i="9"/>
  <c r="CB13" i="10"/>
  <c r="CB15" i="10" s="1"/>
  <c r="BT10" i="14" l="1"/>
  <c r="AB5" i="3"/>
  <c r="CB16" i="10"/>
  <c r="AZ8" i="12"/>
  <c r="BW92" i="9"/>
  <c r="BW90" i="9"/>
  <c r="BX82" i="11" s="1"/>
  <c r="BX85" i="9"/>
  <c r="BX87" i="9" s="1"/>
  <c r="BY33" i="10"/>
  <c r="BX33" i="10"/>
  <c r="BS34" i="10"/>
  <c r="AZ20" i="12" l="1"/>
  <c r="BT13" i="14"/>
  <c r="BX91" i="11"/>
  <c r="BX88" i="11"/>
  <c r="BX89" i="11"/>
  <c r="BX92" i="11"/>
  <c r="BX87" i="11"/>
  <c r="BX84" i="11"/>
  <c r="BX85" i="11"/>
  <c r="BX86" i="11"/>
  <c r="BX90" i="11"/>
  <c r="BX83" i="11"/>
  <c r="CB17" i="10"/>
  <c r="CB25" i="10"/>
  <c r="CB31" i="10" s="1"/>
  <c r="CB32" i="10" s="1"/>
  <c r="AB6" i="3" l="1"/>
  <c r="AZ24" i="12"/>
  <c r="AZ30" i="12" s="1"/>
  <c r="AZ17" i="12" s="1"/>
  <c r="AZ10" i="12" s="1"/>
  <c r="AZ6" i="12" s="1"/>
  <c r="BT34" i="14" s="1"/>
  <c r="BT15" i="14"/>
  <c r="BP15" i="14" s="1"/>
  <c r="BX94" i="11"/>
  <c r="BP13" i="14"/>
  <c r="BT17" i="14" l="1"/>
  <c r="BT30" i="14" s="1"/>
  <c r="BT32" i="14" s="1"/>
  <c r="BT35" i="14" s="1"/>
  <c r="BP17" i="14"/>
  <c r="BP30" i="14" s="1"/>
  <c r="BP32" i="14" s="1"/>
  <c r="BV31" i="14" s="1"/>
  <c r="BX95" i="11"/>
  <c r="BX97" i="11"/>
  <c r="BX88" i="9"/>
  <c r="CC12" i="10"/>
  <c r="BP34" i="14"/>
  <c r="CB33" i="10"/>
  <c r="BP35" i="14" l="1"/>
  <c r="CB34" i="10"/>
  <c r="BB28" i="12"/>
  <c r="BB29" i="12" s="1"/>
  <c r="BW6" i="14"/>
  <c r="CC13" i="10"/>
  <c r="CC15" i="10" s="1"/>
  <c r="BW31" i="14"/>
  <c r="BX89" i="9"/>
  <c r="BB8" i="12" l="1"/>
  <c r="AC5" i="3"/>
  <c r="CC16" i="10"/>
  <c r="BW10" i="14"/>
  <c r="BX92" i="9"/>
  <c r="BX90" i="9"/>
  <c r="BY82" i="11" s="1"/>
  <c r="BY85" i="9"/>
  <c r="BY87" i="9" s="1"/>
  <c r="BY88" i="11" l="1"/>
  <c r="BY86" i="11"/>
  <c r="BY90" i="11"/>
  <c r="BY91" i="11"/>
  <c r="BY85" i="11"/>
  <c r="BY92" i="11"/>
  <c r="BY87" i="11"/>
  <c r="BY89" i="11"/>
  <c r="BY84" i="11"/>
  <c r="BY83" i="11"/>
  <c r="CC17" i="10"/>
  <c r="CC25" i="10"/>
  <c r="CC31" i="10" s="1"/>
  <c r="BW13" i="14"/>
  <c r="BB20" i="12"/>
  <c r="AC6" i="3" l="1"/>
  <c r="CC32" i="10"/>
  <c r="CC33" i="10" s="1"/>
  <c r="BB24" i="12"/>
  <c r="BB30" i="12" s="1"/>
  <c r="BB17" i="12" s="1"/>
  <c r="BB10" i="12" s="1"/>
  <c r="BB6" i="12" s="1"/>
  <c r="BW34" i="14" s="1"/>
  <c r="BW15" i="14"/>
  <c r="BY94" i="11"/>
  <c r="BY97" i="11" l="1"/>
  <c r="BY95" i="11"/>
  <c r="BY88" i="9"/>
  <c r="CD12" i="10"/>
  <c r="BX6" i="14"/>
  <c r="CC34" i="10"/>
  <c r="BC28" i="12"/>
  <c r="BC29" i="12" s="1"/>
  <c r="BW17" i="14"/>
  <c r="BW30" i="14" s="1"/>
  <c r="BW32" i="14" s="1"/>
  <c r="BX31" i="14" s="1"/>
  <c r="BW35" i="14" l="1"/>
  <c r="BX10" i="14"/>
  <c r="BY89" i="9"/>
  <c r="CD13" i="10"/>
  <c r="CD15" i="10" s="1"/>
  <c r="BC8" i="12" l="1"/>
  <c r="AD5" i="3"/>
  <c r="CD16" i="10"/>
  <c r="BY92" i="9"/>
  <c r="BZ85" i="9"/>
  <c r="BZ87" i="9" s="1"/>
  <c r="BY90" i="9"/>
  <c r="BZ82" i="11" s="1"/>
  <c r="CD25" i="10" l="1"/>
  <c r="CD31" i="10" s="1"/>
  <c r="CD17" i="10"/>
  <c r="BC20" i="12"/>
  <c r="BX13" i="14"/>
  <c r="BZ90" i="11"/>
  <c r="BV90" i="11" s="1"/>
  <c r="BZ86" i="11"/>
  <c r="BV86" i="11" s="1"/>
  <c r="BZ88" i="11"/>
  <c r="BV88" i="11" s="1"/>
  <c r="BZ84" i="11"/>
  <c r="BV84" i="11" s="1"/>
  <c r="BZ92" i="11"/>
  <c r="BV92" i="11" s="1"/>
  <c r="BZ89" i="11"/>
  <c r="BV89" i="11" s="1"/>
  <c r="BZ91" i="11"/>
  <c r="BV91" i="11" s="1"/>
  <c r="BZ85" i="11"/>
  <c r="BV85" i="11" s="1"/>
  <c r="BZ87" i="11"/>
  <c r="BV87" i="11" s="1"/>
  <c r="BZ83" i="11"/>
  <c r="AD6" i="3" l="1"/>
  <c r="CD32" i="10"/>
  <c r="CD33" i="10" s="1"/>
  <c r="BC24" i="12"/>
  <c r="BC30" i="12" s="1"/>
  <c r="BC17" i="12" s="1"/>
  <c r="BC10" i="12" s="1"/>
  <c r="BC6" i="12" s="1"/>
  <c r="BX34" i="14" s="1"/>
  <c r="BX15" i="14"/>
  <c r="BX17" i="14" s="1"/>
  <c r="BX30" i="14" s="1"/>
  <c r="BX32" i="14" s="1"/>
  <c r="BY31" i="14" s="1"/>
  <c r="BZ94" i="11"/>
  <c r="BV83" i="11"/>
  <c r="BV94" i="11" s="1"/>
  <c r="BX35" i="14" l="1"/>
  <c r="BY6" i="14"/>
  <c r="CD34" i="10"/>
  <c r="BD28" i="12"/>
  <c r="BD29" i="12" s="1"/>
  <c r="BZ88" i="9"/>
  <c r="BZ95" i="11"/>
  <c r="BZ97" i="11"/>
  <c r="CE12" i="10"/>
  <c r="BV97" i="11"/>
  <c r="BV95" i="11"/>
  <c r="BV82" i="11"/>
  <c r="BY10" i="14" l="1"/>
  <c r="BV88" i="9"/>
  <c r="BV89" i="9" s="1"/>
  <c r="BV92" i="9" s="1"/>
  <c r="BZ89" i="9"/>
  <c r="CE13" i="10"/>
  <c r="CE15" i="10" s="1"/>
  <c r="CA12" i="10"/>
  <c r="AE5" i="3" l="1"/>
  <c r="BD8" i="12"/>
  <c r="CE16" i="10"/>
  <c r="BZ92" i="9"/>
  <c r="BZ90" i="9"/>
  <c r="CF12" i="10"/>
  <c r="CG12" i="10"/>
  <c r="CA15" i="10"/>
  <c r="CE17" i="10" l="1"/>
  <c r="CE25" i="10"/>
  <c r="CE31" i="10" s="1"/>
  <c r="CG15" i="10"/>
  <c r="AA5" i="3"/>
  <c r="E15" i="3" s="1"/>
  <c r="CF15" i="10"/>
  <c r="CA16" i="10"/>
  <c r="BY13" i="14"/>
  <c r="BE8" i="12"/>
  <c r="BD20" i="12"/>
  <c r="AE6" i="3" l="1"/>
  <c r="CE32" i="10"/>
  <c r="CA32" i="10" s="1"/>
  <c r="BZ13" i="14"/>
  <c r="BV13" i="14" s="1"/>
  <c r="BE20" i="12"/>
  <c r="CG16" i="10"/>
  <c r="CA25" i="10"/>
  <c r="CA17" i="10"/>
  <c r="CF16" i="10"/>
  <c r="BY15" i="14"/>
  <c r="BY17" i="14" s="1"/>
  <c r="BY30" i="14" s="1"/>
  <c r="BY32" i="14" s="1"/>
  <c r="BZ31" i="14" s="1"/>
  <c r="BD24" i="12"/>
  <c r="BD30" i="12" s="1"/>
  <c r="BD17" i="12" s="1"/>
  <c r="BD10" i="12" s="1"/>
  <c r="BD6" i="12" s="1"/>
  <c r="BY34" i="14" s="1"/>
  <c r="CG32" i="10" l="1"/>
  <c r="CF32" i="10"/>
  <c r="CE33" i="10"/>
  <c r="CF25" i="10"/>
  <c r="CG25" i="10"/>
  <c r="CA31" i="10"/>
  <c r="AA6" i="3" s="1"/>
  <c r="F15" i="3" s="1"/>
  <c r="BE24" i="12"/>
  <c r="BZ15" i="14"/>
  <c r="BV15" i="14" s="1"/>
  <c r="BY35" i="14"/>
  <c r="CG31" i="10" l="1"/>
  <c r="CA33" i="10"/>
  <c r="CF31" i="10"/>
  <c r="CE34" i="10"/>
  <c r="BZ6" i="14"/>
  <c r="BE28" i="12"/>
  <c r="BE29" i="12" s="1"/>
  <c r="BE30" i="12" s="1"/>
  <c r="BE17" i="12" s="1"/>
  <c r="BE10" i="12" s="1"/>
  <c r="BE6" i="12" s="1"/>
  <c r="BZ34" i="14" s="1"/>
  <c r="BV34" i="14" l="1"/>
  <c r="CA34" i="10"/>
  <c r="CF33" i="10"/>
  <c r="CG33" i="10"/>
  <c r="BZ10" i="14"/>
  <c r="BZ17" i="14" s="1"/>
  <c r="BZ30" i="14" s="1"/>
  <c r="BZ32" i="14" s="1"/>
  <c r="BZ35" i="14" s="1"/>
  <c r="BV6" i="14"/>
  <c r="BV10" i="14" s="1"/>
  <c r="BV17" i="14" s="1"/>
  <c r="BV30" i="14" s="1"/>
  <c r="BV32" i="14" s="1"/>
  <c r="BV35" i="14" l="1"/>
</calcChain>
</file>

<file path=xl/comments1.xml><?xml version="1.0" encoding="utf-8"?>
<comments xmlns="http://schemas.openxmlformats.org/spreadsheetml/2006/main">
  <authors>
    <author>nori</author>
  </authors>
  <commentList>
    <comment ref="B21" authorId="0">
      <text>
        <r>
          <rPr>
            <b/>
            <sz val="9"/>
            <color indexed="81"/>
            <rFont val="Tahoma"/>
            <family val="2"/>
          </rPr>
          <t>nori:</t>
        </r>
        <r>
          <rPr>
            <sz val="9"/>
            <color indexed="81"/>
            <rFont val="Tahoma"/>
            <family val="2"/>
          </rPr>
          <t xml:space="preserve">
$150/hr, 4 hrs/mo + 8 hrs EOY</t>
        </r>
      </text>
    </comment>
    <comment ref="B22" authorId="0">
      <text>
        <r>
          <rPr>
            <b/>
            <sz val="9"/>
            <color indexed="81"/>
            <rFont val="Tahoma"/>
            <family val="2"/>
          </rPr>
          <t>nori:</t>
        </r>
        <r>
          <rPr>
            <sz val="9"/>
            <color indexed="81"/>
            <rFont val="Tahoma"/>
            <family val="2"/>
          </rPr>
          <t xml:space="preserve">
WSGR fees, WSGR ongoing fees, Finnegan pending fees ($5.4k existing, $30k national filing Can,EP,Ch,JPN), Patent fillings x3 $15,000 ea, $10k per office action</t>
        </r>
      </text>
    </comment>
    <comment ref="B48" authorId="0">
      <text>
        <r>
          <rPr>
            <b/>
            <sz val="9"/>
            <color indexed="81"/>
            <rFont val="Tahoma"/>
            <family val="2"/>
          </rPr>
          <t>nori:</t>
        </r>
        <r>
          <rPr>
            <sz val="9"/>
            <color indexed="81"/>
            <rFont val="Tahoma"/>
            <family val="2"/>
          </rPr>
          <t xml:space="preserve">
Printers $500, $100 per half year maintenance</t>
        </r>
      </text>
    </comment>
    <comment ref="B67" authorId="0">
      <text>
        <r>
          <rPr>
            <b/>
            <sz val="9"/>
            <color indexed="81"/>
            <rFont val="Tahoma"/>
            <charset val="1"/>
          </rPr>
          <t>nori:</t>
        </r>
        <r>
          <rPr>
            <sz val="9"/>
            <color indexed="81"/>
            <rFont val="Tahoma"/>
            <charset val="1"/>
          </rPr>
          <t xml:space="preserve">
$3/sqft lease @ 3000 sqft.</t>
        </r>
      </text>
    </comment>
    <comment ref="B68" authorId="0">
      <text>
        <r>
          <rPr>
            <b/>
            <sz val="9"/>
            <color indexed="81"/>
            <rFont val="Tahoma"/>
            <family val="2"/>
          </rPr>
          <t>nori:</t>
        </r>
        <r>
          <rPr>
            <sz val="9"/>
            <color indexed="81"/>
            <rFont val="Tahoma"/>
            <family val="2"/>
          </rPr>
          <t xml:space="preserve">
$1.30 /sqft @ 3000 sqft.</t>
        </r>
      </text>
    </comment>
    <comment ref="B69" authorId="0">
      <text>
        <r>
          <rPr>
            <b/>
            <sz val="9"/>
            <color indexed="81"/>
            <rFont val="Tahoma"/>
            <family val="2"/>
          </rPr>
          <t>nori:</t>
        </r>
        <r>
          <rPr>
            <sz val="9"/>
            <color indexed="81"/>
            <rFont val="Tahoma"/>
            <family val="2"/>
          </rPr>
          <t xml:space="preserve">
$120 internet, $100 email, $50 x 3 telephone, per month</t>
        </r>
      </text>
    </comment>
  </commentList>
</comments>
</file>

<file path=xl/comments2.xml><?xml version="1.0" encoding="utf-8"?>
<comments xmlns="http://schemas.openxmlformats.org/spreadsheetml/2006/main">
  <authors>
    <author>Mike P Henighan</author>
    <author>nori</author>
  </authors>
  <commentList>
    <comment ref="M39" authorId="0">
      <text>
        <r>
          <rPr>
            <b/>
            <sz val="9"/>
            <color indexed="81"/>
            <rFont val="Tahoma"/>
            <family val="2"/>
          </rPr>
          <t>Mike P Henighan:</t>
        </r>
        <r>
          <rPr>
            <sz val="9"/>
            <color indexed="81"/>
            <rFont val="Tahoma"/>
            <family val="2"/>
          </rPr>
          <t xml:space="preserve">
$1500 travel &amp; $100 per diem*3 days * 2 people* 3 locations
</t>
        </r>
      </text>
    </comment>
    <comment ref="P39" authorId="0">
      <text>
        <r>
          <rPr>
            <b/>
            <sz val="9"/>
            <color indexed="81"/>
            <rFont val="Tahoma"/>
            <family val="2"/>
          </rPr>
          <t>Mike P Henighan:</t>
        </r>
        <r>
          <rPr>
            <sz val="9"/>
            <color indexed="81"/>
            <rFont val="Tahoma"/>
            <family val="2"/>
          </rPr>
          <t xml:space="preserve">
$1500 travel &amp; $100 per diem*3 days * 2 people* 3 locations
</t>
        </r>
      </text>
    </comment>
    <comment ref="B57" authorId="1">
      <text>
        <r>
          <rPr>
            <b/>
            <sz val="9"/>
            <color indexed="81"/>
            <rFont val="Tahoma"/>
            <family val="2"/>
          </rPr>
          <t>nori:</t>
        </r>
        <r>
          <rPr>
            <sz val="9"/>
            <color indexed="81"/>
            <rFont val="Tahoma"/>
            <family val="2"/>
          </rPr>
          <t xml:space="preserve">
lab notebook $30 ea, 1 per tech, 4 per year</t>
        </r>
      </text>
    </comment>
    <comment ref="B80" authorId="1">
      <text>
        <r>
          <rPr>
            <b/>
            <sz val="9"/>
            <color indexed="81"/>
            <rFont val="Tahoma"/>
            <family val="2"/>
          </rPr>
          <t>nori:</t>
        </r>
        <r>
          <rPr>
            <sz val="9"/>
            <color indexed="81"/>
            <rFont val="Tahoma"/>
            <family val="2"/>
          </rPr>
          <t xml:space="preserve">
with Med exp.</t>
        </r>
      </text>
    </comment>
    <comment ref="B94" authorId="1">
      <text>
        <r>
          <rPr>
            <b/>
            <sz val="9"/>
            <color indexed="81"/>
            <rFont val="Tahoma"/>
            <family val="2"/>
          </rPr>
          <t>nori:</t>
        </r>
        <r>
          <rPr>
            <sz val="9"/>
            <color indexed="81"/>
            <rFont val="Tahoma"/>
            <family val="2"/>
          </rPr>
          <t xml:space="preserve">
$30k/yr, 1dy/wk, no FICA</t>
        </r>
      </text>
    </comment>
    <comment ref="B95" authorId="1">
      <text>
        <r>
          <rPr>
            <b/>
            <sz val="9"/>
            <color indexed="81"/>
            <rFont val="Tahoma"/>
            <family val="2"/>
          </rPr>
          <t>nori:</t>
        </r>
        <r>
          <rPr>
            <sz val="9"/>
            <color indexed="81"/>
            <rFont val="Tahoma"/>
            <family val="2"/>
          </rPr>
          <t xml:space="preserve">
$150/hr</t>
        </r>
      </text>
    </comment>
    <comment ref="B96" authorId="1">
      <text>
        <r>
          <rPr>
            <b/>
            <sz val="9"/>
            <color indexed="81"/>
            <rFont val="Tahoma"/>
            <family val="2"/>
          </rPr>
          <t>nori:</t>
        </r>
        <r>
          <rPr>
            <sz val="9"/>
            <color indexed="81"/>
            <rFont val="Tahoma"/>
            <family val="2"/>
          </rPr>
          <t xml:space="preserve">
Total cost, $50k</t>
        </r>
      </text>
    </comment>
    <comment ref="B97" authorId="1">
      <text>
        <r>
          <rPr>
            <b/>
            <sz val="9"/>
            <color indexed="81"/>
            <rFont val="Tahoma"/>
            <family val="2"/>
          </rPr>
          <t>nori:</t>
        </r>
        <r>
          <rPr>
            <sz val="9"/>
            <color indexed="81"/>
            <rFont val="Tahoma"/>
            <family val="2"/>
          </rPr>
          <t xml:space="preserve">
$400/hr, say $2.5k/day at half day, once per quarter. Project risk management, then MDR</t>
        </r>
      </text>
    </comment>
    <comment ref="B126" authorId="1">
      <text>
        <r>
          <rPr>
            <b/>
            <sz val="9"/>
            <color indexed="81"/>
            <rFont val="Tahoma"/>
            <family val="2"/>
          </rPr>
          <t>nori:</t>
        </r>
        <r>
          <rPr>
            <sz val="9"/>
            <color indexed="81"/>
            <rFont val="Tahoma"/>
            <family val="2"/>
          </rPr>
          <t xml:space="preserve">
9x10 per day=2bx/wk=10bx/mth @ $12ea</t>
        </r>
      </text>
    </comment>
    <comment ref="B127" authorId="1">
      <text>
        <r>
          <rPr>
            <b/>
            <sz val="9"/>
            <color indexed="81"/>
            <rFont val="Tahoma"/>
            <family val="2"/>
          </rPr>
          <t>nori:</t>
        </r>
        <r>
          <rPr>
            <sz val="9"/>
            <color indexed="81"/>
            <rFont val="Tahoma"/>
            <family val="2"/>
          </rPr>
          <t xml:space="preserve">
$40eax9, 1 per mo</t>
        </r>
      </text>
    </comment>
    <comment ref="B129" authorId="1">
      <text>
        <r>
          <rPr>
            <b/>
            <sz val="9"/>
            <color indexed="81"/>
            <rFont val="Tahoma"/>
            <family val="2"/>
          </rPr>
          <t>nori:</t>
        </r>
        <r>
          <rPr>
            <sz val="9"/>
            <color indexed="81"/>
            <rFont val="Tahoma"/>
            <family val="2"/>
          </rPr>
          <t xml:space="preserve">
$100 per</t>
        </r>
      </text>
    </comment>
    <comment ref="B170" authorId="1">
      <text>
        <r>
          <rPr>
            <b/>
            <sz val="9"/>
            <color indexed="81"/>
            <rFont val="Tahoma"/>
            <family val="2"/>
          </rPr>
          <t>nori:</t>
        </r>
        <r>
          <rPr>
            <sz val="9"/>
            <color indexed="81"/>
            <rFont val="Tahoma"/>
            <family val="2"/>
          </rPr>
          <t xml:space="preserve">
 $50 vaccutainers + $50 reagents</t>
        </r>
      </text>
    </comment>
    <comment ref="B183" authorId="1">
      <text>
        <r>
          <rPr>
            <b/>
            <sz val="9"/>
            <color indexed="81"/>
            <rFont val="Tahoma"/>
            <family val="2"/>
          </rPr>
          <t>nori:</t>
        </r>
        <r>
          <rPr>
            <sz val="9"/>
            <color indexed="81"/>
            <rFont val="Tahoma"/>
            <family val="2"/>
          </rPr>
          <t xml:space="preserve">
$1200 per year for first two years</t>
        </r>
      </text>
    </comment>
    <comment ref="B193" authorId="1">
      <text>
        <r>
          <rPr>
            <b/>
            <sz val="9"/>
            <color indexed="81"/>
            <rFont val="Tahoma"/>
            <family val="2"/>
          </rPr>
          <t>nori:</t>
        </r>
        <r>
          <rPr>
            <sz val="9"/>
            <color indexed="81"/>
            <rFont val="Tahoma"/>
            <family val="2"/>
          </rPr>
          <t xml:space="preserve">
$5490 annual license</t>
        </r>
      </text>
    </comment>
    <comment ref="B194" authorId="1">
      <text>
        <r>
          <rPr>
            <b/>
            <sz val="9"/>
            <color indexed="81"/>
            <rFont val="Tahoma"/>
            <family val="2"/>
          </rPr>
          <t>nori:</t>
        </r>
        <r>
          <rPr>
            <sz val="9"/>
            <color indexed="81"/>
            <rFont val="Tahoma"/>
            <family val="2"/>
          </rPr>
          <t xml:space="preserve">
$910 ea annual license, 7 licenses</t>
        </r>
      </text>
    </comment>
    <comment ref="B195" authorId="1">
      <text>
        <r>
          <rPr>
            <b/>
            <sz val="9"/>
            <color indexed="81"/>
            <rFont val="Tahoma"/>
            <family val="2"/>
          </rPr>
          <t>nori:</t>
        </r>
        <r>
          <rPr>
            <sz val="9"/>
            <color indexed="81"/>
            <rFont val="Tahoma"/>
            <family val="2"/>
          </rPr>
          <t xml:space="preserve">
$1095/yr per node, 2 licenses</t>
        </r>
      </text>
    </comment>
  </commentList>
</comments>
</file>

<file path=xl/comments3.xml><?xml version="1.0" encoding="utf-8"?>
<comments xmlns="http://schemas.openxmlformats.org/spreadsheetml/2006/main">
  <authors>
    <author>NY</author>
  </authors>
  <commentList>
    <comment ref="R49" authorId="0">
      <text>
        <r>
          <rPr>
            <b/>
            <sz val="9"/>
            <color indexed="81"/>
            <rFont val="Tahoma"/>
            <family val="2"/>
          </rPr>
          <t>NY:</t>
        </r>
        <r>
          <rPr>
            <sz val="9"/>
            <color indexed="81"/>
            <rFont val="Tahoma"/>
            <family val="2"/>
          </rPr>
          <t xml:space="preserve">
From WF: 3 people/day assume 500 strips per day @ 8 hrs -&gt; 0.048 strips per hour.</t>
        </r>
      </text>
    </comment>
  </commentList>
</comments>
</file>

<file path=xl/comments4.xml><?xml version="1.0" encoding="utf-8"?>
<comments xmlns="http://schemas.openxmlformats.org/spreadsheetml/2006/main">
  <authors>
    <author>nori</author>
  </authors>
  <commentList>
    <comment ref="B5" authorId="0">
      <text>
        <r>
          <rPr>
            <b/>
            <sz val="9"/>
            <color indexed="81"/>
            <rFont val="Tahoma"/>
            <family val="2"/>
          </rPr>
          <t>nori:</t>
        </r>
        <r>
          <rPr>
            <sz val="9"/>
            <color indexed="81"/>
            <rFont val="Tahoma"/>
            <family val="2"/>
          </rPr>
          <t xml:space="preserve">
$750 per, 1.5x buffer</t>
        </r>
      </text>
    </comment>
    <comment ref="B6" authorId="0">
      <text>
        <r>
          <rPr>
            <b/>
            <sz val="9"/>
            <color indexed="81"/>
            <rFont val="Tahoma"/>
            <family val="2"/>
          </rPr>
          <t>nori:</t>
        </r>
        <r>
          <rPr>
            <sz val="9"/>
            <color indexed="81"/>
            <rFont val="Tahoma"/>
            <family val="2"/>
          </rPr>
          <t xml:space="preserve">
$250 per, 1.5x buffer</t>
        </r>
      </text>
    </comment>
    <comment ref="B7" authorId="0">
      <text>
        <r>
          <rPr>
            <b/>
            <sz val="9"/>
            <color indexed="81"/>
            <rFont val="Tahoma"/>
            <family val="2"/>
          </rPr>
          <t>nori:</t>
        </r>
        <r>
          <rPr>
            <sz val="9"/>
            <color indexed="81"/>
            <rFont val="Tahoma"/>
            <family val="2"/>
          </rPr>
          <t xml:space="preserve">
$2000 per</t>
        </r>
      </text>
    </comment>
    <comment ref="B8" authorId="0">
      <text>
        <r>
          <rPr>
            <b/>
            <sz val="9"/>
            <color indexed="81"/>
            <rFont val="Tahoma"/>
            <family val="2"/>
          </rPr>
          <t>nori:</t>
        </r>
        <r>
          <rPr>
            <sz val="9"/>
            <color indexed="81"/>
            <rFont val="Tahoma"/>
            <family val="2"/>
          </rPr>
          <t xml:space="preserve">
$1000, 1.5x buffer</t>
        </r>
      </text>
    </comment>
    <comment ref="B9" authorId="0">
      <text>
        <r>
          <rPr>
            <b/>
            <sz val="9"/>
            <color indexed="81"/>
            <rFont val="Tahoma"/>
            <family val="2"/>
          </rPr>
          <t>nori:</t>
        </r>
        <r>
          <rPr>
            <sz val="9"/>
            <color indexed="81"/>
            <rFont val="Tahoma"/>
            <family val="2"/>
          </rPr>
          <t xml:space="preserve">
$1500, 1.5x buffer</t>
        </r>
      </text>
    </comment>
    <comment ref="B12" authorId="0">
      <text>
        <r>
          <rPr>
            <b/>
            <sz val="9"/>
            <color indexed="81"/>
            <rFont val="Tahoma"/>
            <family val="2"/>
          </rPr>
          <t>nori:</t>
        </r>
        <r>
          <rPr>
            <sz val="9"/>
            <color indexed="81"/>
            <rFont val="Tahoma"/>
            <family val="2"/>
          </rPr>
          <t xml:space="preserve">
$16k ea x2</t>
        </r>
      </text>
    </comment>
    <comment ref="B13" authorId="0">
      <text>
        <r>
          <rPr>
            <b/>
            <sz val="9"/>
            <color indexed="81"/>
            <rFont val="Tahoma"/>
            <family val="2"/>
          </rPr>
          <t>nori:</t>
        </r>
        <r>
          <rPr>
            <sz val="9"/>
            <color indexed="81"/>
            <rFont val="Tahoma"/>
            <family val="2"/>
          </rPr>
          <t xml:space="preserve">
$750 ea</t>
        </r>
      </text>
    </comment>
    <comment ref="B15" authorId="0">
      <text>
        <r>
          <rPr>
            <b/>
            <sz val="9"/>
            <color indexed="81"/>
            <rFont val="Tahoma"/>
            <family val="2"/>
          </rPr>
          <t>nori:</t>
        </r>
        <r>
          <rPr>
            <sz val="9"/>
            <color indexed="81"/>
            <rFont val="Tahoma"/>
            <family val="2"/>
          </rPr>
          <t xml:space="preserve">
$400 ea</t>
        </r>
      </text>
    </comment>
    <comment ref="B16" authorId="0">
      <text>
        <r>
          <rPr>
            <b/>
            <sz val="9"/>
            <color indexed="81"/>
            <rFont val="Tahoma"/>
            <family val="2"/>
          </rPr>
          <t>nori:</t>
        </r>
        <r>
          <rPr>
            <sz val="9"/>
            <color indexed="81"/>
            <rFont val="Tahoma"/>
            <family val="2"/>
          </rPr>
          <t xml:space="preserve">
Metal cabinets $250 x 3, Fire safety cabinet $1k</t>
        </r>
      </text>
    </comment>
    <comment ref="B17" authorId="0">
      <text>
        <r>
          <rPr>
            <b/>
            <sz val="9"/>
            <color indexed="81"/>
            <rFont val="Tahoma"/>
            <family val="2"/>
          </rPr>
          <t>nori:</t>
        </r>
        <r>
          <rPr>
            <sz val="9"/>
            <color indexed="81"/>
            <rFont val="Tahoma"/>
            <family val="2"/>
          </rPr>
          <t xml:space="preserve">
 $60 x 4</t>
        </r>
      </text>
    </comment>
    <comment ref="B19" authorId="0">
      <text>
        <r>
          <rPr>
            <b/>
            <sz val="9"/>
            <color indexed="81"/>
            <rFont val="Tahoma"/>
            <family val="2"/>
          </rPr>
          <t>nori:</t>
        </r>
        <r>
          <rPr>
            <sz val="9"/>
            <color indexed="81"/>
            <rFont val="Tahoma"/>
            <family val="2"/>
          </rPr>
          <t xml:space="preserve">
$300-700 ea., 10-15 total</t>
        </r>
      </text>
    </comment>
    <comment ref="B22" authorId="0">
      <text>
        <r>
          <rPr>
            <b/>
            <sz val="9"/>
            <color indexed="81"/>
            <rFont val="Tahoma"/>
            <family val="2"/>
          </rPr>
          <t>nori:</t>
        </r>
        <r>
          <rPr>
            <sz val="9"/>
            <color indexed="81"/>
            <rFont val="Tahoma"/>
            <family val="2"/>
          </rPr>
          <t xml:space="preserve">
$500/mo waste disposal and $1k/mo med waste disposal</t>
        </r>
      </text>
    </comment>
    <comment ref="C22" authorId="0">
      <text>
        <r>
          <rPr>
            <b/>
            <sz val="9"/>
            <color indexed="81"/>
            <rFont val="Tahoma"/>
            <family val="2"/>
          </rPr>
          <t>nori:</t>
        </r>
        <r>
          <rPr>
            <sz val="9"/>
            <color indexed="81"/>
            <rFont val="Tahoma"/>
            <family val="2"/>
          </rPr>
          <t xml:space="preserve">
line 70 in Develop sheet</t>
        </r>
      </text>
    </comment>
    <comment ref="B23" authorId="0">
      <text>
        <r>
          <rPr>
            <b/>
            <sz val="9"/>
            <color indexed="81"/>
            <rFont val="Tahoma"/>
            <family val="2"/>
          </rPr>
          <t>nori:</t>
        </r>
        <r>
          <rPr>
            <sz val="9"/>
            <color indexed="81"/>
            <rFont val="Tahoma"/>
            <family val="2"/>
          </rPr>
          <t xml:space="preserve">
$30.4k, consumables in Develop sheet</t>
        </r>
      </text>
    </comment>
    <comment ref="B26" authorId="0">
      <text>
        <r>
          <rPr>
            <b/>
            <sz val="9"/>
            <color indexed="81"/>
            <rFont val="Tahoma"/>
            <family val="2"/>
          </rPr>
          <t>nori:</t>
        </r>
        <r>
          <rPr>
            <sz val="9"/>
            <color indexed="81"/>
            <rFont val="Tahoma"/>
            <family val="2"/>
          </rPr>
          <t xml:space="preserve">
$4500ea x 4</t>
        </r>
      </text>
    </comment>
    <comment ref="B27" authorId="0">
      <text>
        <r>
          <rPr>
            <b/>
            <sz val="9"/>
            <color indexed="81"/>
            <rFont val="Tahoma"/>
            <family val="2"/>
          </rPr>
          <t>nori:</t>
        </r>
        <r>
          <rPr>
            <sz val="9"/>
            <color indexed="81"/>
            <rFont val="Tahoma"/>
            <family val="2"/>
          </rPr>
          <t xml:space="preserve">
$2.4k x 2</t>
        </r>
      </text>
    </comment>
    <comment ref="B28" authorId="0">
      <text>
        <r>
          <rPr>
            <b/>
            <sz val="9"/>
            <color indexed="81"/>
            <rFont val="Tahoma"/>
            <family val="2"/>
          </rPr>
          <t>nori:</t>
        </r>
        <r>
          <rPr>
            <sz val="9"/>
            <color indexed="81"/>
            <rFont val="Tahoma"/>
            <family val="2"/>
          </rPr>
          <t xml:space="preserve">
$1k x 3</t>
        </r>
      </text>
    </comment>
    <comment ref="B29" authorId="0">
      <text>
        <r>
          <rPr>
            <b/>
            <sz val="9"/>
            <color indexed="81"/>
            <rFont val="Tahoma"/>
            <family val="2"/>
          </rPr>
          <t>nori:</t>
        </r>
        <r>
          <rPr>
            <sz val="9"/>
            <color indexed="81"/>
            <rFont val="Tahoma"/>
            <family val="2"/>
          </rPr>
          <t xml:space="preserve">
Multimeter $500x4, source meter $14k</t>
        </r>
      </text>
    </comment>
  </commentList>
</comments>
</file>

<file path=xl/sharedStrings.xml><?xml version="1.0" encoding="utf-8"?>
<sst xmlns="http://schemas.openxmlformats.org/spreadsheetml/2006/main" count="2855" uniqueCount="1161">
  <si>
    <t>Mth 1</t>
  </si>
  <si>
    <t>Mth 2</t>
  </si>
  <si>
    <t>Mth 3</t>
  </si>
  <si>
    <t>Mth 4</t>
  </si>
  <si>
    <t>Mth 5</t>
  </si>
  <si>
    <t>Mth 6</t>
  </si>
  <si>
    <t>Mth 7</t>
  </si>
  <si>
    <t>Mth 8</t>
  </si>
  <si>
    <t>Mth 9</t>
  </si>
  <si>
    <t>Mth 10</t>
  </si>
  <si>
    <t>Mth 11</t>
  </si>
  <si>
    <t>Mth 12</t>
  </si>
  <si>
    <t>Year 1</t>
  </si>
  <si>
    <t>Year 2</t>
  </si>
  <si>
    <t>Direct Labor</t>
  </si>
  <si>
    <t>Salaries</t>
  </si>
  <si>
    <t>Bonus &amp; Incentives</t>
  </si>
  <si>
    <t>Total Wages</t>
  </si>
  <si>
    <t>Taxes</t>
  </si>
  <si>
    <t>Vacation</t>
  </si>
  <si>
    <t>Healthcare</t>
  </si>
  <si>
    <t>Worker Comp Ins</t>
  </si>
  <si>
    <t>401(k)</t>
  </si>
  <si>
    <t>Total Benefits Costs</t>
  </si>
  <si>
    <t>Total Wages &amp; Benefits</t>
  </si>
  <si>
    <t>IT &amp; network support</t>
  </si>
  <si>
    <t>Accounting &amp; Tax</t>
  </si>
  <si>
    <t>Recruiting</t>
  </si>
  <si>
    <t>Other O/S Service</t>
  </si>
  <si>
    <t>Total Outside service</t>
  </si>
  <si>
    <t>Literature</t>
  </si>
  <si>
    <t>Adertising, online</t>
  </si>
  <si>
    <t>Advertising, print</t>
  </si>
  <si>
    <t>Launch marketing &amp; website</t>
  </si>
  <si>
    <t>Trade Shows</t>
  </si>
  <si>
    <t>Total Marketing expenses</t>
  </si>
  <si>
    <t xml:space="preserve">ABSi </t>
  </si>
  <si>
    <t>Clinical trials</t>
  </si>
  <si>
    <t>Expensed tools &amp; equip.</t>
  </si>
  <si>
    <t>Equipment rental</t>
  </si>
  <si>
    <t>Devel &amp; Factory supplies</t>
  </si>
  <si>
    <t>Misc operations Exp</t>
  </si>
  <si>
    <t>Total Devel &amp; Factory expense</t>
  </si>
  <si>
    <t>Insurance</t>
  </si>
  <si>
    <t>Property Tax</t>
  </si>
  <si>
    <t>Training expense</t>
  </si>
  <si>
    <t>Bad debts</t>
  </si>
  <si>
    <t>Postage</t>
  </si>
  <si>
    <t>Courier &amp; frieght</t>
  </si>
  <si>
    <t>Total admin expense</t>
  </si>
  <si>
    <t>Rent</t>
  </si>
  <si>
    <t>Utilities</t>
  </si>
  <si>
    <t>Telephone &amp; internet</t>
  </si>
  <si>
    <t>Depreciation</t>
  </si>
  <si>
    <t>Total Facilities Expense</t>
  </si>
  <si>
    <t>Total Spending</t>
  </si>
  <si>
    <t>Staffing</t>
  </si>
  <si>
    <t>Employee 9</t>
  </si>
  <si>
    <t>Employee 10</t>
  </si>
  <si>
    <t>Employee</t>
  </si>
  <si>
    <t>Wage</t>
  </si>
  <si>
    <t>Start Date</t>
  </si>
  <si>
    <t>Increase</t>
  </si>
  <si>
    <t>Consultants</t>
  </si>
  <si>
    <t>Consultant 1</t>
  </si>
  <si>
    <t>Consultant 2</t>
  </si>
  <si>
    <t>Consultant 3</t>
  </si>
  <si>
    <t>Consultant 4</t>
  </si>
  <si>
    <t>Consultant 5</t>
  </si>
  <si>
    <t>Consultant 6</t>
  </si>
  <si>
    <t>Consultant 7</t>
  </si>
  <si>
    <t>Consultant 8</t>
  </si>
  <si>
    <t>Consultant 9</t>
  </si>
  <si>
    <t>Consultant 10</t>
  </si>
  <si>
    <t>Consultant 11</t>
  </si>
  <si>
    <t>Consultant 12</t>
  </si>
  <si>
    <t>Consultant 13</t>
  </si>
  <si>
    <t>Consultant 14</t>
  </si>
  <si>
    <t>Consultant 15</t>
  </si>
  <si>
    <t>Total consultants</t>
  </si>
  <si>
    <t>Total wages</t>
  </si>
  <si>
    <t>Ramkumar, Abhishek</t>
  </si>
  <si>
    <t>Yoshimizu, Norimasa</t>
  </si>
  <si>
    <t>Senior Mgr/Syst Dev</t>
  </si>
  <si>
    <t>Biochemist</t>
  </si>
  <si>
    <t>Process Engineer</t>
  </si>
  <si>
    <t>Q/A design control</t>
  </si>
  <si>
    <t>MfG Tech 1</t>
  </si>
  <si>
    <t>Mfg Tech 2</t>
  </si>
  <si>
    <t>Phlebotomist</t>
  </si>
  <si>
    <t xml:space="preserve">Regulatory </t>
  </si>
  <si>
    <t>Chief medical officer</t>
  </si>
  <si>
    <t>Office supplies</t>
  </si>
  <si>
    <t>Licenses &amp; permits</t>
  </si>
  <si>
    <t>Biohazard &amp; Sharps waste removal</t>
  </si>
  <si>
    <t>Legal</t>
  </si>
  <si>
    <t>Plan Spending - G&amp;A</t>
  </si>
  <si>
    <t>Capital Spending &amp; Depreciation</t>
  </si>
  <si>
    <t>Loc</t>
  </si>
  <si>
    <t>Item</t>
  </si>
  <si>
    <t>Org</t>
  </si>
  <si>
    <t>Class</t>
  </si>
  <si>
    <t>Office</t>
  </si>
  <si>
    <t>Solidworks Professional</t>
  </si>
  <si>
    <t>Reference Engineering Scientific books</t>
  </si>
  <si>
    <t>IEC 61010-1, -2-101, ISO14971, ISO15198, ISO17511, ISO 11073</t>
  </si>
  <si>
    <t>ISO 18113-5, ISO 18113-4, IEC 60068-2-64, EN 13612, ISO 17593</t>
  </si>
  <si>
    <t>Other IEC/ISO</t>
  </si>
  <si>
    <t>Furniture</t>
  </si>
  <si>
    <t>Computers</t>
  </si>
  <si>
    <t>Devel</t>
  </si>
  <si>
    <t>G&amp;A</t>
  </si>
  <si>
    <t>BioChem Lab</t>
  </si>
  <si>
    <t>Stereo microscope</t>
  </si>
  <si>
    <t>Heat sealer</t>
  </si>
  <si>
    <t>Lab tables 2 x $400</t>
  </si>
  <si>
    <t>Soldering station</t>
  </si>
  <si>
    <t>Centrifuge</t>
  </si>
  <si>
    <t>BioChem Lab supplies</t>
  </si>
  <si>
    <t>Expensed</t>
  </si>
  <si>
    <t>Equip</t>
  </si>
  <si>
    <t>Multimeter ($500 x 4), source meter ($14k)</t>
  </si>
  <si>
    <t>Lock-in Amp, Pre-Amp</t>
  </si>
  <si>
    <t>Coaguchek, INRatio meters &amp; strips, 5 meters each, 100 strips per mo</t>
  </si>
  <si>
    <t>Instrument maintenance and calibration $5k per yr</t>
  </si>
  <si>
    <t>Elect Lab</t>
  </si>
  <si>
    <t>Repair, Maint &amp; Calibration</t>
  </si>
  <si>
    <t>Pilot Lab</t>
  </si>
  <si>
    <t>Pilot Lab clean room infrastructure: Dry walls, HEPA fan+filter, etc.</t>
  </si>
  <si>
    <t>Benchtop lamination equipment to align &amp; laminate strip top &amp; bottom halfs -- Kinematic Automation, Matrix 2210 $8625 3yr warranty (http://www.kinematic.com/2210.htm)</t>
  </si>
  <si>
    <t xml:space="preserve">Benchtop Precise reagent dispensing instrumentation -- Kinematic Automation, Matrix 1600  $29,000 3 yr warranty (http://www.kinematic.com/1600.htm). </t>
  </si>
  <si>
    <t>Reagent dryer, custom, assume $10k</t>
  </si>
  <si>
    <t>Benchtop Final dice cutter -- 
Kinematic Automation, Matrix 2360, $16000 (3 yr warranty) (http://www.kinematic.com/2360.htm).</t>
  </si>
  <si>
    <t>Medical grade temperature controlled heat sealer -- Sorbent Systems unit (https://www.sorbentsystems.com/medical_sealer.html)</t>
  </si>
  <si>
    <t>Devl materials general</t>
  </si>
  <si>
    <t>Devl materials Meter</t>
  </si>
  <si>
    <t>Devl materials Strip</t>
  </si>
  <si>
    <t>Regulatory</t>
  </si>
  <si>
    <t>510(k)</t>
  </si>
  <si>
    <t>Misc Pilot lab consumables</t>
  </si>
  <si>
    <t>Meter Research: Breadboard prototypes</t>
  </si>
  <si>
    <t>Meter fab (SLA, board, assembly, 10 units @ $1500 per)</t>
  </si>
  <si>
    <t>Meter Development: GMP equivalent Beta prototypes</t>
  </si>
  <si>
    <t>Injection molding (low vol: $15k tooling, $1k materials/prod) for 300, custompart.net price estimator; 200 for clinical trials, 50 for verification</t>
  </si>
  <si>
    <t>Board COGS 64.65 x 1.5, PCB assembly for $70/each, Total = 300 units</t>
  </si>
  <si>
    <t xml:space="preserve">3rd party GMP equivalent manufacture (see INRatio2 Breakdown, INReadybasic min a.m.LCD PCB @ 1500 units w/ 1.5x buffer + 15min labor at $65/hr + $5/dev packaging and inserts), profit 25% + $50k NRE </t>
  </si>
  <si>
    <t>TP: $100x2 per week (rTF)</t>
  </si>
  <si>
    <t>Interferometer (homemade) 
chopper 1200, 500 board, 700 optomechanics, 750 optics, 150 detect, misc 500</t>
  </si>
  <si>
    <t>Table-top strip test setup (mechanics, assume no more elec equipment)</t>
  </si>
  <si>
    <t>Laser cutter, $500 every 2Q for maintenance (filters, lenses, cleaners)</t>
  </si>
  <si>
    <t>Thermal control equip controller $1k x2 TEC elements $500</t>
  </si>
  <si>
    <t>Lab refrigerator $2.5k ea x2, incubator $1.5k x2, freezer $2.5k, temp storage $1k</t>
  </si>
  <si>
    <t>COMSOL</t>
  </si>
  <si>
    <t>PET films ($10k for SS, $10k for DS, $10k for hydrophilic layer), $20k (SS, hydrophilic) twice more for testing lot variation, need 3 sets total for FDA; see production for final lot</t>
  </si>
  <si>
    <t>Strip</t>
  </si>
  <si>
    <t>Pouches Sorbent systems PAKVF4C (2.5"x4") $0.35/bag (&lt;500), $0.13/bag (600-1900), $0.08/bag (2000-4900), $0.05/bag (&gt;5000) (https://www.sorbentsystems.com/minipouches.html)</t>
  </si>
  <si>
    <t>Dessicant $0.1 per</t>
  </si>
  <si>
    <t>Coaguchek strips (140 @ $7 ea)</t>
  </si>
  <si>
    <t>Coaguchek pipettes (400 at $25 per 50)</t>
  </si>
  <si>
    <t>GVP ($500 per screen (up to 5 runs @ 400 pieces), $1.70 per piece, 1.5x for hydrophilic layer) 4000*2</t>
  </si>
  <si>
    <t>GVP ($500 per screen (up to 5 runs @ 400 pieces), $1.70 per piece, 1.5x for hydrophilic layer) 2400*2</t>
  </si>
  <si>
    <t>Dessicant $0.2 per</t>
  </si>
  <si>
    <t>Coaguchek strips (600 @ $7 ea)</t>
  </si>
  <si>
    <t>Coaguchek pipettes (5000 at $25 per 50)</t>
  </si>
  <si>
    <t>GVP ($500 per screen (up to 5 runs @ 400 pieces), $1.70 per piece, 1.5x for hydrophilic layer) 4500*2</t>
  </si>
  <si>
    <t>Travel</t>
  </si>
  <si>
    <t>Year 3</t>
  </si>
  <si>
    <t>Total</t>
  </si>
  <si>
    <t>Q1</t>
  </si>
  <si>
    <t>Q2</t>
  </si>
  <si>
    <t>Q3</t>
  </si>
  <si>
    <t>Q4</t>
  </si>
  <si>
    <t>Solvents (IPA, Bleach, Cidex)</t>
  </si>
  <si>
    <t>Passives, solder, etc.</t>
  </si>
  <si>
    <t>Misc</t>
  </si>
  <si>
    <t>Total Travel</t>
  </si>
  <si>
    <t>Total General matls</t>
  </si>
  <si>
    <t>Total Meter Materals</t>
  </si>
  <si>
    <t>Total repair maint &amp; Calibration</t>
  </si>
  <si>
    <t>Expense Tools</t>
  </si>
  <si>
    <t>Dessicant $0.05 per strip</t>
  </si>
  <si>
    <t>Revenue</t>
  </si>
  <si>
    <t>Meters</t>
  </si>
  <si>
    <t>Strips</t>
  </si>
  <si>
    <t>Total Revenue</t>
  </si>
  <si>
    <t>COGS</t>
  </si>
  <si>
    <t>Factory Spending</t>
  </si>
  <si>
    <t>Margin</t>
  </si>
  <si>
    <t>Department Spending</t>
  </si>
  <si>
    <t>Sales &amp; Marketing</t>
  </si>
  <si>
    <t>Development</t>
  </si>
  <si>
    <t>Total dept spending</t>
  </si>
  <si>
    <t>Operating Income</t>
  </si>
  <si>
    <t>Other I&amp;E</t>
  </si>
  <si>
    <t>Interest Exp</t>
  </si>
  <si>
    <t>Income before tax</t>
  </si>
  <si>
    <t>Income tax</t>
  </si>
  <si>
    <t>Net Income</t>
  </si>
  <si>
    <t>Totals from depts</t>
  </si>
  <si>
    <t>S&amp;M</t>
  </si>
  <si>
    <t>Develop</t>
  </si>
  <si>
    <t>Factory</t>
  </si>
  <si>
    <t>variance</t>
  </si>
  <si>
    <t>Transportiation</t>
  </si>
  <si>
    <t>Lodging</t>
  </si>
  <si>
    <t>Meals</t>
  </si>
  <si>
    <t>Biohazard &amp; Sharps Wate</t>
  </si>
  <si>
    <t>Q/A design control2</t>
  </si>
  <si>
    <t>Gross Profit</t>
  </si>
  <si>
    <t>Plan Spending - All</t>
  </si>
  <si>
    <t>Plan Spending - Sales &amp; Marketing</t>
  </si>
  <si>
    <t>Plan Spending - Development</t>
  </si>
  <si>
    <t>Plan Spending - Factory</t>
  </si>
  <si>
    <t>Customer5</t>
  </si>
  <si>
    <t>Customer6</t>
  </si>
  <si>
    <t>Customer7</t>
  </si>
  <si>
    <t>Customer8</t>
  </si>
  <si>
    <t>Customer9</t>
  </si>
  <si>
    <t>Customer10</t>
  </si>
  <si>
    <t>Meters Units</t>
  </si>
  <si>
    <t>Total Meters</t>
  </si>
  <si>
    <t>Strip Units</t>
  </si>
  <si>
    <t>Meter Sales</t>
  </si>
  <si>
    <t>Total Strips</t>
  </si>
  <si>
    <t>Strips Revenue</t>
  </si>
  <si>
    <t>ASP</t>
  </si>
  <si>
    <t>Meters COGS</t>
  </si>
  <si>
    <t>Total Meter COGS</t>
  </si>
  <si>
    <t>Strip Cogs</t>
  </si>
  <si>
    <t>Unit Cost</t>
  </si>
  <si>
    <t>LHI</t>
  </si>
  <si>
    <t xml:space="preserve"> </t>
  </si>
  <si>
    <t>Devel materials Meter</t>
  </si>
  <si>
    <t>Devel materials general</t>
  </si>
  <si>
    <t>Devel materials Strip</t>
  </si>
  <si>
    <t>Software Licenses</t>
  </si>
  <si>
    <t>ORCad professional 1YR @2300</t>
  </si>
  <si>
    <t>Total Software Licenses</t>
  </si>
  <si>
    <t>Totals by Org</t>
  </si>
  <si>
    <t xml:space="preserve">Ref books </t>
  </si>
  <si>
    <t>Total Expense tools</t>
  </si>
  <si>
    <t>Depreciation Expense</t>
  </si>
  <si>
    <t>P&amp;L</t>
  </si>
  <si>
    <t xml:space="preserve">Revenue and Cost of Goods sold.  </t>
  </si>
  <si>
    <t>Total capitial Spending</t>
  </si>
  <si>
    <t>Marketing Manager</t>
  </si>
  <si>
    <t>Balance Sheet</t>
  </si>
  <si>
    <t>Current Assets</t>
  </si>
  <si>
    <t>Cash</t>
  </si>
  <si>
    <t>Inventory</t>
  </si>
  <si>
    <t>Total Current Assets</t>
  </si>
  <si>
    <t>Long Term Assets</t>
  </si>
  <si>
    <t>Deposits</t>
  </si>
  <si>
    <t>Total Assets</t>
  </si>
  <si>
    <t>Current Liabiliteis</t>
  </si>
  <si>
    <t>Acconts payable</t>
  </si>
  <si>
    <t>Fixed assets</t>
  </si>
  <si>
    <t>Accounts receivable</t>
  </si>
  <si>
    <t>Prepaid expenses</t>
  </si>
  <si>
    <t>Total long term assets</t>
  </si>
  <si>
    <t>Total liabilities</t>
  </si>
  <si>
    <t>Equity</t>
  </si>
  <si>
    <t>Retained earning</t>
  </si>
  <si>
    <t>Common stock</t>
  </si>
  <si>
    <t>Opening</t>
  </si>
  <si>
    <t>Total equity</t>
  </si>
  <si>
    <t>Total equity &amp; Liab</t>
  </si>
  <si>
    <t>Total depreciation Expense</t>
  </si>
  <si>
    <t>Lease Deposit</t>
  </si>
  <si>
    <t>Warranty liability</t>
  </si>
  <si>
    <t>Meter Warranty</t>
  </si>
  <si>
    <t>Beginning Balance</t>
  </si>
  <si>
    <t>Shipments</t>
  </si>
  <si>
    <t>Collections</t>
  </si>
  <si>
    <t>DSO (days sales outstanding</t>
  </si>
  <si>
    <t>Beginning balance</t>
  </si>
  <si>
    <t>Ending balance</t>
  </si>
  <si>
    <t>Units</t>
  </si>
  <si>
    <t>Production</t>
  </si>
  <si>
    <t>Available</t>
  </si>
  <si>
    <t>Sold</t>
  </si>
  <si>
    <t>Days Supply</t>
  </si>
  <si>
    <t>Ending</t>
  </si>
  <si>
    <t>Purchases</t>
  </si>
  <si>
    <t>Strip Production - Unit Cost</t>
  </si>
  <si>
    <t>PET film</t>
  </si>
  <si>
    <t xml:space="preserve">Pouches Sorbent systems PAKVF4C (2.5"x4") </t>
  </si>
  <si>
    <t>Est production loss</t>
  </si>
  <si>
    <t>Units into production</t>
  </si>
  <si>
    <t>Total Material Cost</t>
  </si>
  <si>
    <t>Labor Hours</t>
  </si>
  <si>
    <t>Labor Rate</t>
  </si>
  <si>
    <t>Overhead Rate</t>
  </si>
  <si>
    <t>Production Cost</t>
  </si>
  <si>
    <t>Material</t>
  </si>
  <si>
    <t>Labor</t>
  </si>
  <si>
    <t>Overhead</t>
  </si>
  <si>
    <t>Direct Labor Rate</t>
  </si>
  <si>
    <t xml:space="preserve">Total Spending </t>
  </si>
  <si>
    <t>MFG</t>
  </si>
  <si>
    <t>Input units</t>
  </si>
  <si>
    <t>complete units</t>
  </si>
  <si>
    <t>Value of production</t>
  </si>
  <si>
    <t>Raw Material</t>
  </si>
  <si>
    <t>Unit cost</t>
  </si>
  <si>
    <t>Inventory Value</t>
  </si>
  <si>
    <t>Cost per units</t>
  </si>
  <si>
    <t>Total Inventory Value</t>
  </si>
  <si>
    <t>Factory spending</t>
  </si>
  <si>
    <t>Earned overhead</t>
  </si>
  <si>
    <t>Net factory spending</t>
  </si>
  <si>
    <t>Earned labor</t>
  </si>
  <si>
    <t>Earned hours</t>
  </si>
  <si>
    <t>Possible hours</t>
  </si>
  <si>
    <t>Unused hours</t>
  </si>
  <si>
    <t>Net Overhead</t>
  </si>
  <si>
    <t>Ending Raw Material</t>
  </si>
  <si>
    <t>To Production</t>
  </si>
  <si>
    <t>Less Wages &amp; Benefits</t>
  </si>
  <si>
    <t>Net Spending in payables</t>
  </si>
  <si>
    <t>Fixed Asset Purchases</t>
  </si>
  <si>
    <t>Inventory Purchases</t>
  </si>
  <si>
    <t>Total payables</t>
  </si>
  <si>
    <t>CaahFlow</t>
  </si>
  <si>
    <t>Net income (loss)</t>
  </si>
  <si>
    <t>Operating Activities</t>
  </si>
  <si>
    <t>Net cash impact due to income (loss)</t>
  </si>
  <si>
    <t>Changes in current assets &amp; liabilities</t>
  </si>
  <si>
    <t>other current assets</t>
  </si>
  <si>
    <t>Accounts payable</t>
  </si>
  <si>
    <t>Accrued liabilites</t>
  </si>
  <si>
    <t>Net cash provided (used) in operations</t>
  </si>
  <si>
    <t>Investing activities</t>
  </si>
  <si>
    <t>Net Cash used in investing activities</t>
  </si>
  <si>
    <t>Financing activities</t>
  </si>
  <si>
    <t>Sale of stock</t>
  </si>
  <si>
    <t>Purchase of fixed assets</t>
  </si>
  <si>
    <t>Net cash provided by (used in) financing activities</t>
  </si>
  <si>
    <t>Change in Cash Balance</t>
  </si>
  <si>
    <t>Beginning cash balance</t>
  </si>
  <si>
    <t>Ending cash balance</t>
  </si>
  <si>
    <t>Cash on balance sheet</t>
  </si>
  <si>
    <t>Adjustments to net income (Loss):</t>
  </si>
  <si>
    <t>Total COGS</t>
  </si>
  <si>
    <t>Total Strip COGS</t>
  </si>
  <si>
    <t>Strip margin</t>
  </si>
  <si>
    <t>Meter margin</t>
  </si>
  <si>
    <t>85% utilization</t>
  </si>
  <si>
    <t>Recruiting Fees</t>
  </si>
  <si>
    <t xml:space="preserve"> Total Recruiting</t>
  </si>
  <si>
    <t>Total Recuriting</t>
  </si>
  <si>
    <t>Labor Usage</t>
  </si>
  <si>
    <t>Ending Inventory Unit Cost</t>
  </si>
  <si>
    <t>Price</t>
  </si>
  <si>
    <t>Pouches</t>
  </si>
  <si>
    <t>Greater Than</t>
  </si>
  <si>
    <t>Sheet</t>
  </si>
  <si>
    <t>laser</t>
  </si>
  <si>
    <t>GVP Devices</t>
  </si>
  <si>
    <t>PET Film</t>
  </si>
  <si>
    <t>TP (rTF)</t>
  </si>
  <si>
    <t>Dessicant</t>
  </si>
  <si>
    <t>Utilization</t>
  </si>
  <si>
    <t>Monthly Strips per Head</t>
  </si>
  <si>
    <t>Efficiency</t>
  </si>
  <si>
    <t>Heads Required</t>
  </si>
  <si>
    <r>
      <t>Strips (</t>
    </r>
    <r>
      <rPr>
        <b/>
        <sz val="12"/>
        <color rgb="FFFF0000"/>
        <rFont val="Times New Roman"/>
        <family val="1"/>
      </rPr>
      <t>based on days supplies</t>
    </r>
    <r>
      <rPr>
        <b/>
        <sz val="12"/>
        <rFont val="Times New Roman"/>
        <family val="1"/>
      </rPr>
      <t>)</t>
    </r>
  </si>
  <si>
    <t>Current month</t>
  </si>
  <si>
    <t>Prior mth</t>
  </si>
  <si>
    <t>-2 mth</t>
  </si>
  <si>
    <t>-3 mth</t>
  </si>
  <si>
    <t>MfG Tech 3</t>
  </si>
  <si>
    <t>MfG Tech 4</t>
  </si>
  <si>
    <t>MfG Tech 5</t>
  </si>
  <si>
    <t>MfG Tech 6</t>
  </si>
  <si>
    <t>Yr 2 Mth2</t>
  </si>
  <si>
    <t>Yr 2 Mth5</t>
  </si>
  <si>
    <t>Yr 2 Mth8</t>
  </si>
  <si>
    <t>Yr 2 Mth 9</t>
  </si>
  <si>
    <t>Yr 2 Mth 11</t>
  </si>
  <si>
    <t>Heads</t>
  </si>
  <si>
    <t xml:space="preserve">GVP devices </t>
  </si>
  <si>
    <t>Tech/Prod Support 2</t>
  </si>
  <si>
    <t>Year 4</t>
  </si>
  <si>
    <t>% of Rev</t>
  </si>
  <si>
    <t>Percent of</t>
  </si>
  <si>
    <t>Rev</t>
  </si>
  <si>
    <t>PR Yr</t>
  </si>
  <si>
    <t>Year 5</t>
  </si>
  <si>
    <t>Year 6</t>
  </si>
  <si>
    <t>Accrued Liabilities</t>
  </si>
  <si>
    <t>Date</t>
  </si>
  <si>
    <t>Tab</t>
  </si>
  <si>
    <t>Change</t>
  </si>
  <si>
    <t>Revision</t>
  </si>
  <si>
    <t>B</t>
  </si>
  <si>
    <t>Changed strip Production units to use 3month looking forward COGS</t>
  </si>
  <si>
    <t>Added headcount and utilitzation calculations to Strip section</t>
  </si>
  <si>
    <t>Added inventory layers for Strip ending Inventory</t>
  </si>
  <si>
    <r>
      <t xml:space="preserve">Did </t>
    </r>
    <r>
      <rPr>
        <b/>
        <sz val="12"/>
        <color rgb="FFFF0000"/>
        <rFont val="Times New Roman"/>
        <family val="1"/>
      </rPr>
      <t>NOT</t>
    </r>
    <r>
      <rPr>
        <sz val="12"/>
        <rFont val="Times New Roman"/>
        <family val="1"/>
      </rPr>
      <t xml:space="preserve"> change formula on line 25 from user work book.  </t>
    </r>
  </si>
  <si>
    <t>changed labor and overhead to WIP to fiscal year value (see factory tab)</t>
  </si>
  <si>
    <t>Modified head count per user request</t>
  </si>
  <si>
    <t>Modified recrutiting cost to conform with changes in headcount</t>
  </si>
  <si>
    <t>Modified direct labor and overhead calculation to unieuq values for fiscal 2 and 3.</t>
  </si>
  <si>
    <t>Increased accounting fees to reflect revenue increases and income tax filing.</t>
  </si>
  <si>
    <t>Changes to Work Book</t>
  </si>
  <si>
    <t xml:space="preserve">Added income tax formula </t>
  </si>
  <si>
    <t>Added Quarterly P&amp;L for fiscal years 4,5 &amp; 6</t>
  </si>
  <si>
    <t>BS</t>
  </si>
  <si>
    <t>Added Quarterly data for fiscal years 4,5 &amp; 6</t>
  </si>
  <si>
    <t>Cash Flow</t>
  </si>
  <si>
    <t>Profit as % of Revneue</t>
  </si>
  <si>
    <t>New Market entry?</t>
  </si>
  <si>
    <t>EU, China</t>
  </si>
  <si>
    <t>Japan</t>
  </si>
  <si>
    <t>-</t>
  </si>
  <si>
    <t>Existing</t>
  </si>
  <si>
    <t>Meter ASP</t>
  </si>
  <si>
    <t>Marketing Professionals</t>
  </si>
  <si>
    <t>Y1</t>
  </si>
  <si>
    <t>Y2</t>
  </si>
  <si>
    <t>Y3</t>
  </si>
  <si>
    <t>Y4</t>
  </si>
  <si>
    <t>Y5</t>
  </si>
  <si>
    <t>Y6</t>
  </si>
  <si>
    <t>Tech/Product Support Professionals</t>
  </si>
  <si>
    <t>Strip Manufacturing Technician</t>
  </si>
  <si>
    <t>Product launch</t>
  </si>
  <si>
    <t>HemoSense</t>
  </si>
  <si>
    <t>Assumptions:</t>
  </si>
  <si>
    <t>Number of Patients</t>
  </si>
  <si>
    <t>Y4Q1</t>
  </si>
  <si>
    <t>Y4Q2</t>
  </si>
  <si>
    <t>Y4Q3</t>
  </si>
  <si>
    <t>Y4Q4</t>
  </si>
  <si>
    <t>Y1Q1</t>
  </si>
  <si>
    <t>Y1Q2</t>
  </si>
  <si>
    <t>Y1Q3</t>
  </si>
  <si>
    <t>Y1Q4</t>
  </si>
  <si>
    <t>Y2Q1</t>
  </si>
  <si>
    <t>Y1Total</t>
  </si>
  <si>
    <t>Y2Q2</t>
  </si>
  <si>
    <t>Y2Q3</t>
  </si>
  <si>
    <t>Y2Q4</t>
  </si>
  <si>
    <t>Y2Total</t>
  </si>
  <si>
    <t>Y3Q1</t>
  </si>
  <si>
    <t>Y3Q2</t>
  </si>
  <si>
    <t>Y3Q3</t>
  </si>
  <si>
    <t>Y3Q4</t>
  </si>
  <si>
    <t>Y3Total</t>
  </si>
  <si>
    <t>Y4Total</t>
  </si>
  <si>
    <t>Y5Q1</t>
  </si>
  <si>
    <t>Y5Q2</t>
  </si>
  <si>
    <t>Y5Q3</t>
  </si>
  <si>
    <t>Y5Q4</t>
  </si>
  <si>
    <t>Y5Total</t>
  </si>
  <si>
    <t>Y6Q1</t>
  </si>
  <si>
    <t>Y6Q2</t>
  </si>
  <si>
    <t>Y6Q3</t>
  </si>
  <si>
    <t>Y6Q4</t>
  </si>
  <si>
    <t>Y6Total</t>
  </si>
  <si>
    <t>Revenue - Meter</t>
  </si>
  <si>
    <t>Revenue - Strip</t>
  </si>
  <si>
    <t xml:space="preserve"> REVENUE</t>
  </si>
  <si>
    <t># Patients/Clinic (Avg)</t>
  </si>
  <si>
    <t>Justification</t>
  </si>
  <si>
    <t>EU, China ramp-up</t>
  </si>
  <si>
    <t>US ramp-up</t>
  </si>
  <si>
    <t>EU, China, JP ramp-up</t>
  </si>
  <si>
    <t>Wireless Interface Design w/ Partner</t>
  </si>
  <si>
    <t>Wireless Interface Testing</t>
  </si>
  <si>
    <t>Instrument Breadboard / Prototypes</t>
  </si>
  <si>
    <t>Instrument Prototypes (a)</t>
  </si>
  <si>
    <t>Instrument GMP for sale (Launch 1: Professional, Launch2: PST)</t>
  </si>
  <si>
    <t>Instrument GMP equivalent (b)</t>
  </si>
  <si>
    <t>Instrument Transfer to 3rd party MFG</t>
  </si>
  <si>
    <t>Strip Prototypes</t>
  </si>
  <si>
    <t>Strip GMP Equivalent</t>
  </si>
  <si>
    <t xml:space="preserve">System Integration </t>
  </si>
  <si>
    <t>Clinical Study (Design Validation)</t>
  </si>
  <si>
    <t>FDA 1</t>
  </si>
  <si>
    <t>FDA 2 / CLIA waiver</t>
  </si>
  <si>
    <t>Assay Development</t>
  </si>
  <si>
    <t>Design Verification</t>
  </si>
  <si>
    <t>Initial Product Stability (up to 12 months realtime)</t>
  </si>
  <si>
    <t>Kit GMP Equivalent</t>
  </si>
  <si>
    <t>Final Product Stability (6-8 months real time)</t>
  </si>
  <si>
    <t>In-house Strip Production (Launch 1: Professional, Launch2: PST)</t>
  </si>
  <si>
    <t>Kit Production (Launch 1: Professional, Launch2: PST)</t>
  </si>
  <si>
    <t>Pre-launch Marketing</t>
  </si>
  <si>
    <t>Post-launch Support &amp; Marketing</t>
  </si>
  <si>
    <t>rTF Choice</t>
  </si>
  <si>
    <t>rTF Bulk Stability</t>
  </si>
  <si>
    <t>Year.Month</t>
  </si>
  <si>
    <t>DR1</t>
  </si>
  <si>
    <t>DR2</t>
  </si>
  <si>
    <t>DR3</t>
  </si>
  <si>
    <t>DR4</t>
  </si>
  <si>
    <t>Launch 1: Professional</t>
  </si>
  <si>
    <t>Launch 2: 
PST</t>
  </si>
  <si>
    <t>Sales &amp; Marketing Activities</t>
  </si>
  <si>
    <t>Goals:</t>
  </si>
  <si>
    <t>Budget related activities:</t>
  </si>
  <si>
    <t>5 year goal is to achieve 10+% market share and a business in excess of $15 million</t>
  </si>
  <si>
    <t>HR: Sales &amp; Marketing team (2-3), Product &amp; Technical Support (1-2)</t>
  </si>
  <si>
    <r>
      <t xml:space="preserve">Activities should be </t>
    </r>
    <r>
      <rPr>
        <b/>
        <sz val="11"/>
        <color rgb="FF000000"/>
        <rFont val="Calibri"/>
        <family val="2"/>
        <scheme val="minor"/>
      </rPr>
      <t xml:space="preserve">Pre-launch marketing </t>
    </r>
    <r>
      <rPr>
        <sz val="11"/>
        <rFont val="Calibri"/>
        <family val="2"/>
        <scheme val="minor"/>
      </rPr>
      <t xml:space="preserve">and </t>
    </r>
    <r>
      <rPr>
        <b/>
        <sz val="11"/>
        <color rgb="FF000000"/>
        <rFont val="Calibri"/>
        <family val="2"/>
        <scheme val="minor"/>
      </rPr>
      <t>Post-launch marketing &amp; Support</t>
    </r>
  </si>
  <si>
    <t>Launch (Assumptions below)</t>
  </si>
  <si>
    <t>ACS</t>
  </si>
  <si>
    <t>PAC</t>
  </si>
  <si>
    <t>Stanford</t>
  </si>
  <si>
    <t>Post-launch Marketing &amp; Support</t>
  </si>
  <si>
    <t>Travel to potential AC clinic locations
Distribution, Supply-chain logistics</t>
  </si>
  <si>
    <r>
      <rPr>
        <b/>
        <sz val="11"/>
        <color rgb="FF000000"/>
        <rFont val="Calibri"/>
        <family val="2"/>
        <scheme val="minor"/>
      </rPr>
      <t xml:space="preserve">Pre-launch marketing: </t>
    </r>
    <r>
      <rPr>
        <sz val="11"/>
        <rFont val="Calibri"/>
        <family val="2"/>
        <scheme val="minor"/>
      </rPr>
      <t>Working closely with ACS &amp; PAC managers to identify adoption strategy and needs, Support infrastructure for Professional Launch</t>
    </r>
    <r>
      <rPr>
        <b/>
        <sz val="11"/>
        <color rgb="FF000000"/>
        <rFont val="Calibri"/>
        <family val="2"/>
        <scheme val="minor"/>
      </rPr>
      <t xml:space="preserve">
Launch:</t>
    </r>
    <r>
      <rPr>
        <sz val="11"/>
        <rFont val="Calibri"/>
        <family val="2"/>
        <scheme val="minor"/>
      </rPr>
      <t xml:space="preserve"> Launch schedule (2.7-3.6, on right)</t>
    </r>
  </si>
  <si>
    <t>2.7-2.9</t>
  </si>
  <si>
    <t>Professional</t>
  </si>
  <si>
    <t>1000 (1 site)</t>
  </si>
  <si>
    <t>Working closely with ACS &amp; PAC managers to identify adoption strategy and needs, Support infrastructure for Professional Launch  (shipment of strips, kit contents, training of clinicians, etc.)</t>
  </si>
  <si>
    <r>
      <rPr>
        <b/>
        <sz val="11"/>
        <color rgb="FF000000"/>
        <rFont val="Calibri"/>
        <family val="2"/>
        <scheme val="minor"/>
      </rPr>
      <t>Post-launch, Support:</t>
    </r>
    <r>
      <rPr>
        <sz val="11"/>
        <rFont val="Calibri"/>
        <family val="2"/>
        <scheme val="minor"/>
      </rPr>
      <t xml:space="preserve"> Service &amp; Repair (Instrument swap), Tech Support (MDR vigilence), Product Support (documentation, hardware, software updates, IFU, troubleshooting)</t>
    </r>
  </si>
  <si>
    <t>2.10-2.12</t>
  </si>
  <si>
    <t>PST</t>
  </si>
  <si>
    <t>650 (1 site)</t>
  </si>
  <si>
    <t>3.1-3.3</t>
  </si>
  <si>
    <t>1000 (2,3 sites)</t>
  </si>
  <si>
    <t>3.4-3.6</t>
  </si>
  <si>
    <t>350 (1,2 sites)</t>
  </si>
  <si>
    <t>Patients #</t>
  </si>
  <si>
    <r>
      <rPr>
        <b/>
        <sz val="11"/>
        <color rgb="FF000000"/>
        <rFont val="Calibri"/>
        <family val="2"/>
        <scheme val="minor"/>
      </rPr>
      <t xml:space="preserve">Post-launch, Marketing: </t>
    </r>
    <r>
      <rPr>
        <sz val="11"/>
        <rFont val="Calibri"/>
        <family val="2"/>
        <scheme val="minor"/>
      </rPr>
      <t>Sales growth in current accounts for Professional use, Promotion of PST use in current accounts, Support infrastructure for PST launch (shipment of strips, kit contents, training of clinicians, etc.)</t>
    </r>
  </si>
  <si>
    <t>Sales (Assumptions below)</t>
  </si>
  <si>
    <t>Annual Strip Revenue with 3 clinics</t>
  </si>
  <si>
    <t>Year 3 Revenue 
(3.1-3.12)</t>
  </si>
  <si>
    <t>MSRP</t>
  </si>
  <si>
    <t>Sales</t>
  </si>
  <si>
    <t>ACS (Advanced Cardiovascular Specialists, Mtn View, CA</t>
  </si>
  <si>
    <t>PAC (Providence Anticoagulation Clinic, Spokane, WA)</t>
  </si>
  <si>
    <t>Stanford (Pharmacy OAC, Stanford, CA)</t>
  </si>
  <si>
    <t>ACS Professional, 400 patients = 1 dedicated MA in ProTime room (with 1 backup MA)
Meters: 2 (+2 backup), say 5 required meters/6-months i.e. 10 meters/yr
Strips: 20 tests/day i.e. 400 tests/month, say 600 strips/month</t>
  </si>
  <si>
    <t>PAC 1site Professional, 1000 patients = 3 dedicated MAs in ProTime rooms (with 2 backup MAs)
Meters: 5 (+5 backup), say 10 required meters/6-months i.e. 20 meters/yr
Strips: 3*20 tests/day i.e. 1200 tests/month, say 1500 strips/month</t>
  </si>
  <si>
    <t>Stanford Professional, 600 patients = 2 PharmD, 1 POCT technician 
Meters: 2 (+2 backup), say 5 required meters/6-months i.e. 10 meters/yr
Strips: 20 tests/day i.e. 400 tests/month, say 600 strips/month</t>
  </si>
  <si>
    <t>2.7-2.9 : Meters = 40, Strips = (600+1500+600)*3 = 8100
2.10-2.12: Meters = 0 + 1200 = 1200, Strips = 8100 + (1250+4000+1250)*3 = 27600
3.1-3.3 : Meters = 0 + 0 + (40-20) = 20, Strips = 27600 + (3000-1500)*3 = 32100
3.4-3.6 : Meters = 0 + 0 + 0 + (1200-800) = 400, Strips = 32100 + (6000-4000)*3 = 38100
For 1 year (2.7-3.6), Meters = 1660, Strips = 8100 + 27600 + 32100 + 38100 = 105900
@ $200/meter &amp; $5/strips, Sales (2.7-3.6) = 1660*200 + 105900*5 = $861,500</t>
  </si>
  <si>
    <t>ACS PST, 160 patients = 1 dedicated MA in ProTime room (with 1 backup MA)
Meters: 160 + 40 contingency = 200 meters in 1st month for 5 year operation
Strips: 160 tests/week i.e. 840 tests/month, say 1250 strips/month in inventory</t>
  </si>
  <si>
    <t xml:space="preserve">
PAC 1site PST, 650 patients = 2 PharmD, 2 Support staff, 1 POCT operator
Meters: 650 + 150 contingency = 800 meters in 1st month for 5 year operation
Strips: 650 tests/week i.e. 2600 tests/month, say 4000 strips/month in inventory</t>
  </si>
  <si>
    <t>Stanford PST, 150 patients = 2 PharmD, 1 POCT technician
Meters: 150 + 30 contingency = 200 meters in 1st month for 5 year operation
Strips: 180 tests/week i.e. 750 tests/month, say 1250 strips/month in inventory</t>
  </si>
  <si>
    <t>PAC 1,2,3 sites Professional, 2000 patients = 6 dedicated MAs in ProTime rooms (with 3 backup MAs)
Meters: 9 (+9 backup), say 20 required meters/6-months i.e. 40 meters/yr
Strips: 6*20 tests/day i.e. 2400 tests/month, say 3000 strips/month</t>
  </si>
  <si>
    <t>PAC 1,2 sites PST, 1000 patients = 2 PharmD, 2 Support staff, 1 POCT operator
Meters: 1000 + 200 contingency = 1200 meters in 1st month for 5 year operation
Strips: 1000 tests/week i.e. 4000 tests/month, say 6000 strips/month in inventory</t>
  </si>
  <si>
    <t>Clinic Market Adoption (US%)</t>
  </si>
  <si>
    <t>Sales Professionals</t>
  </si>
  <si>
    <t>PST conversion/quarter</t>
  </si>
  <si>
    <t>Prof meters/year</t>
  </si>
  <si>
    <t>Prof strips/patient/quarter</t>
  </si>
  <si>
    <t>Customer4</t>
  </si>
  <si>
    <t>B v5</t>
  </si>
  <si>
    <t>Raw Material Pricing</t>
  </si>
  <si>
    <t>Rev &amp; COGS</t>
  </si>
  <si>
    <t>Sales Projections</t>
  </si>
  <si>
    <t>New Clinics SIGNED</t>
  </si>
  <si>
    <t>New Clinics TARGETED</t>
  </si>
  <si>
    <t>Clinic MAX PST adoption</t>
  </si>
  <si>
    <t>We need to target 5x more clinics in order to successfully sign accounts. For example, in year 2 we would like to have 3 new clinics signed and hence 3 x 5 = 15 new clinics need to be targeted.</t>
  </si>
  <si>
    <t>Every fully supported (Professional &amp; PST) newly added clinic per year, will be phased in during the last 2 quarters of the year. Phase-in means a steady rampup with PST adoption in the clinic at the rate of 5% of patient population per quarter for 2 years (until a maximum of 40%). Professional adoption is assumed to be 100% at time of launch which steadily decreases with increased PST adoption (until a minimum of 60%).</t>
  </si>
  <si>
    <t>Every fully supported (Professional &amp; PST) clinic is assumed to have a minimum 60% adoption in Professional-clinics and maximum 40% adoption in PST.</t>
  </si>
  <si>
    <r>
      <t xml:space="preserve">Row 20: Modified </t>
    </r>
    <r>
      <rPr>
        <b/>
        <sz val="12"/>
        <rFont val="Times New Roman"/>
        <family val="1"/>
      </rPr>
      <t>Ending</t>
    </r>
    <r>
      <rPr>
        <sz val="12"/>
        <rFont val="Times New Roman"/>
        <family val="1"/>
      </rPr>
      <t xml:space="preserve"> cells U20, V20 &amp; W20 from static values to formulas consistent with cells X20 onwards</t>
    </r>
  </si>
  <si>
    <r>
      <t xml:space="preserve">Adjusted Sales in Year 2 and 3 per assumptions in the sheet and </t>
    </r>
    <r>
      <rPr>
        <b/>
        <sz val="12"/>
        <rFont val="Times New Roman"/>
        <family val="1"/>
      </rPr>
      <t xml:space="preserve">NOT </t>
    </r>
    <r>
      <rPr>
        <sz val="12"/>
        <rFont val="Times New Roman"/>
        <family val="1"/>
      </rPr>
      <t>actual numbers in our 3 clinical partners -- We are accounting for a situation where don't launch in our 3 partner sites but at other clinics, hence we used average clinic assumptions.</t>
    </r>
  </si>
  <si>
    <t>Row 33 onwards are detailed assumptions for our sales/revenue growth projections.</t>
  </si>
  <si>
    <t>Authors:</t>
  </si>
  <si>
    <t>Abhishek</t>
  </si>
  <si>
    <t xml:space="preserve">Nori </t>
  </si>
  <si>
    <t>Jim</t>
  </si>
  <si>
    <r>
      <t xml:space="preserve">Row 21: Assigned </t>
    </r>
    <r>
      <rPr>
        <b/>
        <sz val="12"/>
        <rFont val="Times New Roman"/>
        <family val="1"/>
      </rPr>
      <t>Days Supply</t>
    </r>
    <r>
      <rPr>
        <sz val="12"/>
        <rFont val="Times New Roman"/>
        <family val="1"/>
      </rPr>
      <t xml:space="preserve"> cells U21, V21 &amp; W21 as 30, 40 &amp; 60 respectively -- Please feel free to change!</t>
    </r>
  </si>
  <si>
    <t>Changed Meter Unit Cost (Row 65) from $105 to $150.</t>
  </si>
  <si>
    <r>
      <t xml:space="preserve">Changed the Meter &amp; Strip volumes from Year2, Month 6 to Year 3, Month 12 to match </t>
    </r>
    <r>
      <rPr>
        <b/>
        <sz val="12"/>
        <rFont val="Times New Roman"/>
        <family val="1"/>
      </rPr>
      <t>'Sales Projection'</t>
    </r>
    <r>
      <rPr>
        <sz val="12"/>
        <rFont val="Times New Roman"/>
        <family val="1"/>
      </rPr>
      <t xml:space="preserve"> sheet (see below).</t>
    </r>
  </si>
  <si>
    <t>Changed Mfg Technician salary to $50,000.</t>
  </si>
  <si>
    <t>Changed PET film price from $0.68 to $0.34 which reflects cost estimates from the manufacturer.</t>
  </si>
  <si>
    <t>Future years</t>
  </si>
  <si>
    <t>Production Required</t>
  </si>
  <si>
    <t>MfG Tech 7</t>
  </si>
  <si>
    <t>MfG Tech 8</t>
  </si>
  <si>
    <t>MfG Tech 9</t>
  </si>
  <si>
    <t>MfG Tech 10</t>
  </si>
  <si>
    <t>MfG Tech 11</t>
  </si>
  <si>
    <t>MfG Tech 12</t>
  </si>
  <si>
    <t>MfG Tech 13</t>
  </si>
  <si>
    <t>MfG Tech 14</t>
  </si>
  <si>
    <t>MfG Tech 15</t>
  </si>
  <si>
    <t>MfG Tech 16</t>
  </si>
  <si>
    <t>MfG Tech 17</t>
  </si>
  <si>
    <t>MfG Tech 18</t>
  </si>
  <si>
    <t>MfG Tech 19</t>
  </si>
  <si>
    <t>MfG Tech 20</t>
  </si>
  <si>
    <t>MfG Tech 21</t>
  </si>
  <si>
    <t>MfG Tech 22</t>
  </si>
  <si>
    <t>MfG Tech 23</t>
  </si>
  <si>
    <t>MfG Tech 24</t>
  </si>
  <si>
    <t>Heads in factory Staff</t>
  </si>
  <si>
    <t>Product Mgr1</t>
  </si>
  <si>
    <t>Product Mgr2</t>
  </si>
  <si>
    <t>Product Mgr3</t>
  </si>
  <si>
    <t>Sales Dir 1</t>
  </si>
  <si>
    <t>Sales Dir 2</t>
  </si>
  <si>
    <t>Sales Dir 3</t>
  </si>
  <si>
    <t>Sales Rep 3</t>
  </si>
  <si>
    <t>Sales Rep 4</t>
  </si>
  <si>
    <t>Sales Rep 5</t>
  </si>
  <si>
    <t>Sales Rep 6</t>
  </si>
  <si>
    <t>Sales Rep 7</t>
  </si>
  <si>
    <t>Sales Rep 8</t>
  </si>
  <si>
    <t>Sales Rep 9</t>
  </si>
  <si>
    <t>Sales Rep 10</t>
  </si>
  <si>
    <t>Sales Rep 11</t>
  </si>
  <si>
    <t>MKT</t>
  </si>
  <si>
    <t>Tech</t>
  </si>
  <si>
    <t>Product Mgr4</t>
  </si>
  <si>
    <t>VP Sales</t>
  </si>
  <si>
    <t>Sales Rep 12</t>
  </si>
  <si>
    <t>Sales Rep 13</t>
  </si>
  <si>
    <t>Sales Rep 14</t>
  </si>
  <si>
    <t>mph</t>
  </si>
  <si>
    <t xml:space="preserve">Changes Rev &amp; COGS units to sum to units sold on Sales projections tab, by quarter for years 4 - 6. </t>
  </si>
  <si>
    <t>Changed head count to conform to staffing on Sales  Projections tab.  Set travel to be $2K for Sales directors and $1K per month for sales reps.</t>
  </si>
  <si>
    <t>Added production information by quarter for years 4 - 6.  Included headcount information from Factory section</t>
  </si>
  <si>
    <t xml:space="preserve">Added head counts required from productuion.  Management of head count is still manual.  </t>
  </si>
  <si>
    <t>100k</t>
  </si>
  <si>
    <t>500k</t>
  </si>
  <si>
    <t>1M</t>
  </si>
  <si>
    <t>5M</t>
  </si>
  <si>
    <t>10M</t>
  </si>
  <si>
    <t>Active layer from GVP: $ 0.40 per strip</t>
  </si>
  <si>
    <t>PET films</t>
  </si>
  <si>
    <t>Lamination</t>
  </si>
  <si>
    <t>Lamination NRE</t>
  </si>
  <si>
    <t>$350k for one assembly station
One station could laminate 2.2M strips per year with 3 shift operation (8 second cycle time to assemble one strip, materials in roll form)</t>
  </si>
  <si>
    <t>CMO strip volume manufacturing costs</t>
  </si>
  <si>
    <t>Laser processing of PET films (quote was for 2 cuts but need 3 cuts)</t>
  </si>
  <si>
    <t>Nori</t>
  </si>
  <si>
    <t>Added CMO strip manufacturing costs for TP, dessicant, pouch</t>
  </si>
  <si>
    <t>Pouch</t>
  </si>
  <si>
    <t>Monthly Volume</t>
  </si>
  <si>
    <t>Total Cost</t>
  </si>
  <si>
    <t>GVP</t>
  </si>
  <si>
    <t>Laser Cut</t>
  </si>
  <si>
    <t>rTF</t>
  </si>
  <si>
    <t>Annual Volume</t>
  </si>
  <si>
    <t>Contract Manufacture</t>
  </si>
  <si>
    <t>CMO Data</t>
  </si>
  <si>
    <t>12 looking forward production</t>
  </si>
  <si>
    <t>Use CMO for Production</t>
  </si>
  <si>
    <t>No</t>
  </si>
  <si>
    <t>QC 1</t>
  </si>
  <si>
    <t>QC 2</t>
  </si>
  <si>
    <t>CMO</t>
  </si>
  <si>
    <t>NRE Strip Automation</t>
  </si>
  <si>
    <t>% increase</t>
  </si>
  <si>
    <t>%increase</t>
  </si>
  <si>
    <t>S&amp;M Tab</t>
  </si>
  <si>
    <t>Cost per unit</t>
  </si>
  <si>
    <t>Sourced all revenue, COGS and net factory spending from the the Rev &amp; Cogs Tab</t>
  </si>
  <si>
    <t xml:space="preserve">production </t>
  </si>
  <si>
    <t xml:space="preserve">Inplemented a CMO option starting in month 7 of year 3.  The key cell is line 25, which changes from in house to CMO </t>
  </si>
  <si>
    <t xml:space="preserve">Impemented a automatic head count change process based on the number of required heads on the production tab.  </t>
  </si>
  <si>
    <t>CAPEX</t>
  </si>
  <si>
    <t>Added $350K for the cost of CMO equipment</t>
  </si>
  <si>
    <t>Ending Inventory Layers</t>
  </si>
  <si>
    <t>YES</t>
  </si>
  <si>
    <t>Heads in factory staff calculated from factory sheet</t>
  </si>
  <si>
    <t>Possible hrs are calculated from heads in factory staff</t>
  </si>
  <si>
    <t>Added calculation of net efficiency of labor (line 104)</t>
  </si>
  <si>
    <t>Yr 2 and 3 manufacturing technicians number calcuation extended over more cells</t>
  </si>
  <si>
    <t>Monthly strips per head for CMO corrected from 3500 / day to 6500 / day</t>
  </si>
  <si>
    <t>Changes to heads required formula during CMO production</t>
  </si>
  <si>
    <t>Production todo:</t>
  </si>
  <si>
    <t>CMO labor hours (line 49) CMO calculation?</t>
  </si>
  <si>
    <t>3.7 best approximation</t>
  </si>
  <si>
    <t>Factory: 1st 4 are static</t>
  </si>
  <si>
    <t># of Clinics in US</t>
  </si>
  <si>
    <t># of Clinics in EU</t>
  </si>
  <si>
    <t># of Clinics in CH</t>
  </si>
  <si>
    <t>Germany</t>
  </si>
  <si>
    <t>Patient #</t>
  </si>
  <si>
    <t>CAGR</t>
  </si>
  <si>
    <t>2006-2013</t>
  </si>
  <si>
    <t>Italy</t>
  </si>
  <si>
    <t>2006-2014</t>
  </si>
  <si>
    <t>AF WW CAGR %</t>
  </si>
  <si>
    <t># of Clinics in JP</t>
  </si>
  <si>
    <t>Clinic adoption rate in EU = 1/2*US = 2.5%/yr</t>
  </si>
  <si>
    <t>Clinic adoption rate in CH = US = 5%/year</t>
  </si>
  <si>
    <t>Clinic adoption rate in US = 5%/year (HemoSense grabbed 20% in 5 years)</t>
  </si>
  <si>
    <t>Clinic adoption rate in JP = US/3 = 1.67%/year</t>
  </si>
  <si>
    <t>In the first year of launch in a new region, the adoption rate is discounted by 50% since we plan to initiate new clinic adoption in the 2nd half of the year.</t>
  </si>
  <si>
    <t>Put in formulas for New Clinics SIGNED (Row 4) in US and other new market regions (detailed assumptions mentioned)</t>
  </si>
  <si>
    <t>Put in formula for Sales Professionals (Row 11) to scale w.r.t revenue (1 sales person for every $1M in sales)</t>
  </si>
  <si>
    <t>P&amp;L Plots</t>
  </si>
  <si>
    <t>Replaced Gross Profit with Income before tax and linked it to the P&amp;L sheet</t>
  </si>
  <si>
    <t>Increased Tech/Product Support Professionals from 3 to 4 and 5 in Year 4 and Year 5 respectively</t>
  </si>
  <si>
    <t>Changed marketing director salary $90k to $120k</t>
  </si>
  <si>
    <t>$6000/mo/person travel costs (line 39) for each sales or tech/prod support person</t>
  </si>
  <si>
    <t>Sales Rep 15</t>
  </si>
  <si>
    <t>Sales Rep 16</t>
  </si>
  <si>
    <t>Sales Rep 17</t>
  </si>
  <si>
    <t>Sales Rep 18</t>
  </si>
  <si>
    <t>Sales Rep 19</t>
  </si>
  <si>
    <t>Sales Rep 20</t>
  </si>
  <si>
    <t>Sales Rep 21</t>
  </si>
  <si>
    <t>Sales Rep 22</t>
  </si>
  <si>
    <t>Sales Rep 23</t>
  </si>
  <si>
    <t>Sales Rep 24</t>
  </si>
  <si>
    <t>Sales Rep 25</t>
  </si>
  <si>
    <t>Sales Rep 26</t>
  </si>
  <si>
    <t>Sales Rep 27</t>
  </si>
  <si>
    <t>Sales Rep 28</t>
  </si>
  <si>
    <t>Sales Rep 29</t>
  </si>
  <si>
    <t>Sales Rep 30</t>
  </si>
  <si>
    <t>Sales Rep 31</t>
  </si>
  <si>
    <t>Sales Rep 32</t>
  </si>
  <si>
    <t>Sales Rep 33</t>
  </si>
  <si>
    <t>Sales Rep 34</t>
  </si>
  <si>
    <t>Sales Rep 35</t>
  </si>
  <si>
    <t>Sales Rep 36</t>
  </si>
  <si>
    <t>Sales Rep 37</t>
  </si>
  <si>
    <t>Sales Rep 38</t>
  </si>
  <si>
    <t>Sales Rep 39</t>
  </si>
  <si>
    <t>Sales Rep 40</t>
  </si>
  <si>
    <t>Sales Rep 41</t>
  </si>
  <si>
    <t>Sales Rep 42</t>
  </si>
  <si>
    <t>Sales Rep 43</t>
  </si>
  <si>
    <t>Sales Rep 44</t>
  </si>
  <si>
    <t>Sales Rep 45</t>
  </si>
  <si>
    <t>Sales Rep 46</t>
  </si>
  <si>
    <t>Sales Rep 47</t>
  </si>
  <si>
    <t>Sales Rep 48</t>
  </si>
  <si>
    <t>Sales Rep 49</t>
  </si>
  <si>
    <t>Sales Rep 50</t>
  </si>
  <si>
    <t>Sales Rep 51</t>
  </si>
  <si>
    <t>Sales Rep 52</t>
  </si>
  <si>
    <t>Sales Rep 53</t>
  </si>
  <si>
    <t>Sales Rep 54</t>
  </si>
  <si>
    <t>Sales Rep 55</t>
  </si>
  <si>
    <t>Sales Rep 56</t>
  </si>
  <si>
    <t>Sales Rep 57</t>
  </si>
  <si>
    <t>Sales Rep 58</t>
  </si>
  <si>
    <t>Sales Rep 59</t>
  </si>
  <si>
    <t>Sales Rep 60</t>
  </si>
  <si>
    <t>Sales Rep 61</t>
  </si>
  <si>
    <t>Sales Rep 62</t>
  </si>
  <si>
    <t>Sales Rep 63</t>
  </si>
  <si>
    <t>Sales Rep 64</t>
  </si>
  <si>
    <t>Sales Rep 65</t>
  </si>
  <si>
    <t>Sales Rep 66</t>
  </si>
  <si>
    <t>Sales Rep 67</t>
  </si>
  <si>
    <t>Sales Rep 68</t>
  </si>
  <si>
    <t>Sales Rep 69</t>
  </si>
  <si>
    <t>Sales Rep 70</t>
  </si>
  <si>
    <t>Sales Rep 71</t>
  </si>
  <si>
    <t>Sales Rep 72</t>
  </si>
  <si>
    <t>Sales Rep 73</t>
  </si>
  <si>
    <t>Sales Rep 74</t>
  </si>
  <si>
    <t>Sales Rep 75</t>
  </si>
  <si>
    <t>Sales Rep 76</t>
  </si>
  <si>
    <t>Sales Rep 77</t>
  </si>
  <si>
    <t>Sales Rep 78</t>
  </si>
  <si>
    <t>Sales Rep 79</t>
  </si>
  <si>
    <t>Sales Rep 80</t>
  </si>
  <si>
    <t>Sales Rep 81</t>
  </si>
  <si>
    <t>Sales Rep 82</t>
  </si>
  <si>
    <t>Sales Rep 83</t>
  </si>
  <si>
    <t>Sales Rep 84</t>
  </si>
  <si>
    <t>Sales Rep 85</t>
  </si>
  <si>
    <t>Sales Rep 86</t>
  </si>
  <si>
    <t>Sales Rep 87</t>
  </si>
  <si>
    <t>Sales Rep 88</t>
  </si>
  <si>
    <t>Sales Rep 89</t>
  </si>
  <si>
    <t>Sales Rep 90</t>
  </si>
  <si>
    <t>Sales Rep 91</t>
  </si>
  <si>
    <t>Sales Rep 92</t>
  </si>
  <si>
    <t>Sales Rep 93</t>
  </si>
  <si>
    <t>Sales Rep 94</t>
  </si>
  <si>
    <t>Sales Rep 95</t>
  </si>
  <si>
    <t>Sales Rep 96</t>
  </si>
  <si>
    <t>Sales Rep 97</t>
  </si>
  <si>
    <t>Sales Rep 98</t>
  </si>
  <si>
    <t>Sales Rep 99</t>
  </si>
  <si>
    <t>Sales Rep 100</t>
  </si>
  <si>
    <t>Sales Rep 101</t>
  </si>
  <si>
    <t>Sales Rep 102</t>
  </si>
  <si>
    <t>Sales Rep 103</t>
  </si>
  <si>
    <t>Sales Rep 104</t>
  </si>
  <si>
    <t>Sales Rep 105</t>
  </si>
  <si>
    <t>Sales Rep 106</t>
  </si>
  <si>
    <t>Sales Rep 107</t>
  </si>
  <si>
    <t>Sales Rep 108</t>
  </si>
  <si>
    <t>Sales Rep 109</t>
  </si>
  <si>
    <t>Sales Rep 110</t>
  </si>
  <si>
    <t>Sales Rep 111</t>
  </si>
  <si>
    <t>Sales Rep 112</t>
  </si>
  <si>
    <t>Sales Rep 113</t>
  </si>
  <si>
    <t>Sales Rep 114</t>
  </si>
  <si>
    <t>Sales Rep 115</t>
  </si>
  <si>
    <t>Sales Rep 116</t>
  </si>
  <si>
    <t>Sales Rep 117</t>
  </si>
  <si>
    <t>Sales Rep 118</t>
  </si>
  <si>
    <t>Sales Rep 119</t>
  </si>
  <si>
    <t>Sales Rep 120</t>
  </si>
  <si>
    <t>Sales Rep 121</t>
  </si>
  <si>
    <t>Sales Rep 122</t>
  </si>
  <si>
    <t>Sales Rep 123</t>
  </si>
  <si>
    <t>Sales Rep 124</t>
  </si>
  <si>
    <t>Sales Rep 125</t>
  </si>
  <si>
    <t>Sales Rep 126</t>
  </si>
  <si>
    <t>Sales Rep 127</t>
  </si>
  <si>
    <t>Sales Rep 128</t>
  </si>
  <si>
    <t>Sales Rep 129</t>
  </si>
  <si>
    <t>Sales Rep 130</t>
  </si>
  <si>
    <t>Sales Rep 131</t>
  </si>
  <si>
    <t>Sales Rep 132</t>
  </si>
  <si>
    <t>Sales Rep 133</t>
  </si>
  <si>
    <t>Sales Rep 134</t>
  </si>
  <si>
    <t>Sales Rep 135</t>
  </si>
  <si>
    <t>Sales Rep 136</t>
  </si>
  <si>
    <t>Sales Rep 137</t>
  </si>
  <si>
    <t>Sales Rep 138</t>
  </si>
  <si>
    <t>Sales Rep 139</t>
  </si>
  <si>
    <t>Sales Rep 140</t>
  </si>
  <si>
    <t>Formula</t>
  </si>
  <si>
    <t>limits:</t>
  </si>
  <si>
    <t>&lt;124</t>
  </si>
  <si>
    <t>Tech/Prod Support 1</t>
  </si>
  <si>
    <t>Tech/Prod Support 3</t>
  </si>
  <si>
    <t>Tech/Prod Support 4</t>
  </si>
  <si>
    <t>Tech/Prod Support 5</t>
  </si>
  <si>
    <t>Tech/Prod Support 6</t>
  </si>
  <si>
    <t>Tech/Prod Support 7</t>
  </si>
  <si>
    <t>Tech/Prod Support 8</t>
  </si>
  <si>
    <t>Tech/Prod Support 9</t>
  </si>
  <si>
    <t>Tech/Prod Support 10</t>
  </si>
  <si>
    <t>Tech/Prod Support 11</t>
  </si>
  <si>
    <t>Tech/Prod Support 12</t>
  </si>
  <si>
    <t>Tech/Prod Support 13</t>
  </si>
  <si>
    <t>Tech/Prod Support 14</t>
  </si>
  <si>
    <t>Tech/Prod Support 15</t>
  </si>
  <si>
    <t>&lt;15</t>
  </si>
  <si>
    <t>Increased number of sales and tech/product support staff that can be added for YR4,5,6 (sales projections row G shows limits)</t>
  </si>
  <si>
    <t>Sales Dir EU</t>
  </si>
  <si>
    <t>Sales Rep 2 / JPN Sales Dir Yr 5 (abnormal cells)</t>
  </si>
  <si>
    <t>Add Dir of sales for EU/China launch Yr4 @ $140k/yr, JPN launch Yr5 @ $140k/yr; Dir of sales JPN has abnormal cells</t>
  </si>
  <si>
    <t>Employee 11</t>
  </si>
  <si>
    <t>Employee 12</t>
  </si>
  <si>
    <t>Moved NY, AR, from production to G&amp;A</t>
  </si>
  <si>
    <t>CFO</t>
  </si>
  <si>
    <t>Yr 4 Mth 7</t>
  </si>
  <si>
    <t>Growth in G&amp;A Q over Q</t>
  </si>
  <si>
    <t>Total administraive expenses (line 65) changed to include insurance?</t>
  </si>
  <si>
    <t>Financial Controller</t>
  </si>
  <si>
    <t>Yr 3 Mth 7</t>
  </si>
  <si>
    <t>Senior Accoutant</t>
  </si>
  <si>
    <t>Junior Accountant</t>
  </si>
  <si>
    <t>Junior Accountant 2</t>
  </si>
  <si>
    <t>Yr 4 Mth 1</t>
  </si>
  <si>
    <t>Yr 4 Mth 10</t>
  </si>
  <si>
    <t>Yr 5 Mth 4</t>
  </si>
  <si>
    <t>G&amp;A includes Yr 4,5,6 with quarterly costs; labor-based costs are explicit, but non-labor costs are calculated using Q over Q</t>
  </si>
  <si>
    <t>percentage growth in G&amp;A costs. These G&amp;A costs are directly carried over into P&amp;L sheet</t>
  </si>
  <si>
    <t>Regulatory Specialist</t>
  </si>
  <si>
    <t>Yr 2 Mth 7</t>
  </si>
  <si>
    <t>G&amp;A, P&amp;L</t>
  </si>
  <si>
    <t>G&amp;A, Prouction</t>
  </si>
  <si>
    <t>Added CFO, financial controller, senior accountant, and two junior accountants</t>
  </si>
  <si>
    <t>Clinic patient growth rate %</t>
  </si>
  <si>
    <t>*All numbers above are in 2016 (Y2)</t>
  </si>
  <si>
    <t>AF Population 2016</t>
  </si>
  <si>
    <r>
      <rPr>
        <b/>
        <sz val="12"/>
        <rFont val="Calibri"/>
        <family val="2"/>
        <scheme val="minor"/>
      </rPr>
      <t xml:space="preserve">Source: </t>
    </r>
    <r>
      <rPr>
        <sz val="12"/>
        <rFont val="Calibri"/>
        <family val="2"/>
        <scheme val="minor"/>
      </rPr>
      <t>https://www.linkedin.com/today/post/article/20140519072709-339157087-atrial-fibrillation-market-will-grow-at-a-cagr-of-13-4-from-2013-to-2019
US Prevalence in 2010 = 5.2 M extrapolated to 2016 @ 13.4% CAGR = 9.75 M
(</t>
    </r>
    <r>
      <rPr>
        <b/>
        <sz val="12"/>
        <rFont val="Calibri"/>
        <family val="2"/>
        <scheme val="minor"/>
      </rPr>
      <t xml:space="preserve">Source: </t>
    </r>
    <r>
      <rPr>
        <sz val="12"/>
        <rFont val="Calibri"/>
        <family val="2"/>
        <scheme val="minor"/>
      </rPr>
      <t>http://www.ncbi.nlm.nih.gov/pubmed/23831166)
EU Prevalence in 2010 = 4.5 M extrapolated to 2016 @ 13.4% CAGR = 8.44 M
EU clinics scaled w.r.t US clinics and AF prevalance (US=9.75M, EU=8.44M)
China clinics scaled w.r.t US clinics and AF prevalance (US= 5.2M, CH=5.6M)
(</t>
    </r>
    <r>
      <rPr>
        <b/>
        <sz val="12"/>
        <rFont val="Calibri"/>
        <family val="2"/>
        <scheme val="minor"/>
      </rPr>
      <t xml:space="preserve">Source: </t>
    </r>
    <r>
      <rPr>
        <sz val="12"/>
        <rFont val="Calibri"/>
        <family val="2"/>
        <scheme val="minor"/>
      </rPr>
      <t>http://dronedarone-atrial-fibrillation-pressoffice.com/sites/default/files/event-document/af_in_the_asia-pacific_region.pdf; http://www.ncbi.nlm.nih.gov/pubmed/24099604 -- 0.77% for adults &gt;= 35 yrs; Used www.census.gov to figure our 2016 data for China)
Japan clinics scaled w.r.t US clinics and AF prevalence (US=9.75M, JP=1.52M)
(</t>
    </r>
    <r>
      <rPr>
        <b/>
        <sz val="12"/>
        <rFont val="Calibri"/>
        <family val="2"/>
        <scheme val="minor"/>
      </rPr>
      <t>Source:</t>
    </r>
    <r>
      <rPr>
        <sz val="12"/>
        <rFont val="Calibri"/>
        <family val="2"/>
        <scheme val="minor"/>
      </rPr>
      <t xml:space="preserve"> http://www.ncbi.nlm.nih.gov/pubmed/18691774 -- 716K in 2009 extrapolated to 2016 @ 13.4% CAGR)</t>
    </r>
  </si>
  <si>
    <t>Clinic Patient Population is increasing at a CAGR of 10% -- # of Clinics are not assumed to grow BUT their patient population served is assumed to be growing.</t>
  </si>
  <si>
    <t>With approximately 1500 clinics serving 28% of 3 Million AF patients in the US, average number of patients per ACS clinic is 560 patients.</t>
  </si>
  <si>
    <t>For an average 560 patient clinic, 10 meters required for Professional adoption with 60% adoption @ 20 tests/day or 6 strips/patient/quarter.</t>
  </si>
  <si>
    <t>For PST, 6 strips to be supplied to patients per month and patients have quarterly clinic visits, # strips/quarter/patient = (6*3 + 1) = 19</t>
  </si>
  <si>
    <t>The average number of patients in every clinic in EU, CH and JP is assumed to be the same as US.</t>
  </si>
  <si>
    <t># of clinics in EU, China and Japan calculated by using US as benchmark and scaling w.r.t prevalence in the respective regions and fraction of treated AF patients.</t>
  </si>
  <si>
    <t>Adjusted the number of clinics assumptions in EU, China &amp; Japan to scale with prevalence and fraction of treated AF patients.</t>
  </si>
  <si>
    <t xml:space="preserve">Revenue - TOTAL </t>
  </si>
  <si>
    <t>Revenue - NEW CLINICS</t>
  </si>
  <si>
    <t>Revenue - EXISTING CLINICS</t>
  </si>
  <si>
    <r>
      <t xml:space="preserve">Adjusted the formula for # of Sales Professionals in Year 6 to add new Sales Professionals for every $1M of </t>
    </r>
    <r>
      <rPr>
        <b/>
        <sz val="12"/>
        <rFont val="Times New Roman"/>
        <family val="1"/>
      </rPr>
      <t>new clinic revenue</t>
    </r>
    <r>
      <rPr>
        <sz val="12"/>
        <rFont val="Times New Roman"/>
        <family val="1"/>
      </rPr>
      <t>.</t>
    </r>
  </si>
  <si>
    <t># of Sales Professionals is assumed to scale from Year 2 to 5 @ 1 per $1 M in sales. At Year 6, the scaling is restricted to sales associated with new clinic accounts.</t>
  </si>
  <si>
    <t>Accounted for additional strips per year for regular strip-reagent calibration and lot-release testing from Y2-Y6.</t>
  </si>
  <si>
    <t>Based on discussion with Werner Frei (6/16/2014, iPhone notes), included additional test strips in Year 2-6 for calibration testing assuming TP reagent lot supports 2 lots, at a production rate of one lot per month. Therefore, number of strips every 2 months:
- Master lot = 500 (TP reagent calibration) + 100 (Month 1, Master) + 100 (Month 2, Master)
- Strip lot = 200 (Month 1, Release) + 200 (Month 2, Release)
TOTAL Calibration Strips per year = (500 + 100 + 100 + 200 + 200)*6 = 6600</t>
  </si>
  <si>
    <t>Corrected Income Tax formula in Row 32 starting Y5Q2 to not be cumulative i.e. loss carry-forward is restricted to Y5Q1.</t>
  </si>
  <si>
    <t>Removed Investment requirement of $1,000,000 in Y4Q1  (Row 27)</t>
  </si>
  <si>
    <t>Strips - Professional</t>
  </si>
  <si>
    <t>Strips - PST</t>
  </si>
  <si>
    <t>Moved Investment from Year 3 Month 8 to Year 3 Month 5 and increased it from $800,000 to $2,500,000 (Row 27)</t>
  </si>
  <si>
    <t>Professional Strip ASP</t>
  </si>
  <si>
    <t>PST Strip ASP</t>
  </si>
  <si>
    <t>Calibration strips</t>
  </si>
  <si>
    <t>(Investment time-line and $-amount are based on criteria of [Ending cash balance] &gt; $500,000 in any given month)</t>
  </si>
  <si>
    <t>Segregated Professional and PST strip sales and assigned ASP of $3.50 and $5.00 respectively.</t>
  </si>
  <si>
    <t>Made meter &amp; strip quantities to be formula driven from cells in Sales Projections sheet.</t>
  </si>
  <si>
    <t>Moved Investment from Year 3 Month 5 to Year 3 Month 3 (Row 27)</t>
  </si>
  <si>
    <t>Moved Investment from Year 2 Month 8 to Year 2 Month 7 (Row 27)</t>
  </si>
  <si>
    <t>Regulatory specialist included</t>
  </si>
  <si>
    <t>Added to Income Tax in Row 32, ACA related Medical excise tax of 2.3% of Total Revenue from Year 2 Month 6 to Year 6 Quarter 6 (IRS 2012-77).</t>
  </si>
  <si>
    <t>Value Chain</t>
  </si>
  <si>
    <t>Base Values</t>
  </si>
  <si>
    <t>Element Values</t>
  </si>
  <si>
    <t>Label Spaces</t>
  </si>
  <si>
    <t>Connector 1</t>
  </si>
  <si>
    <t>Connector 2</t>
  </si>
  <si>
    <t>Connector 3</t>
  </si>
  <si>
    <t>Abram ASP</t>
  </si>
  <si>
    <t>Distribution Cost</t>
  </si>
  <si>
    <t>Shipping Cost</t>
  </si>
  <si>
    <t>Clinic ASP</t>
  </si>
  <si>
    <t>= data values</t>
  </si>
  <si>
    <t>Abram PST Strip</t>
  </si>
  <si>
    <t>Abram Prof Strip</t>
  </si>
  <si>
    <t>Strip Price - Waterfall Chart</t>
  </si>
  <si>
    <t>Abram Meter</t>
  </si>
  <si>
    <t>Meter Price - Waterfall Chart</t>
  </si>
  <si>
    <t>Costs for 1 unit of Abram Scientific's INReady</t>
  </si>
  <si>
    <t>PCB and Chassis Bill of Materials</t>
  </si>
  <si>
    <t>Part</t>
  </si>
  <si>
    <t>Descriptive text</t>
  </si>
  <si>
    <t>Qty</t>
  </si>
  <si>
    <t>DK part numbers</t>
  </si>
  <si>
    <t>Unit price @ 1K vol</t>
  </si>
  <si>
    <t>Subtotal</t>
  </si>
  <si>
    <t>Unit price @ 10K vol</t>
  </si>
  <si>
    <t>Unit price @ 100K vol</t>
  </si>
  <si>
    <t>SMA capacitors</t>
  </si>
  <si>
    <t>capacitor SMA 5%?</t>
  </si>
  <si>
    <t>DK (445-7133-6-ND)</t>
  </si>
  <si>
    <t>Diode</t>
  </si>
  <si>
    <t>Schottky diode</t>
  </si>
  <si>
    <t>DK (B220A-FDITR-ND, B220A-FDICT-ND)</t>
  </si>
  <si>
    <t>Switching diode + 1 LED diode</t>
  </si>
  <si>
    <t>DK (BAV99W-FDITR-ND, BWV99W-FDICT-ND)</t>
  </si>
  <si>
    <t>ESD</t>
  </si>
  <si>
    <t>ESD protection</t>
  </si>
  <si>
    <t>DK (NSQA6V8AW5T2GOSCT-ND, GOSTR-ND)</t>
  </si>
  <si>
    <t>High speed switching diode</t>
  </si>
  <si>
    <t>Switching diode</t>
  </si>
  <si>
    <t>DK (568-5004-1-ND, 568-5004-2-ND)</t>
  </si>
  <si>
    <t>IC</t>
  </si>
  <si>
    <t xml:space="preserve">500mA Low Voltage, Low Quiescent Current LDO Regulator </t>
  </si>
  <si>
    <t>DK (MCP1725-1202E/SN-ND)</t>
  </si>
  <si>
    <t xml:space="preserve">PIC32 64-Pin General Purpose 32-Bit Flash Microcontroller </t>
  </si>
  <si>
    <t>DK (PIC32MX340F512H-80I/PT-ND</t>
  </si>
  <si>
    <t>Connector</t>
  </si>
  <si>
    <t>Header 1x6 0.100"</t>
  </si>
  <si>
    <t>DK (A26418-ND)</t>
  </si>
  <si>
    <t>Header 2x3 0.100"</t>
  </si>
  <si>
    <t>DK (A32934-ND)</t>
  </si>
  <si>
    <t>Power Jack</t>
  </si>
  <si>
    <t>Coaxial powe rjack 2.5mm rt.ang pc mount</t>
  </si>
  <si>
    <t>HSC (KLD-0202-B)</t>
  </si>
  <si>
    <t>Single P-channel, Logic Level, Power MOSFET</t>
  </si>
  <si>
    <t>DK (FDN340PTR-ND)</t>
  </si>
  <si>
    <t>resistor</t>
  </si>
  <si>
    <t>Resistor SMA 0603</t>
  </si>
  <si>
    <t>DK/E (P10KGCT-ND)</t>
  </si>
  <si>
    <t>XTAL</t>
  </si>
  <si>
    <t>Fox Crystal 80MHz20pF SMD</t>
  </si>
  <si>
    <t>DK (631-1029-2-ND)</t>
  </si>
  <si>
    <t>Citizen Finitech Miyota Xtal 32.768 kHz</t>
  </si>
  <si>
    <t>DK (CFS206-32.768KDZF-UB)</t>
  </si>
  <si>
    <t>PCBoard</t>
  </si>
  <si>
    <t>Pcboard custom 3"x4", two-layer, double-sided, silk screen both sides</t>
  </si>
  <si>
    <t>Pcboard custom 2"x3", two-layer, double-sided, silk screen both sides</t>
  </si>
  <si>
    <t>Board assembly</t>
  </si>
  <si>
    <t>SMTs: 602 pin count, 20 thru-hole</t>
  </si>
  <si>
    <t>128x64 LCD screen module</t>
  </si>
  <si>
    <t>GDM12864H display module or similar</t>
  </si>
  <si>
    <t>Round switch (see INRatio)</t>
  </si>
  <si>
    <t>TM-880 1053 DT-5637-45</t>
  </si>
  <si>
    <t>Audio amplifier</t>
  </si>
  <si>
    <t>TDA2822D</t>
  </si>
  <si>
    <t>DK (497-2166-5-ND)</t>
  </si>
  <si>
    <t>Operational Amplifier</t>
  </si>
  <si>
    <t>AD823</t>
  </si>
  <si>
    <t>DK (AD8236ARMZ-R7TR-ND)</t>
  </si>
  <si>
    <t>Instrumentation amplifier</t>
  </si>
  <si>
    <t>LT1789</t>
  </si>
  <si>
    <t>DK (LT1789CS8-1#PBF-ND)</t>
  </si>
  <si>
    <t>Li ion battery management</t>
  </si>
  <si>
    <t>MCP73833</t>
  </si>
  <si>
    <t>DK (MCP73833-FCI/UN-ND)</t>
  </si>
  <si>
    <t>Li ion battery</t>
  </si>
  <si>
    <t>Tenergy Li-poly 523450</t>
  </si>
  <si>
    <t>Magnet</t>
  </si>
  <si>
    <t>DC6DIA K&amp;J Magnetics</t>
  </si>
  <si>
    <t>Injection molding chassis</t>
  </si>
  <si>
    <t>Inserts</t>
  </si>
  <si>
    <t>Packaging and inserts</t>
  </si>
  <si>
    <t>Descriptive Text</t>
  </si>
  <si>
    <t>Assembly</t>
  </si>
  <si>
    <t>1. Insert battery to chassis bottom</t>
  </si>
  <si>
    <t>2. Insert PCB to chassis bottom, program microcontroller</t>
  </si>
  <si>
    <t>3. Connect PCB to battery</t>
  </si>
  <si>
    <t>4. Connect display to PCB</t>
  </si>
  <si>
    <t>5. Insert connector to chassis top</t>
  </si>
  <si>
    <t>6. Connect connector to PCB</t>
  </si>
  <si>
    <t>7. Assemble chassis bottom and top</t>
  </si>
  <si>
    <t>Total: 20 min @ $65/hr</t>
  </si>
  <si>
    <t>QA testing</t>
  </si>
  <si>
    <t>1. Tune circuit gain / band pass potentiometers</t>
  </si>
  <si>
    <t>2. Test drive signal at test points</t>
  </si>
  <si>
    <t>3. Meter burn-in testing</t>
  </si>
  <si>
    <t>4. Signal test with test strip, use automated test via computer</t>
  </si>
  <si>
    <t>5. Communications test, use automated test via computer</t>
  </si>
  <si>
    <t>6. Screen and touchscreen/button test</t>
  </si>
  <si>
    <t>7. Sound check</t>
  </si>
  <si>
    <t>8. Release test and documentation</t>
  </si>
  <si>
    <t>Total: 40 min @ $65/hr</t>
  </si>
  <si>
    <t>Projected CashFlow Analysis</t>
  </si>
  <si>
    <t>Patients</t>
  </si>
  <si>
    <t>Clinical
Pharmacist</t>
  </si>
  <si>
    <t>Pharmacy
Director</t>
  </si>
  <si>
    <t>Meter</t>
  </si>
  <si>
    <t>G-0248
(one-time)</t>
  </si>
  <si>
    <t>G-0249
(monthly)</t>
  </si>
  <si>
    <t>G-0250
(monthly)</t>
  </si>
  <si>
    <t>99213 
(from Roche Handbook, 2009)</t>
  </si>
  <si>
    <t>Average US Anticoagulation Clinic</t>
  </si>
  <si>
    <t># served in PST</t>
  </si>
  <si>
    <t>Instrumentation/Calibration
Technician II</t>
  </si>
  <si>
    <t>Overhead rate</t>
  </si>
  <si>
    <t>CASHFLOW STATEMENT</t>
  </si>
  <si>
    <t>Month 1</t>
  </si>
  <si>
    <t>Month 2</t>
  </si>
  <si>
    <t>Month 3</t>
  </si>
  <si>
    <t>Month 4</t>
  </si>
  <si>
    <t>Month 5</t>
  </si>
  <si>
    <t>Month 6</t>
  </si>
  <si>
    <t>Month 7</t>
  </si>
  <si>
    <t>Month 8</t>
  </si>
  <si>
    <t>Month 9</t>
  </si>
  <si>
    <t>Mo 10</t>
  </si>
  <si>
    <t>Mo 11</t>
  </si>
  <si>
    <t>Mo 12</t>
  </si>
  <si>
    <t>YEAR 1</t>
  </si>
  <si>
    <t>YEAR 2</t>
  </si>
  <si>
    <t>YEAR 3</t>
  </si>
  <si>
    <t>STARTING CASH BALANCE</t>
  </si>
  <si>
    <t>SOURCES OF CASH</t>
  </si>
  <si>
    <t>Revenue Stream: G-0248</t>
  </si>
  <si>
    <t>Revenue Stream: G-0249</t>
  </si>
  <si>
    <t>Revenue Stream: G-0250</t>
  </si>
  <si>
    <t>Revenue Stream: 99213</t>
  </si>
  <si>
    <t>Cash Received from Loans</t>
  </si>
  <si>
    <t>Owners' Cash Capital Injections</t>
  </si>
  <si>
    <t>TOTAL CASH INFLOWS</t>
  </si>
  <si>
    <t>Meter + Strips</t>
  </si>
  <si>
    <t>Change in Inventory Levels</t>
  </si>
  <si>
    <t>INR Software + IVR system for PST</t>
  </si>
  <si>
    <t>Salaries / Benefits</t>
  </si>
  <si>
    <t>Repairs / Maintenance</t>
  </si>
  <si>
    <t>Mailing Costs</t>
  </si>
  <si>
    <t>Office Supplies</t>
  </si>
  <si>
    <t>Telephone / Internet</t>
  </si>
  <si>
    <t>Security System</t>
  </si>
  <si>
    <t>Equipment Lease Expenses</t>
  </si>
  <si>
    <t>Capital Equipmnt Expenditures</t>
  </si>
  <si>
    <t>TOTAL CASH OUTFLOWS</t>
  </si>
  <si>
    <t>CHANGE IN CASH</t>
  </si>
  <si>
    <t>ENDING CASH BALANCE</t>
  </si>
  <si>
    <t>Operational Cash Inflows</t>
  </si>
  <si>
    <t>Operational Cash Outflows</t>
  </si>
  <si>
    <t>Operational Cash Change</t>
  </si>
  <si>
    <t>Prof Strip</t>
  </si>
  <si>
    <t>PST Strip</t>
  </si>
  <si>
    <t>net increase (decrease in cash)</t>
  </si>
  <si>
    <t>Increased Rent (Row 67) from 3000 sft * $3 to 6000 sft * $3, starting Year 2 Month 1 to accommodate the strip mfg. technicians</t>
  </si>
  <si>
    <t xml:space="preserve">Increased Utilities (Row 68) corresponding to an increase in sft to 6000 </t>
  </si>
  <si>
    <r>
      <t xml:space="preserve">Utilities (Row 68) Y3 Month 1-12 formula had [SFT] x 1.3 </t>
    </r>
    <r>
      <rPr>
        <b/>
        <sz val="12"/>
        <color rgb="FFFF0000"/>
        <rFont val="Times New Roman"/>
        <family val="1"/>
      </rPr>
      <t>+</t>
    </r>
    <r>
      <rPr>
        <sz val="12"/>
        <color rgb="FFFF0000"/>
        <rFont val="Times New Roman"/>
        <family val="1"/>
      </rPr>
      <t xml:space="preserve"> </t>
    </r>
    <r>
      <rPr>
        <sz val="12"/>
        <rFont val="Times New Roman"/>
        <family val="1"/>
      </rPr>
      <t xml:space="preserve">1.03 =&gt; Changed the formula to [SFT] x 1.3 </t>
    </r>
    <r>
      <rPr>
        <b/>
        <sz val="12"/>
        <color rgb="FFFF0000"/>
        <rFont val="Times New Roman"/>
        <family val="1"/>
      </rPr>
      <t>x</t>
    </r>
    <r>
      <rPr>
        <sz val="12"/>
        <rFont val="Times New Roman"/>
        <family val="1"/>
      </rPr>
      <t xml:space="preserve"> 1.03, consistent with the Rent formula (Row 67)</t>
    </r>
  </si>
  <si>
    <t xml:space="preserve">BS Support </t>
  </si>
  <si>
    <t>Changed Accounts payable to reflext the conversion of production to CM.  Line 22</t>
  </si>
  <si>
    <t>Correct Line 108 formula to calculate required heads for production</t>
  </si>
  <si>
    <t>Move switch to CMO from Yr3 Mo7 to Yr3 Mo4 due to jump in production requiring 50 heads in the factory</t>
  </si>
  <si>
    <t>US POC PT/INR (in M, 2012)</t>
  </si>
  <si>
    <t>Frost &amp; Sullivan, Global POCT Market, M8FD-52 (B.pdf, Pg. 199)</t>
  </si>
  <si>
    <t>EU POC Coag (in M, 2012)</t>
  </si>
  <si>
    <t>Frost &amp; Sullivan, EU POCT Market, M59F-55 (C.pdf, Pg. 131, Fig. 10.1)</t>
  </si>
  <si>
    <t>CH POC Coag (in M, 2011)</t>
  </si>
  <si>
    <t>Frost &amp; Sullivan, IVD Market Outlook in China, P706-52 (F.pdf, Pg. 65)</t>
  </si>
  <si>
    <t>JP POC Coag (in M, 2009)</t>
  </si>
  <si>
    <t>http://emed.icsl.washington.edu/d2h2/Slides/D2H2-06-Cotton.pdf, Pg. 37</t>
  </si>
  <si>
    <t>WW Market (in millions)</t>
  </si>
  <si>
    <t>WW POC Coag (in M, 2010)</t>
  </si>
  <si>
    <t>TriMark POCT Diagnostics Market, 2012 (Table 4.17, 2/3rd ROW PT/INR)</t>
  </si>
  <si>
    <t>WW Market Share %</t>
  </si>
  <si>
    <t>US POC PT/INR (in M, 2010)</t>
  </si>
  <si>
    <t>TriMark POCT Diagnostics Market, 2012 (Table 4.20, 7.5% assumption)</t>
  </si>
  <si>
    <t>Updated some of the cells to indicate WW market size and our market share capture based on our Revenue projections</t>
  </si>
  <si>
    <t>Change in criteria for [Ending cash balance] &gt; $350,000 in any given month</t>
  </si>
  <si>
    <t>Set Heads to 26 until CMO</t>
  </si>
  <si>
    <t>MfG Tech 25</t>
  </si>
  <si>
    <t>MfG Tech 26</t>
  </si>
  <si>
    <t>MfG Tech 27</t>
  </si>
  <si>
    <t>MfG Tech 28</t>
  </si>
  <si>
    <t>MfG Tech 29</t>
  </si>
  <si>
    <t>MfG Tech 30</t>
  </si>
  <si>
    <t>MfG Tech 31</t>
  </si>
  <si>
    <t>MfG Tech 32</t>
  </si>
  <si>
    <t>MfG Tech 33</t>
  </si>
  <si>
    <t>MfG Tech 34</t>
  </si>
  <si>
    <t>MfG Tech 35</t>
  </si>
  <si>
    <t>MfG Tech 36</t>
  </si>
  <si>
    <t>MfG Tech 37</t>
  </si>
  <si>
    <t>MfG Tech 38</t>
  </si>
  <si>
    <t>MfG Tech 39</t>
  </si>
  <si>
    <t>MfG Tech 40</t>
  </si>
  <si>
    <t>MfG Tech 41</t>
  </si>
  <si>
    <t>MfG Tech 42</t>
  </si>
  <si>
    <t>MfG Tech 43</t>
  </si>
  <si>
    <t>MfG Tech 44</t>
  </si>
  <si>
    <t>MfG Tech 45</t>
  </si>
  <si>
    <t>MfG Tech 46</t>
  </si>
  <si>
    <t>MfG Tech 47</t>
  </si>
  <si>
    <t>MfG Tech 48</t>
  </si>
  <si>
    <t>Change Yr2Mth7 factory productivity to 80% so that 26 heads are required, then force heads required to be 26 until switch to CMO</t>
  </si>
  <si>
    <t>Update formulas in lines 28, 30, 42-47, 49, 73,74 so that CMO can be started as early as Yr3Mth1</t>
  </si>
  <si>
    <t>Increased maximum factory heads to 50</t>
  </si>
  <si>
    <t>Strips Sales</t>
  </si>
  <si>
    <t>Moved Investment from Year 3 Month 3 to Year 3 Month 1 (Row 27)</t>
  </si>
  <si>
    <t>Change in criteria for [Ending cash balance] &gt; $250,000 in any given month</t>
  </si>
  <si>
    <t>Strips (includes Professional, PST &amp; Calibration)</t>
  </si>
  <si>
    <t>Calibration strips:
Assume one reagent lot every two months.
500 strips per lot (every two months) for calibration.
100 strips per month for testing against calibration strips.
200 strips per month for strip release testing (e.g., test with patient blood).</t>
  </si>
  <si>
    <t xml:space="preserve">G&amp;A </t>
  </si>
  <si>
    <t>Add travel starting Yr2 of $3k per mo. (2-3 trips), then Yr4+ let grow at defined G&amp;A growth rate</t>
  </si>
  <si>
    <t>*USD, M</t>
  </si>
  <si>
    <t>TAM</t>
  </si>
  <si>
    <t>SAM</t>
  </si>
  <si>
    <t>SOM</t>
  </si>
  <si>
    <r>
      <t>WW Lab-based Coag tests from</t>
    </r>
    <r>
      <rPr>
        <b/>
        <sz val="12"/>
        <rFont val="Calibri"/>
        <family val="2"/>
        <scheme val="minor"/>
      </rPr>
      <t xml:space="preserve"> Kalorama Ultra Diagnostics bundle, 2011, Pg. 325 of PDF</t>
    </r>
    <r>
      <rPr>
        <sz val="12"/>
        <rFont val="Calibri"/>
        <family val="2"/>
        <scheme val="minor"/>
      </rPr>
      <t>; 50% of which is assumed to be PT/INR</t>
    </r>
  </si>
  <si>
    <t>CEO</t>
  </si>
  <si>
    <t>Added CEO line item with base salary of $300,000</t>
  </si>
  <si>
    <t>Moved Investment from Year 2 Month 7 to Year 2 Month 6 (Row 27) and increased it from $1,500,000 to $2,000,000</t>
  </si>
  <si>
    <t>Increased CEO base salary to $310,000 and added bonus of 50%</t>
  </si>
  <si>
    <t>Moved Investment from Year 2 Month 6 to Year 2 Month 5 (Row 27) and increased it from $2,000,000 to $2,500,000</t>
  </si>
  <si>
    <t>Eng. Instrument</t>
  </si>
  <si>
    <t>Increase Factory Salaries to $55k/yr</t>
  </si>
  <si>
    <t>Wireless medical software &amp; apps</t>
  </si>
  <si>
    <t>Move descriptions to cell comments</t>
  </si>
  <si>
    <t>Cubicles</t>
  </si>
  <si>
    <t>Office chairs</t>
  </si>
  <si>
    <t>Conference table</t>
  </si>
  <si>
    <t>Conference chairs</t>
  </si>
  <si>
    <t>Microsoft Project Management Software</t>
  </si>
  <si>
    <t>Graphing software OriginPro</t>
  </si>
  <si>
    <t>Biosafety cabinet</t>
  </si>
  <si>
    <t>Temp controlled hotplates</t>
  </si>
  <si>
    <t>Lab tables</t>
  </si>
  <si>
    <t>Metal cabinets, Fire safety cabinet</t>
  </si>
  <si>
    <t>Shelves</t>
  </si>
  <si>
    <t>Lab safety</t>
  </si>
  <si>
    <t>Pipettes</t>
  </si>
  <si>
    <t>Biohazard &amp; Sharps</t>
  </si>
  <si>
    <t>Sysmex CA-1500 consumables</t>
  </si>
  <si>
    <t>Sysmex CA-1500 instrument</t>
  </si>
  <si>
    <t>Nitrile gloves</t>
  </si>
  <si>
    <t>Lab coat</t>
  </si>
  <si>
    <t>Oscilloscope</t>
  </si>
  <si>
    <t>Function Generator</t>
  </si>
  <si>
    <t>DC power</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</si>
</sst>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1" formatCode="_(* #,##0_);_(* \(#,##0\);_(* &quot;-&quot;_);_(@_)"/>
    <numFmt numFmtId="44" formatCode="_(&quot;$&quot;* #,##0.00_);_(&quot;$&quot;* \(#,##0.00\);_(&quot;$&quot;* &quot;-&quot;??_);_(@_)"/>
    <numFmt numFmtId="43" formatCode="_(* #,##0.00_);_(* \(#,##0.00\);_(* &quot;-&quot;??_);_(@_)"/>
    <numFmt numFmtId="164" formatCode="[$-409]mmm\-yy;@"/>
    <numFmt numFmtId="165" formatCode="#,##0.000_);[Red]\(#,##0.000\)"/>
    <numFmt numFmtId="166" formatCode="_(* #,##0.000_);_(* \(#,##0.000\);_(* &quot;-&quot;??_);_(@_)"/>
    <numFmt numFmtId="167" formatCode="0.0%"/>
    <numFmt numFmtId="168" formatCode="_(* #,##0.0000_);_(* \(#,##0.0000\);_(* &quot;-&quot;??_);_(@_)"/>
    <numFmt numFmtId="169" formatCode="#,##0.0_);[Red]\(#,##0.0\)"/>
    <numFmt numFmtId="170" formatCode="_(&quot;$&quot;* #,##0_);_(&quot;$&quot;* \(#,##0\);_(&quot;$&quot;* &quot;-&quot;??_);_(@_)"/>
    <numFmt numFmtId="171" formatCode="0.0"/>
    <numFmt numFmtId="172" formatCode="_(&quot;$&quot;* #,##0.000_);_(&quot;$&quot;* \(#,##0.000\);_(&quot;$&quot;* &quot;-&quot;??_);_(@_)"/>
    <numFmt numFmtId="173" formatCode="_(* #,##0_);_(* \(#,##0\);_(* &quot;-&quot;??_);_(@_)"/>
    <numFmt numFmtId="174" formatCode="#,##0.0000_);[Red]\(#,##0.0000\)"/>
  </numFmts>
  <fonts count="35" x14ac:knownFonts="1">
    <font>
      <sz val="12"/>
      <name val="Times New Roman"/>
      <family val="1"/>
    </font>
    <font>
      <sz val="11"/>
      <color theme="1"/>
      <name val="Calibri"/>
      <family val="2"/>
      <scheme val="minor"/>
    </font>
    <font>
      <sz val="11"/>
      <color theme="1"/>
      <name val="Calibri"/>
      <family val="2"/>
      <scheme val="minor"/>
    </font>
    <font>
      <b/>
      <sz val="12"/>
      <name val="Times New Roman"/>
      <family val="1"/>
    </font>
    <font>
      <sz val="12"/>
      <name val="Times New Roman"/>
      <family val="1"/>
    </font>
    <font>
      <sz val="12"/>
      <color rgb="FFFF0000"/>
      <name val="Times New Roman"/>
      <family val="1"/>
    </font>
    <font>
      <sz val="9"/>
      <color indexed="81"/>
      <name val="Tahoma"/>
      <family val="2"/>
    </font>
    <font>
      <b/>
      <sz val="9"/>
      <color indexed="81"/>
      <name val="Tahoma"/>
      <family val="2"/>
    </font>
    <font>
      <sz val="11"/>
      <name val="Calibri"/>
      <family val="2"/>
      <scheme val="minor"/>
    </font>
    <font>
      <b/>
      <sz val="12"/>
      <color rgb="FFFF0000"/>
      <name val="Times New Roman"/>
      <family val="1"/>
    </font>
    <font>
      <sz val="12"/>
      <name val="Calibri"/>
      <family val="2"/>
      <scheme val="minor"/>
    </font>
    <font>
      <sz val="11"/>
      <color rgb="FF000000"/>
      <name val="Calibri"/>
      <family val="2"/>
    </font>
    <font>
      <sz val="12"/>
      <color rgb="FFFF0000"/>
      <name val="Calibri"/>
      <family val="2"/>
      <scheme val="minor"/>
    </font>
    <font>
      <b/>
      <sz val="12"/>
      <name val="Calibri"/>
      <family val="2"/>
      <scheme val="minor"/>
    </font>
    <font>
      <sz val="11"/>
      <color rgb="FF000000"/>
      <name val="Calibri"/>
      <family val="2"/>
      <scheme val="minor"/>
    </font>
    <font>
      <b/>
      <sz val="11"/>
      <color rgb="FF000000"/>
      <name val="Calibri"/>
      <family val="2"/>
      <scheme val="minor"/>
    </font>
    <font>
      <b/>
      <sz val="12"/>
      <color theme="0"/>
      <name val="Times New Roman"/>
      <family val="1"/>
    </font>
    <font>
      <b/>
      <sz val="11"/>
      <color theme="1"/>
      <name val="Calibri"/>
      <family val="2"/>
      <scheme val="minor"/>
    </font>
    <font>
      <sz val="20"/>
      <color theme="1"/>
      <name val="Calibri"/>
      <family val="2"/>
      <scheme val="minor"/>
    </font>
    <font>
      <sz val="10"/>
      <color rgb="FF000000"/>
      <name val="Arial"/>
      <family val="2"/>
    </font>
    <font>
      <b/>
      <sz val="10"/>
      <color rgb="FF000000"/>
      <name val="Arial"/>
      <family val="2"/>
    </font>
    <font>
      <sz val="10"/>
      <name val="Arial"/>
      <family val="2"/>
    </font>
    <font>
      <b/>
      <sz val="18"/>
      <name val="Arial"/>
      <family val="2"/>
    </font>
    <font>
      <sz val="11"/>
      <name val="Arial"/>
      <family val="2"/>
    </font>
    <font>
      <b/>
      <i/>
      <sz val="14"/>
      <name val="Arial"/>
      <family val="2"/>
    </font>
    <font>
      <b/>
      <sz val="11"/>
      <name val="Arial"/>
      <family val="2"/>
    </font>
    <font>
      <sz val="11"/>
      <color theme="0"/>
      <name val="Arial"/>
      <family val="2"/>
    </font>
    <font>
      <b/>
      <sz val="10"/>
      <name val="Arial"/>
      <family val="2"/>
    </font>
    <font>
      <b/>
      <sz val="11"/>
      <color theme="0"/>
      <name val="Arial"/>
      <family val="2"/>
    </font>
    <font>
      <i/>
      <sz val="11"/>
      <name val="Arial"/>
      <family val="2"/>
    </font>
    <font>
      <i/>
      <sz val="10"/>
      <name val="Arial"/>
      <family val="2"/>
    </font>
    <font>
      <u/>
      <sz val="12"/>
      <color theme="10"/>
      <name val="Times New Roman"/>
      <family val="1"/>
    </font>
    <font>
      <i/>
      <sz val="12"/>
      <name val="Calibri"/>
      <family val="2"/>
      <scheme val="minor"/>
    </font>
    <font>
      <sz val="9"/>
      <color indexed="81"/>
      <name val="Tahoma"/>
      <charset val="1"/>
    </font>
    <font>
      <b/>
      <sz val="9"/>
      <color indexed="81"/>
      <name val="Tahoma"/>
      <charset val="1"/>
    </font>
  </fonts>
  <fills count="3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rgb="FFC5BE97"/>
        <bgColor rgb="FF000000"/>
      </patternFill>
    </fill>
    <fill>
      <patternFill patternType="solid">
        <fgColor rgb="FF538ED5"/>
        <bgColor rgb="FF000000"/>
      </patternFill>
    </fill>
    <fill>
      <patternFill patternType="solid">
        <fgColor rgb="FFFAC090"/>
        <bgColor rgb="FF000000"/>
      </patternFill>
    </fill>
    <fill>
      <patternFill patternType="solid">
        <fgColor rgb="FF92D050"/>
        <bgColor rgb="FF000000"/>
      </patternFill>
    </fill>
    <fill>
      <patternFill patternType="solid">
        <fgColor rgb="FF93CDDD"/>
        <bgColor rgb="FF000000"/>
      </patternFill>
    </fill>
    <fill>
      <patternFill patternType="solid">
        <fgColor rgb="FFFF0000"/>
        <bgColor rgb="FF000000"/>
      </patternFill>
    </fill>
    <fill>
      <patternFill patternType="solid">
        <fgColor rgb="FFFFFF00"/>
        <bgColor rgb="FF000000"/>
      </patternFill>
    </fill>
    <fill>
      <patternFill patternType="solid">
        <fgColor rgb="FFDBEEF3"/>
        <bgColor rgb="FF000000"/>
      </patternFill>
    </fill>
    <fill>
      <patternFill patternType="solid">
        <fgColor theme="7" tint="0.59999389629810485"/>
        <bgColor indexed="64"/>
      </patternFill>
    </fill>
    <fill>
      <patternFill patternType="solid">
        <fgColor theme="2" tint="-0.249977111117893"/>
        <bgColor indexed="64"/>
      </patternFill>
    </fill>
    <fill>
      <patternFill patternType="solid">
        <fgColor theme="1" tint="0.34998626667073579"/>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C000"/>
        <bgColor indexed="64"/>
      </patternFill>
    </fill>
    <fill>
      <patternFill patternType="solid">
        <fgColor theme="6" tint="0.59999389629810485"/>
        <bgColor indexed="64"/>
      </patternFill>
    </fill>
    <fill>
      <patternFill patternType="solid">
        <fgColor rgb="FFFFFF00"/>
        <bgColor indexed="64"/>
      </patternFill>
    </fill>
  </fills>
  <borders count="61">
    <border>
      <left/>
      <right/>
      <top/>
      <bottom/>
      <diagonal/>
    </border>
    <border>
      <left/>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rgb="FFB2B2B2"/>
      </left>
      <right style="thin">
        <color rgb="FFB2B2B2"/>
      </right>
      <top style="thin">
        <color rgb="FFB2B2B2"/>
      </top>
      <bottom style="thin">
        <color rgb="FFB2B2B2"/>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26">
    <xf numFmtId="38" fontId="0" fillId="0" borderId="0"/>
    <xf numFmtId="9" fontId="4" fillId="0" borderId="0" applyFont="0" applyFill="0" applyBorder="0" applyAlignment="0" applyProtection="0"/>
    <xf numFmtId="43" fontId="4" fillId="0" borderId="0" applyFont="0" applyFill="0" applyBorder="0" applyAlignment="0" applyProtection="0"/>
    <xf numFmtId="38" fontId="4" fillId="0" borderId="0"/>
    <xf numFmtId="44" fontId="4" fillId="0" borderId="0" applyFont="0" applyFill="0" applyBorder="0" applyAlignment="0" applyProtection="0"/>
    <xf numFmtId="44" fontId="2" fillId="0" borderId="0" applyFont="0" applyFill="0" applyBorder="0" applyAlignment="0" applyProtection="0"/>
    <xf numFmtId="0" fontId="1" fillId="0" borderId="0"/>
    <xf numFmtId="0" fontId="19" fillId="0" borderId="0"/>
    <xf numFmtId="44" fontId="19" fillId="0" borderId="0" applyFont="0" applyFill="0" applyBorder="0" applyAlignment="0" applyProtection="0"/>
    <xf numFmtId="0" fontId="1" fillId="19" borderId="0" applyNumberFormat="0" applyBorder="0" applyAlignment="0" applyProtection="0"/>
    <xf numFmtId="0" fontId="1" fillId="21" borderId="0" applyNumberFormat="0" applyBorder="0" applyAlignment="0" applyProtection="0"/>
    <xf numFmtId="0" fontId="1" fillId="23" borderId="0" applyNumberFormat="0" applyBorder="0" applyAlignment="0" applyProtection="0"/>
    <xf numFmtId="0" fontId="1" fillId="25" borderId="0" applyNumberFormat="0" applyBorder="0" applyAlignment="0" applyProtection="0"/>
    <xf numFmtId="0" fontId="1" fillId="27" borderId="0" applyNumberFormat="0" applyBorder="0" applyAlignment="0" applyProtection="0"/>
    <xf numFmtId="0" fontId="1" fillId="2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0" borderId="0"/>
    <xf numFmtId="0" fontId="1" fillId="18" borderId="55" applyNumberFormat="0" applyFont="0" applyAlignment="0" applyProtection="0"/>
    <xf numFmtId="0" fontId="1" fillId="18" borderId="55" applyNumberFormat="0" applyFont="0" applyAlignment="0" applyProtection="0"/>
    <xf numFmtId="0" fontId="21" fillId="0" borderId="0"/>
    <xf numFmtId="0" fontId="31" fillId="0" borderId="0" applyNumberFormat="0" applyFill="0" applyBorder="0" applyAlignment="0" applyProtection="0">
      <alignment vertical="top"/>
      <protection locked="0"/>
    </xf>
  </cellStyleXfs>
  <cellXfs count="551">
    <xf numFmtId="38" fontId="0" fillId="0" borderId="0" xfId="0"/>
    <xf numFmtId="38" fontId="0" fillId="0" borderId="1" xfId="0" applyBorder="1"/>
    <xf numFmtId="38" fontId="3" fillId="0" borderId="0" xfId="0" applyFont="1" applyAlignment="1">
      <alignment horizontal="center"/>
    </xf>
    <xf numFmtId="38" fontId="3" fillId="0" borderId="1" xfId="0" applyFont="1" applyBorder="1" applyAlignment="1">
      <alignment horizontal="center"/>
    </xf>
    <xf numFmtId="38" fontId="3" fillId="0" borderId="0" xfId="0" applyFont="1"/>
    <xf numFmtId="17" fontId="0" fillId="0" borderId="0" xfId="0" applyNumberFormat="1"/>
    <xf numFmtId="164" fontId="3" fillId="0" borderId="1" xfId="0" applyNumberFormat="1" applyFont="1" applyBorder="1" applyAlignment="1">
      <alignment horizontal="center"/>
    </xf>
    <xf numFmtId="38" fontId="0" fillId="0" borderId="0" xfId="0" applyNumberFormat="1"/>
    <xf numFmtId="38" fontId="0" fillId="0" borderId="2" xfId="0" applyNumberFormat="1" applyBorder="1"/>
    <xf numFmtId="0" fontId="0" fillId="0" borderId="0" xfId="0" applyNumberFormat="1" applyFill="1" applyBorder="1"/>
    <xf numFmtId="38" fontId="3" fillId="0" borderId="1" xfId="0" applyFont="1" applyBorder="1" applyAlignment="1">
      <alignment horizontal="right"/>
    </xf>
    <xf numFmtId="164" fontId="3" fillId="0" borderId="0" xfId="0" applyNumberFormat="1" applyFont="1" applyBorder="1" applyAlignment="1">
      <alignment horizontal="center"/>
    </xf>
    <xf numFmtId="38" fontId="3" fillId="0" borderId="0" xfId="0" applyFont="1" applyFill="1" applyAlignment="1">
      <alignment horizontal="center"/>
    </xf>
    <xf numFmtId="38" fontId="5" fillId="0" borderId="0" xfId="0" applyNumberFormat="1" applyFont="1" applyFill="1"/>
    <xf numFmtId="38" fontId="0" fillId="0" borderId="3" xfId="0" applyNumberFormat="1" applyBorder="1"/>
    <xf numFmtId="38" fontId="0" fillId="0" borderId="0" xfId="0" applyNumberFormat="1" applyAlignment="1">
      <alignment horizontal="left" indent="1"/>
    </xf>
    <xf numFmtId="38" fontId="0" fillId="0" borderId="0" xfId="0" applyNumberFormat="1" applyFill="1"/>
    <xf numFmtId="38" fontId="0" fillId="0" borderId="2" xfId="0" applyNumberFormat="1" applyFill="1" applyBorder="1"/>
    <xf numFmtId="38" fontId="0" fillId="0" borderId="3" xfId="0" applyNumberFormat="1" applyFill="1" applyBorder="1"/>
    <xf numFmtId="38" fontId="3" fillId="0" borderId="0" xfId="0" applyNumberFormat="1" applyFont="1" applyFill="1"/>
    <xf numFmtId="10" fontId="0" fillId="0" borderId="0" xfId="1" applyNumberFormat="1" applyFont="1" applyFill="1"/>
    <xf numFmtId="10" fontId="0" fillId="0" borderId="2" xfId="1" applyNumberFormat="1" applyFont="1" applyFill="1" applyBorder="1"/>
    <xf numFmtId="38" fontId="0" fillId="0" borderId="0" xfId="0" applyNumberFormat="1" applyFill="1" applyBorder="1"/>
    <xf numFmtId="38" fontId="0" fillId="0" borderId="0" xfId="0" applyNumberFormat="1" applyFill="1" applyAlignment="1">
      <alignment horizontal="left" indent="1"/>
    </xf>
    <xf numFmtId="40" fontId="0" fillId="0" borderId="0" xfId="0" applyNumberFormat="1" applyFill="1"/>
    <xf numFmtId="43" fontId="0" fillId="0" borderId="0" xfId="2" applyFont="1" applyFill="1"/>
    <xf numFmtId="43" fontId="0" fillId="0" borderId="2" xfId="2" applyFont="1" applyFill="1" applyBorder="1"/>
    <xf numFmtId="166" fontId="0" fillId="0" borderId="0" xfId="2" applyNumberFormat="1" applyFont="1" applyFill="1" applyBorder="1"/>
    <xf numFmtId="43" fontId="0" fillId="0" borderId="0" xfId="2" applyFont="1" applyFill="1" applyBorder="1"/>
    <xf numFmtId="9" fontId="0" fillId="0" borderId="0" xfId="1" applyFont="1" applyFill="1" applyBorder="1"/>
    <xf numFmtId="40" fontId="0" fillId="0" borderId="2" xfId="0" applyNumberFormat="1" applyFill="1" applyBorder="1"/>
    <xf numFmtId="38" fontId="0" fillId="0" borderId="4" xfId="0" applyNumberFormat="1" applyFill="1" applyBorder="1"/>
    <xf numFmtId="38" fontId="0" fillId="0" borderId="0" xfId="0" applyNumberFormat="1" applyFill="1" applyAlignment="1">
      <alignment horizontal="center"/>
    </xf>
    <xf numFmtId="40" fontId="0" fillId="0" borderId="0" xfId="0" applyNumberFormat="1" applyFill="1" applyBorder="1"/>
    <xf numFmtId="168" fontId="0" fillId="0" borderId="0" xfId="2" applyNumberFormat="1" applyFont="1" applyFill="1"/>
    <xf numFmtId="9" fontId="0" fillId="0" borderId="2" xfId="1" applyFont="1" applyFill="1" applyBorder="1"/>
    <xf numFmtId="167" fontId="0" fillId="0" borderId="0" xfId="1" applyNumberFormat="1" applyFont="1" applyFill="1"/>
    <xf numFmtId="41" fontId="0" fillId="0" borderId="0" xfId="0" applyNumberFormat="1" applyFill="1"/>
    <xf numFmtId="41" fontId="0" fillId="0" borderId="2" xfId="0" applyNumberFormat="1" applyFill="1" applyBorder="1"/>
    <xf numFmtId="41" fontId="0" fillId="0" borderId="0" xfId="0" applyNumberFormat="1" applyFill="1" applyBorder="1"/>
    <xf numFmtId="41" fontId="0" fillId="0" borderId="3" xfId="0" applyNumberFormat="1" applyFill="1" applyBorder="1"/>
    <xf numFmtId="9" fontId="0" fillId="0" borderId="0" xfId="1" applyNumberFormat="1" applyFont="1" applyFill="1" applyAlignment="1">
      <alignment horizontal="center"/>
    </xf>
    <xf numFmtId="38" fontId="0" fillId="0" borderId="0" xfId="0" applyNumberFormat="1" applyFill="1" applyAlignment="1">
      <alignment horizontal="left" indent="2"/>
    </xf>
    <xf numFmtId="38" fontId="0" fillId="0" borderId="5" xfId="0" applyNumberFormat="1" applyFill="1" applyBorder="1"/>
    <xf numFmtId="38" fontId="0" fillId="5" borderId="0" xfId="0" applyNumberFormat="1" applyFill="1"/>
    <xf numFmtId="38" fontId="0" fillId="5" borderId="2" xfId="0" applyNumberFormat="1" applyFill="1" applyBorder="1"/>
    <xf numFmtId="9" fontId="0" fillId="5" borderId="0" xfId="1" applyFont="1" applyFill="1"/>
    <xf numFmtId="38" fontId="0" fillId="5" borderId="0" xfId="0" applyNumberFormat="1" applyFill="1" applyAlignment="1">
      <alignment horizontal="left" indent="1"/>
    </xf>
    <xf numFmtId="43" fontId="0" fillId="0" borderId="4" xfId="2" applyFont="1" applyFill="1" applyBorder="1"/>
    <xf numFmtId="43" fontId="4" fillId="0" borderId="4" xfId="2" applyFont="1" applyFill="1" applyBorder="1"/>
    <xf numFmtId="38" fontId="3" fillId="0" borderId="0" xfId="0" applyNumberFormat="1" applyFont="1" applyFill="1" applyAlignment="1">
      <alignment horizontal="left" indent="1"/>
    </xf>
    <xf numFmtId="38" fontId="5" fillId="5" borderId="0" xfId="0" applyNumberFormat="1" applyFont="1" applyFill="1"/>
    <xf numFmtId="38" fontId="3" fillId="0" borderId="8" xfId="0" applyFont="1" applyBorder="1" applyAlignment="1">
      <alignment horizontal="center"/>
    </xf>
    <xf numFmtId="38" fontId="3" fillId="0" borderId="9" xfId="0" applyFont="1" applyBorder="1" applyAlignment="1">
      <alignment horizontal="center"/>
    </xf>
    <xf numFmtId="38" fontId="0" fillId="5" borderId="10" xfId="0" applyFill="1" applyBorder="1"/>
    <xf numFmtId="165" fontId="0" fillId="5" borderId="11" xfId="0" applyNumberFormat="1" applyFill="1" applyBorder="1"/>
    <xf numFmtId="38" fontId="0" fillId="5" borderId="12" xfId="0" applyFill="1" applyBorder="1"/>
    <xf numFmtId="38" fontId="0" fillId="5" borderId="13" xfId="0" applyFill="1" applyBorder="1"/>
    <xf numFmtId="40" fontId="0" fillId="5" borderId="0" xfId="0" applyNumberFormat="1" applyFill="1" applyBorder="1"/>
    <xf numFmtId="40" fontId="0" fillId="5" borderId="11" xfId="0" applyNumberFormat="1" applyFill="1" applyBorder="1"/>
    <xf numFmtId="40" fontId="0" fillId="5" borderId="4" xfId="0" applyNumberFormat="1" applyFill="1" applyBorder="1"/>
    <xf numFmtId="40" fontId="0" fillId="5" borderId="13" xfId="0" applyNumberFormat="1" applyFill="1" applyBorder="1"/>
    <xf numFmtId="166" fontId="0" fillId="5" borderId="11" xfId="2" applyNumberFormat="1" applyFont="1" applyFill="1" applyBorder="1"/>
    <xf numFmtId="166" fontId="0" fillId="5" borderId="13" xfId="2" applyNumberFormat="1" applyFont="1" applyFill="1" applyBorder="1"/>
    <xf numFmtId="40" fontId="0" fillId="0" borderId="0" xfId="0" quotePrefix="1" applyNumberFormat="1"/>
    <xf numFmtId="9" fontId="0" fillId="0" borderId="0" xfId="1" applyFont="1" applyFill="1"/>
    <xf numFmtId="169" fontId="0" fillId="0" borderId="0" xfId="0" applyNumberFormat="1" applyFill="1"/>
    <xf numFmtId="38" fontId="0" fillId="0" borderId="0" xfId="0" quotePrefix="1" applyNumberFormat="1" applyFill="1"/>
    <xf numFmtId="38" fontId="3" fillId="0" borderId="15" xfId="0" applyFont="1" applyFill="1" applyBorder="1" applyAlignment="1">
      <alignment horizontal="center"/>
    </xf>
    <xf numFmtId="38" fontId="0" fillId="0" borderId="10" xfId="0" applyNumberFormat="1" applyFill="1" applyBorder="1"/>
    <xf numFmtId="38" fontId="0" fillId="0" borderId="11" xfId="0" applyNumberFormat="1" applyFill="1" applyBorder="1"/>
    <xf numFmtId="9" fontId="0" fillId="0" borderId="10" xfId="1" applyFont="1" applyFill="1" applyBorder="1"/>
    <xf numFmtId="9" fontId="0" fillId="0" borderId="11" xfId="1" applyFont="1" applyFill="1" applyBorder="1"/>
    <xf numFmtId="9" fontId="0" fillId="0" borderId="16" xfId="1" applyFont="1" applyFill="1" applyBorder="1"/>
    <xf numFmtId="9" fontId="0" fillId="0" borderId="6" xfId="1" applyFont="1" applyFill="1" applyBorder="1"/>
    <xf numFmtId="167" fontId="0" fillId="0" borderId="10" xfId="1" applyNumberFormat="1" applyFont="1" applyFill="1" applyBorder="1"/>
    <xf numFmtId="9" fontId="0" fillId="0" borderId="12" xfId="1" applyFont="1" applyFill="1" applyBorder="1"/>
    <xf numFmtId="9" fontId="0" fillId="0" borderId="13" xfId="1" applyFont="1" applyFill="1" applyBorder="1"/>
    <xf numFmtId="38" fontId="0" fillId="0" borderId="18" xfId="0" applyNumberFormat="1" applyFill="1" applyBorder="1"/>
    <xf numFmtId="9" fontId="0" fillId="0" borderId="18" xfId="1" applyFont="1" applyFill="1" applyBorder="1"/>
    <xf numFmtId="167" fontId="0" fillId="0" borderId="18" xfId="1" applyNumberFormat="1" applyFont="1" applyFill="1" applyBorder="1"/>
    <xf numFmtId="9" fontId="0" fillId="0" borderId="19" xfId="1" applyFont="1" applyFill="1" applyBorder="1"/>
    <xf numFmtId="164" fontId="3" fillId="0" borderId="0" xfId="0" applyNumberFormat="1" applyFont="1" applyFill="1" applyBorder="1" applyAlignment="1">
      <alignment horizontal="center"/>
    </xf>
    <xf numFmtId="14" fontId="4" fillId="0" borderId="0" xfId="3" applyNumberFormat="1"/>
    <xf numFmtId="38" fontId="3" fillId="0" borderId="0" xfId="3" applyFont="1"/>
    <xf numFmtId="38" fontId="4" fillId="0" borderId="0" xfId="3"/>
    <xf numFmtId="38" fontId="3" fillId="0" borderId="0" xfId="3" applyFont="1" applyAlignment="1">
      <alignment horizontal="center"/>
    </xf>
    <xf numFmtId="14" fontId="4" fillId="0" borderId="1" xfId="3" applyNumberFormat="1" applyBorder="1"/>
    <xf numFmtId="38" fontId="3" fillId="0" borderId="1" xfId="3" applyFont="1" applyBorder="1" applyAlignment="1">
      <alignment horizontal="center"/>
    </xf>
    <xf numFmtId="14" fontId="3" fillId="0" borderId="0" xfId="3" applyNumberFormat="1" applyFont="1"/>
    <xf numFmtId="38" fontId="4" fillId="0" borderId="0" xfId="3" applyAlignment="1">
      <alignment horizontal="center"/>
    </xf>
    <xf numFmtId="38" fontId="0" fillId="0" borderId="0" xfId="3" applyFont="1"/>
    <xf numFmtId="38" fontId="10" fillId="0" borderId="0" xfId="0" applyFont="1" applyAlignment="1">
      <alignment horizontal="left" vertical="center" wrapText="1"/>
    </xf>
    <xf numFmtId="38" fontId="10" fillId="0" borderId="0" xfId="0" applyFont="1"/>
    <xf numFmtId="38" fontId="10" fillId="0" borderId="0" xfId="0" applyFont="1" applyAlignment="1">
      <alignment horizontal="center"/>
    </xf>
    <xf numFmtId="0" fontId="11" fillId="0" borderId="10" xfId="0" applyNumberFormat="1" applyFont="1" applyBorder="1" applyAlignment="1">
      <alignment horizontal="center"/>
    </xf>
    <xf numFmtId="0" fontId="11" fillId="5" borderId="11" xfId="0" applyNumberFormat="1" applyFont="1" applyFill="1" applyBorder="1" applyAlignment="1">
      <alignment horizontal="center" vertical="center"/>
    </xf>
    <xf numFmtId="38" fontId="10" fillId="0" borderId="10" xfId="0" applyFont="1" applyBorder="1" applyAlignment="1">
      <alignment horizontal="center" vertical="center"/>
    </xf>
    <xf numFmtId="169" fontId="10" fillId="5" borderId="11" xfId="0" applyNumberFormat="1" applyFont="1" applyFill="1" applyBorder="1" applyAlignment="1">
      <alignment horizontal="center"/>
    </xf>
    <xf numFmtId="38" fontId="10" fillId="5" borderId="11" xfId="0" applyFont="1" applyFill="1" applyBorder="1" applyAlignment="1">
      <alignment horizontal="center"/>
    </xf>
    <xf numFmtId="38" fontId="10" fillId="0" borderId="0" xfId="0" applyFont="1" applyAlignment="1">
      <alignment horizontal="center" vertical="center"/>
    </xf>
    <xf numFmtId="38" fontId="10" fillId="0" borderId="3" xfId="0" applyFont="1" applyBorder="1" applyAlignment="1">
      <alignment horizontal="center" vertical="center"/>
    </xf>
    <xf numFmtId="1" fontId="12" fillId="0" borderId="19" xfId="0" applyNumberFormat="1" applyFont="1" applyBorder="1" applyAlignment="1">
      <alignment horizontal="center" vertical="center"/>
    </xf>
    <xf numFmtId="1" fontId="10" fillId="0" borderId="4" xfId="0" applyNumberFormat="1" applyFont="1" applyBorder="1" applyAlignment="1">
      <alignment horizontal="center" vertical="center"/>
    </xf>
    <xf numFmtId="1" fontId="10" fillId="0" borderId="13" xfId="0" applyNumberFormat="1" applyFont="1" applyBorder="1" applyAlignment="1">
      <alignment horizontal="center" vertical="center"/>
    </xf>
    <xf numFmtId="38" fontId="13" fillId="0" borderId="29" xfId="0" applyFont="1" applyBorder="1" applyAlignment="1">
      <alignment horizontal="center" vertical="center"/>
    </xf>
    <xf numFmtId="38" fontId="10" fillId="0" borderId="1" xfId="0" applyFont="1" applyBorder="1" applyAlignment="1">
      <alignment horizontal="left" vertical="center" wrapText="1"/>
    </xf>
    <xf numFmtId="38" fontId="10" fillId="0" borderId="0" xfId="0" applyFont="1" applyBorder="1"/>
    <xf numFmtId="38" fontId="13" fillId="0" borderId="0" xfId="0" applyFont="1" applyBorder="1"/>
    <xf numFmtId="38" fontId="13" fillId="0" borderId="0" xfId="0" applyFont="1" applyBorder="1" applyAlignment="1">
      <alignment horizontal="center"/>
    </xf>
    <xf numFmtId="38" fontId="10" fillId="0" borderId="0" xfId="0" applyFont="1" applyBorder="1" applyAlignment="1">
      <alignment horizontal="center"/>
    </xf>
    <xf numFmtId="38" fontId="10" fillId="0" borderId="0" xfId="0" applyFont="1" applyBorder="1" applyAlignment="1">
      <alignment horizontal="center" vertical="center"/>
    </xf>
    <xf numFmtId="38" fontId="10" fillId="0" borderId="4" xfId="0" applyFont="1" applyBorder="1" applyAlignment="1">
      <alignment horizontal="center" vertical="center"/>
    </xf>
    <xf numFmtId="38" fontId="13" fillId="0" borderId="19" xfId="0" applyFont="1" applyBorder="1" applyAlignment="1">
      <alignment horizontal="center" vertical="center"/>
    </xf>
    <xf numFmtId="38" fontId="10" fillId="0" borderId="18" xfId="0" applyFont="1" applyBorder="1" applyAlignment="1">
      <alignment horizontal="center" vertical="center"/>
    </xf>
    <xf numFmtId="38" fontId="13" fillId="0" borderId="18" xfId="0" applyFont="1" applyBorder="1" applyAlignment="1">
      <alignment horizontal="center" vertical="center"/>
    </xf>
    <xf numFmtId="38" fontId="10" fillId="0" borderId="18" xfId="0" applyFont="1" applyBorder="1" applyAlignment="1">
      <alignment horizontal="center"/>
    </xf>
    <xf numFmtId="38" fontId="13" fillId="0" borderId="2" xfId="0" applyFont="1" applyBorder="1" applyAlignment="1">
      <alignment horizontal="center" vertical="center"/>
    </xf>
    <xf numFmtId="38" fontId="13" fillId="0" borderId="30" xfId="0" applyFont="1" applyBorder="1" applyAlignment="1">
      <alignment horizontal="center" vertical="center"/>
    </xf>
    <xf numFmtId="38" fontId="10" fillId="0" borderId="4" xfId="0" applyFont="1" applyBorder="1" applyAlignment="1">
      <alignment horizontal="center"/>
    </xf>
    <xf numFmtId="38" fontId="10" fillId="0" borderId="19" xfId="0" applyFont="1" applyBorder="1" applyAlignment="1">
      <alignment horizontal="center"/>
    </xf>
    <xf numFmtId="38" fontId="10" fillId="0" borderId="11" xfId="0" applyFont="1" applyBorder="1" applyAlignment="1">
      <alignment horizontal="center"/>
    </xf>
    <xf numFmtId="38" fontId="10" fillId="0" borderId="13" xfId="0" applyFont="1" applyBorder="1" applyAlignment="1">
      <alignment horizontal="center"/>
    </xf>
    <xf numFmtId="0" fontId="10" fillId="0" borderId="0" xfId="0" applyNumberFormat="1" applyFont="1" applyBorder="1" applyAlignment="1">
      <alignment horizontal="center" vertical="center"/>
    </xf>
    <xf numFmtId="38" fontId="10" fillId="0" borderId="17" xfId="0" applyFont="1" applyBorder="1" applyAlignment="1">
      <alignment horizontal="center" vertical="center"/>
    </xf>
    <xf numFmtId="38" fontId="10" fillId="0" borderId="6" xfId="0" applyFont="1" applyBorder="1"/>
    <xf numFmtId="38" fontId="10" fillId="0" borderId="2" xfId="0" applyFont="1" applyBorder="1" applyAlignment="1">
      <alignment horizontal="center" vertical="center"/>
    </xf>
    <xf numFmtId="38" fontId="10" fillId="0" borderId="7" xfId="0" applyFont="1" applyBorder="1" applyAlignment="1">
      <alignment horizontal="center" vertical="center"/>
    </xf>
    <xf numFmtId="38" fontId="13" fillId="0" borderId="6" xfId="0" applyFont="1" applyBorder="1" applyAlignment="1">
      <alignment horizontal="center" vertical="center"/>
    </xf>
    <xf numFmtId="38" fontId="10" fillId="0" borderId="17" xfId="0" applyFont="1" applyBorder="1" applyAlignment="1">
      <alignment horizontal="center"/>
    </xf>
    <xf numFmtId="38" fontId="13" fillId="0" borderId="31" xfId="0" applyFont="1" applyBorder="1" applyAlignment="1">
      <alignment horizontal="center" vertical="center"/>
    </xf>
    <xf numFmtId="38" fontId="13" fillId="0" borderId="32" xfId="0" applyFont="1" applyBorder="1" applyAlignment="1">
      <alignment horizontal="center" vertical="center"/>
    </xf>
    <xf numFmtId="38" fontId="13" fillId="0" borderId="33" xfId="0" applyFont="1" applyBorder="1" applyAlignment="1">
      <alignment horizontal="center" vertical="center"/>
    </xf>
    <xf numFmtId="38" fontId="10" fillId="0" borderId="34" xfId="0" applyFont="1" applyBorder="1" applyAlignment="1">
      <alignment horizontal="center"/>
    </xf>
    <xf numFmtId="38" fontId="10" fillId="0" borderId="25" xfId="0" applyFont="1" applyBorder="1" applyAlignment="1">
      <alignment horizontal="center"/>
    </xf>
    <xf numFmtId="38" fontId="10" fillId="0" borderId="35" xfId="0" applyFont="1" applyBorder="1" applyAlignment="1">
      <alignment horizontal="center"/>
    </xf>
    <xf numFmtId="38" fontId="10" fillId="0" borderId="36" xfId="0" applyFont="1" applyBorder="1" applyAlignment="1">
      <alignment horizontal="center"/>
    </xf>
    <xf numFmtId="38" fontId="13" fillId="0" borderId="37" xfId="0" applyFont="1" applyBorder="1" applyAlignment="1">
      <alignment horizontal="center" vertical="center"/>
    </xf>
    <xf numFmtId="38" fontId="10" fillId="0" borderId="38" xfId="0" applyFont="1" applyBorder="1" applyAlignment="1">
      <alignment horizontal="center" vertical="center"/>
    </xf>
    <xf numFmtId="38" fontId="10" fillId="0" borderId="39" xfId="0" applyFont="1" applyBorder="1" applyAlignment="1">
      <alignment horizontal="center" vertical="center"/>
    </xf>
    <xf numFmtId="38" fontId="10" fillId="0" borderId="34" xfId="0" applyFont="1" applyBorder="1" applyAlignment="1">
      <alignment horizontal="center" vertical="center"/>
    </xf>
    <xf numFmtId="38" fontId="10" fillId="0" borderId="25" xfId="0" applyFont="1" applyBorder="1" applyAlignment="1">
      <alignment horizontal="center" vertical="center"/>
    </xf>
    <xf numFmtId="38" fontId="10" fillId="0" borderId="40" xfId="0" applyFont="1" applyBorder="1" applyAlignment="1">
      <alignment horizontal="center" vertical="center"/>
    </xf>
    <xf numFmtId="38" fontId="10" fillId="0" borderId="41" xfId="0" applyFont="1" applyBorder="1" applyAlignment="1">
      <alignment horizontal="center" vertical="center"/>
    </xf>
    <xf numFmtId="38" fontId="10" fillId="0" borderId="27" xfId="0" applyFont="1" applyBorder="1" applyAlignment="1">
      <alignment horizontal="center" vertical="center"/>
    </xf>
    <xf numFmtId="0" fontId="10" fillId="0" borderId="42" xfId="0" applyNumberFormat="1" applyFont="1" applyBorder="1" applyAlignment="1">
      <alignment horizontal="center" vertical="center"/>
    </xf>
    <xf numFmtId="0" fontId="13" fillId="0" borderId="43" xfId="0" applyNumberFormat="1" applyFont="1" applyBorder="1" applyAlignment="1">
      <alignment horizontal="center" vertical="center"/>
    </xf>
    <xf numFmtId="0" fontId="10" fillId="0" borderId="44" xfId="0" applyNumberFormat="1" applyFont="1" applyBorder="1" applyAlignment="1">
      <alignment horizontal="center" vertical="center"/>
    </xf>
    <xf numFmtId="38" fontId="13" fillId="0" borderId="45" xfId="0" applyFont="1" applyBorder="1" applyAlignment="1">
      <alignment horizontal="center" vertical="center"/>
    </xf>
    <xf numFmtId="38" fontId="13" fillId="0" borderId="43" xfId="0" applyFont="1" applyBorder="1" applyAlignment="1">
      <alignment horizontal="center" vertical="center"/>
    </xf>
    <xf numFmtId="38" fontId="13" fillId="0" borderId="46" xfId="0" applyFont="1" applyBorder="1" applyAlignment="1">
      <alignment horizontal="center" vertical="center"/>
    </xf>
    <xf numFmtId="0" fontId="11" fillId="0" borderId="10" xfId="0" applyNumberFormat="1" applyFont="1" applyBorder="1" applyAlignment="1">
      <alignment horizontal="center" vertical="center"/>
    </xf>
    <xf numFmtId="38" fontId="10" fillId="0" borderId="47" xfId="0" applyFont="1" applyBorder="1" applyAlignment="1">
      <alignment horizontal="center" vertical="center"/>
    </xf>
    <xf numFmtId="38" fontId="10" fillId="0" borderId="15" xfId="0" applyFont="1" applyBorder="1" applyAlignment="1">
      <alignment horizontal="center" vertical="center"/>
    </xf>
    <xf numFmtId="38" fontId="10" fillId="5" borderId="0" xfId="0" applyFont="1" applyFill="1" applyBorder="1" applyAlignment="1">
      <alignment horizontal="center"/>
    </xf>
    <xf numFmtId="38" fontId="10" fillId="0" borderId="0" xfId="0" applyFont="1" applyFill="1" applyBorder="1" applyAlignment="1">
      <alignment horizontal="center"/>
    </xf>
    <xf numFmtId="38" fontId="10" fillId="0" borderId="11" xfId="0" applyFont="1" applyFill="1" applyBorder="1" applyAlignment="1">
      <alignment horizontal="center"/>
    </xf>
    <xf numFmtId="2" fontId="10" fillId="0" borderId="0" xfId="0" applyNumberFormat="1" applyFont="1" applyFill="1" applyBorder="1" applyAlignment="1">
      <alignment horizontal="center"/>
    </xf>
    <xf numFmtId="2" fontId="10" fillId="0" borderId="11" xfId="0" applyNumberFormat="1" applyFont="1" applyFill="1" applyBorder="1" applyAlignment="1">
      <alignment horizontal="center"/>
    </xf>
    <xf numFmtId="170" fontId="13" fillId="0" borderId="2" xfId="0" applyNumberFormat="1" applyFont="1" applyBorder="1" applyAlignment="1">
      <alignment horizontal="center" vertical="center"/>
    </xf>
    <xf numFmtId="170" fontId="13" fillId="0" borderId="7" xfId="0" applyNumberFormat="1" applyFont="1" applyBorder="1" applyAlignment="1">
      <alignment horizontal="center" vertical="center"/>
    </xf>
    <xf numFmtId="38" fontId="10" fillId="0" borderId="18" xfId="0" applyFont="1" applyBorder="1" applyAlignment="1">
      <alignment horizontal="left" vertical="center" wrapText="1"/>
    </xf>
    <xf numFmtId="38" fontId="13" fillId="0" borderId="30" xfId="0" applyFont="1" applyBorder="1" applyAlignment="1">
      <alignment horizontal="left" vertical="center" wrapText="1"/>
    </xf>
    <xf numFmtId="38" fontId="10" fillId="0" borderId="48" xfId="0" applyFont="1" applyBorder="1" applyAlignment="1">
      <alignment horizontal="left" vertical="center" wrapText="1"/>
    </xf>
    <xf numFmtId="38" fontId="10" fillId="0" borderId="0" xfId="0" applyFont="1" applyBorder="1" applyAlignment="1">
      <alignment horizontal="left" vertical="center" wrapText="1"/>
    </xf>
    <xf numFmtId="0" fontId="14" fillId="0" borderId="0" xfId="0" applyNumberFormat="1" applyFont="1" applyBorder="1"/>
    <xf numFmtId="44" fontId="14" fillId="0" borderId="0" xfId="4" applyFont="1" applyBorder="1"/>
    <xf numFmtId="44" fontId="14" fillId="0" borderId="11" xfId="4" applyFont="1" applyBorder="1"/>
    <xf numFmtId="44" fontId="14" fillId="0" borderId="9" xfId="4" applyFont="1" applyBorder="1"/>
    <xf numFmtId="0" fontId="14" fillId="0" borderId="11" xfId="0" applyNumberFormat="1" applyFont="1" applyBorder="1"/>
    <xf numFmtId="44" fontId="14" fillId="0" borderId="50" xfId="4" applyFont="1" applyFill="1" applyBorder="1" applyAlignment="1"/>
    <xf numFmtId="44" fontId="14" fillId="0" borderId="0" xfId="4" applyFont="1" applyFill="1" applyBorder="1" applyAlignment="1"/>
    <xf numFmtId="44" fontId="14" fillId="10" borderId="20" xfId="4" applyFont="1" applyFill="1" applyBorder="1"/>
    <xf numFmtId="44" fontId="14" fillId="10" borderId="50" xfId="4" applyFont="1" applyFill="1" applyBorder="1"/>
    <xf numFmtId="44" fontId="14" fillId="10" borderId="49" xfId="4" applyFont="1" applyFill="1" applyBorder="1"/>
    <xf numFmtId="44" fontId="14" fillId="10" borderId="21" xfId="4" applyFont="1" applyFill="1" applyBorder="1"/>
    <xf numFmtId="44" fontId="14" fillId="9" borderId="20" xfId="4" applyFont="1" applyFill="1" applyBorder="1"/>
    <xf numFmtId="44" fontId="14" fillId="9" borderId="21" xfId="4" applyFont="1" applyFill="1" applyBorder="1"/>
    <xf numFmtId="44" fontId="14" fillId="0" borderId="0" xfId="4" applyFont="1" applyFill="1" applyBorder="1"/>
    <xf numFmtId="44" fontId="14" fillId="0" borderId="9" xfId="4" applyFont="1" applyFill="1" applyBorder="1"/>
    <xf numFmtId="44" fontId="14" fillId="0" borderId="9" xfId="4" applyFont="1" applyFill="1" applyBorder="1" applyAlignment="1">
      <alignment horizontal="center"/>
    </xf>
    <xf numFmtId="44" fontId="14" fillId="0" borderId="0" xfId="4" applyFont="1" applyFill="1" applyBorder="1" applyAlignment="1">
      <alignment horizontal="center"/>
    </xf>
    <xf numFmtId="44" fontId="14" fillId="0" borderId="1" xfId="4" applyFont="1" applyFill="1" applyBorder="1" applyAlignment="1">
      <alignment horizontal="center"/>
    </xf>
    <xf numFmtId="44" fontId="14" fillId="12" borderId="20" xfId="4" applyFont="1" applyFill="1" applyBorder="1"/>
    <xf numFmtId="44" fontId="14" fillId="12" borderId="49" xfId="4" applyFont="1" applyFill="1" applyBorder="1"/>
    <xf numFmtId="44" fontId="14" fillId="12" borderId="21" xfId="4" applyFont="1" applyFill="1" applyBorder="1"/>
    <xf numFmtId="171" fontId="14" fillId="0" borderId="0" xfId="4" applyNumberFormat="1" applyFont="1" applyBorder="1"/>
    <xf numFmtId="171" fontId="14" fillId="0" borderId="52" xfId="4" applyNumberFormat="1" applyFont="1" applyBorder="1"/>
    <xf numFmtId="171" fontId="14" fillId="0" borderId="11" xfId="4" applyNumberFormat="1" applyFont="1" applyBorder="1"/>
    <xf numFmtId="2" fontId="14" fillId="0" borderId="0" xfId="4" applyNumberFormat="1" applyFont="1" applyBorder="1"/>
    <xf numFmtId="2" fontId="14" fillId="0" borderId="11" xfId="4" applyNumberFormat="1" applyFont="1" applyBorder="1"/>
    <xf numFmtId="2" fontId="14" fillId="0" borderId="11" xfId="4" applyNumberFormat="1" applyFont="1" applyFill="1" applyBorder="1"/>
    <xf numFmtId="171" fontId="14" fillId="0" borderId="0" xfId="4" applyNumberFormat="1" applyFont="1" applyFill="1" applyBorder="1"/>
    <xf numFmtId="171" fontId="14" fillId="0" borderId="11" xfId="4" applyNumberFormat="1" applyFont="1" applyFill="1" applyBorder="1"/>
    <xf numFmtId="0" fontId="14" fillId="0" borderId="4" xfId="0" applyNumberFormat="1" applyFont="1" applyBorder="1"/>
    <xf numFmtId="44" fontId="14" fillId="0" borderId="4" xfId="4" applyFont="1" applyBorder="1"/>
    <xf numFmtId="44" fontId="14" fillId="13" borderId="29" xfId="4" applyFont="1" applyFill="1" applyBorder="1"/>
    <xf numFmtId="44" fontId="14" fillId="0" borderId="13" xfId="4" applyFont="1" applyBorder="1"/>
    <xf numFmtId="44" fontId="14" fillId="13" borderId="29" xfId="4" applyFont="1" applyFill="1" applyBorder="1" applyAlignment="1">
      <alignment horizontal="left" vertical="center" wrapText="1"/>
    </xf>
    <xf numFmtId="44" fontId="14" fillId="0" borderId="4" xfId="0" applyNumberFormat="1" applyFont="1" applyBorder="1"/>
    <xf numFmtId="44" fontId="14" fillId="0" borderId="13" xfId="0" applyNumberFormat="1" applyFont="1" applyBorder="1"/>
    <xf numFmtId="0" fontId="14" fillId="0" borderId="13" xfId="0" applyNumberFormat="1" applyFont="1" applyBorder="1"/>
    <xf numFmtId="0" fontId="14" fillId="0" borderId="0" xfId="0" applyNumberFormat="1" applyFont="1" applyFill="1" applyBorder="1"/>
    <xf numFmtId="44" fontId="14" fillId="0" borderId="0" xfId="0" applyNumberFormat="1" applyFont="1" applyFill="1" applyBorder="1"/>
    <xf numFmtId="0" fontId="14" fillId="0" borderId="4" xfId="0" applyNumberFormat="1" applyFont="1" applyBorder="1" applyAlignment="1">
      <alignment horizontal="center" vertical="center"/>
    </xf>
    <xf numFmtId="0" fontId="15" fillId="0" borderId="3" xfId="0" applyNumberFormat="1" applyFont="1" applyBorder="1" applyAlignment="1">
      <alignment horizontal="center" vertical="center"/>
    </xf>
    <xf numFmtId="0" fontId="14" fillId="0" borderId="20" xfId="0" applyNumberFormat="1" applyFont="1" applyFill="1" applyBorder="1" applyAlignment="1">
      <alignment wrapText="1"/>
    </xf>
    <xf numFmtId="0" fontId="15" fillId="0" borderId="12" xfId="0" applyNumberFormat="1" applyFont="1" applyBorder="1" applyAlignment="1">
      <alignment horizontal="center" vertical="center"/>
    </xf>
    <xf numFmtId="0" fontId="15" fillId="0" borderId="4" xfId="0" applyNumberFormat="1" applyFont="1" applyBorder="1" applyAlignment="1">
      <alignment horizontal="center" vertical="center"/>
    </xf>
    <xf numFmtId="0" fontId="14" fillId="0" borderId="0" xfId="0" applyNumberFormat="1" applyFont="1" applyFill="1" applyBorder="1" applyAlignment="1">
      <alignment vertical="center" wrapText="1"/>
    </xf>
    <xf numFmtId="0" fontId="14" fillId="0" borderId="0" xfId="0" applyNumberFormat="1" applyFont="1" applyBorder="1" applyAlignment="1">
      <alignment horizontal="center" vertical="center"/>
    </xf>
    <xf numFmtId="0" fontId="14" fillId="0" borderId="0" xfId="0" applyNumberFormat="1" applyFont="1" applyFill="1" applyBorder="1" applyAlignment="1">
      <alignment vertical="center"/>
    </xf>
    <xf numFmtId="0" fontId="14" fillId="0" borderId="53" xfId="0" applyNumberFormat="1" applyFont="1" applyBorder="1"/>
    <xf numFmtId="0" fontId="14" fillId="0" borderId="5" xfId="0" applyNumberFormat="1" applyFont="1" applyBorder="1" applyAlignment="1">
      <alignment horizontal="center" vertical="center"/>
    </xf>
    <xf numFmtId="0" fontId="14" fillId="0" borderId="54" xfId="0" applyNumberFormat="1" applyFont="1" applyBorder="1" applyAlignment="1">
      <alignment horizontal="center" vertical="center"/>
    </xf>
    <xf numFmtId="0" fontId="14" fillId="0" borderId="2" xfId="0" applyNumberFormat="1" applyFont="1" applyBorder="1" applyAlignment="1">
      <alignment horizontal="center" vertical="center"/>
    </xf>
    <xf numFmtId="6" fontId="14" fillId="0" borderId="0" xfId="0" applyNumberFormat="1" applyFont="1" applyBorder="1" applyAlignment="1">
      <alignment horizontal="center" vertical="center"/>
    </xf>
    <xf numFmtId="0" fontId="14" fillId="0" borderId="53" xfId="0" applyNumberFormat="1" applyFont="1" applyBorder="1" applyAlignment="1">
      <alignment horizontal="center" vertical="center"/>
    </xf>
    <xf numFmtId="6" fontId="14" fillId="0" borderId="5" xfId="0" applyNumberFormat="1" applyFont="1" applyBorder="1" applyAlignment="1">
      <alignment horizontal="center" vertical="center"/>
    </xf>
    <xf numFmtId="6" fontId="14" fillId="0" borderId="54" xfId="0" applyNumberFormat="1" applyFont="1" applyBorder="1"/>
    <xf numFmtId="6" fontId="15" fillId="0" borderId="20" xfId="0" applyNumberFormat="1" applyFont="1" applyBorder="1"/>
    <xf numFmtId="6" fontId="15" fillId="0" borderId="29" xfId="0" applyNumberFormat="1" applyFont="1" applyBorder="1"/>
    <xf numFmtId="6" fontId="14" fillId="0" borderId="0" xfId="0" applyNumberFormat="1" applyFont="1" applyBorder="1"/>
    <xf numFmtId="0" fontId="14" fillId="0" borderId="0" xfId="0" applyNumberFormat="1" applyFont="1" applyBorder="1" applyAlignment="1">
      <alignment wrapText="1"/>
    </xf>
    <xf numFmtId="0" fontId="14" fillId="0" borderId="0" xfId="0" applyNumberFormat="1" applyFont="1" applyBorder="1" applyAlignment="1"/>
    <xf numFmtId="0" fontId="15" fillId="0" borderId="1" xfId="0" applyNumberFormat="1" applyFont="1" applyBorder="1" applyAlignment="1">
      <alignment horizontal="center" vertical="center"/>
    </xf>
    <xf numFmtId="40" fontId="10" fillId="5" borderId="11" xfId="0" applyNumberFormat="1" applyFont="1" applyFill="1" applyBorder="1" applyAlignment="1">
      <alignment horizontal="center"/>
    </xf>
    <xf numFmtId="38" fontId="0" fillId="0" borderId="0" xfId="3" applyFont="1" applyAlignment="1">
      <alignment horizontal="center"/>
    </xf>
    <xf numFmtId="38" fontId="0" fillId="0" borderId="0" xfId="3" applyFont="1" applyAlignment="1">
      <alignment wrapText="1"/>
    </xf>
    <xf numFmtId="38" fontId="3" fillId="0" borderId="0" xfId="3" applyFont="1" applyAlignment="1">
      <alignment horizontal="center" vertical="center"/>
    </xf>
    <xf numFmtId="38" fontId="3" fillId="0" borderId="1" xfId="3" applyFont="1" applyBorder="1" applyAlignment="1">
      <alignment horizontal="center" vertical="center"/>
    </xf>
    <xf numFmtId="38" fontId="4" fillId="0" borderId="0" xfId="3" applyAlignment="1">
      <alignment vertical="center"/>
    </xf>
    <xf numFmtId="38" fontId="0" fillId="0" borderId="0" xfId="3" applyFont="1" applyAlignment="1">
      <alignment vertical="center"/>
    </xf>
    <xf numFmtId="14" fontId="0" fillId="0" borderId="0" xfId="3" applyNumberFormat="1" applyFont="1"/>
    <xf numFmtId="40" fontId="0" fillId="0" borderId="4" xfId="0" applyNumberFormat="1" applyFill="1" applyBorder="1"/>
    <xf numFmtId="38" fontId="0" fillId="5" borderId="2" xfId="0" applyNumberFormat="1" applyFont="1" applyFill="1" applyBorder="1"/>
    <xf numFmtId="38" fontId="13" fillId="0" borderId="47" xfId="0" applyFont="1" applyBorder="1" applyAlignment="1">
      <alignment horizontal="center" vertical="center"/>
    </xf>
    <xf numFmtId="38" fontId="13" fillId="0" borderId="15" xfId="0" applyFont="1" applyBorder="1" applyAlignment="1">
      <alignment horizontal="center" vertical="center"/>
    </xf>
    <xf numFmtId="44" fontId="10" fillId="5" borderId="0" xfId="0" applyNumberFormat="1" applyFont="1" applyFill="1" applyBorder="1"/>
    <xf numFmtId="44" fontId="10" fillId="5" borderId="11" xfId="0" applyNumberFormat="1" applyFont="1" applyFill="1" applyBorder="1"/>
    <xf numFmtId="44" fontId="10" fillId="5" borderId="0" xfId="4" applyFont="1" applyFill="1" applyBorder="1" applyAlignment="1">
      <alignment horizontal="center"/>
    </xf>
    <xf numFmtId="172" fontId="10" fillId="5" borderId="0" xfId="4" applyNumberFormat="1" applyFont="1" applyFill="1" applyBorder="1"/>
    <xf numFmtId="172" fontId="10" fillId="5" borderId="11" xfId="4" applyNumberFormat="1" applyFont="1" applyFill="1" applyBorder="1"/>
    <xf numFmtId="38" fontId="0" fillId="0" borderId="0" xfId="0"/>
    <xf numFmtId="38" fontId="0" fillId="0" borderId="10" xfId="0" applyBorder="1"/>
    <xf numFmtId="44" fontId="10" fillId="0" borderId="0" xfId="0" applyNumberFormat="1" applyFont="1" applyBorder="1" applyAlignment="1">
      <alignment vertical="center"/>
    </xf>
    <xf numFmtId="44" fontId="10" fillId="0" borderId="0" xfId="0" applyNumberFormat="1" applyFont="1" applyBorder="1" applyAlignment="1">
      <alignment vertical="center" wrapText="1"/>
    </xf>
    <xf numFmtId="44" fontId="10" fillId="5" borderId="10" xfId="0" applyNumberFormat="1" applyFont="1" applyFill="1" applyBorder="1" applyAlignment="1">
      <alignment vertical="center" wrapText="1"/>
    </xf>
    <xf numFmtId="44" fontId="10" fillId="5" borderId="0" xfId="0" applyNumberFormat="1" applyFont="1" applyFill="1" applyBorder="1" applyAlignment="1">
      <alignment vertical="center" wrapText="1"/>
    </xf>
    <xf numFmtId="44" fontId="10" fillId="5" borderId="11" xfId="0" applyNumberFormat="1" applyFont="1" applyFill="1" applyBorder="1" applyAlignment="1">
      <alignment vertical="center" wrapText="1"/>
    </xf>
    <xf numFmtId="43" fontId="10" fillId="0" borderId="0" xfId="2" applyFont="1" applyAlignment="1">
      <alignment horizontal="center"/>
    </xf>
    <xf numFmtId="173" fontId="10" fillId="0" borderId="0" xfId="2" applyNumberFormat="1" applyFont="1"/>
    <xf numFmtId="173" fontId="10" fillId="0" borderId="0" xfId="2" applyNumberFormat="1" applyFont="1" applyBorder="1" applyAlignment="1">
      <alignment vertical="center"/>
    </xf>
    <xf numFmtId="173" fontId="10" fillId="0" borderId="0" xfId="2" applyNumberFormat="1" applyFont="1" applyBorder="1"/>
    <xf numFmtId="173" fontId="10" fillId="0" borderId="0" xfId="2" applyNumberFormat="1" applyFont="1" applyAlignment="1">
      <alignment horizontal="center"/>
    </xf>
    <xf numFmtId="38" fontId="3" fillId="0" borderId="1" xfId="0" applyFont="1" applyFill="1" applyBorder="1" applyAlignment="1">
      <alignment horizontal="center"/>
    </xf>
    <xf numFmtId="38" fontId="3" fillId="0" borderId="9" xfId="0" applyFont="1" applyFill="1" applyBorder="1" applyAlignment="1">
      <alignment horizontal="center"/>
    </xf>
    <xf numFmtId="38" fontId="0" fillId="5" borderId="0" xfId="0" applyFill="1" applyBorder="1"/>
    <xf numFmtId="43" fontId="0" fillId="0" borderId="11" xfId="2" applyFont="1" applyBorder="1"/>
    <xf numFmtId="38" fontId="0" fillId="5" borderId="4" xfId="0" applyFill="1" applyBorder="1"/>
    <xf numFmtId="43" fontId="0" fillId="0" borderId="13" xfId="2" applyFont="1" applyBorder="1"/>
    <xf numFmtId="38" fontId="0" fillId="5" borderId="0" xfId="0" applyNumberFormat="1" applyFill="1" applyAlignment="1">
      <alignment horizontal="center"/>
    </xf>
    <xf numFmtId="38" fontId="3" fillId="0" borderId="14" xfId="0" applyFont="1" applyBorder="1" applyAlignment="1">
      <alignment horizontal="center"/>
    </xf>
    <xf numFmtId="174" fontId="0" fillId="0" borderId="0" xfId="0" applyNumberFormat="1" applyFill="1"/>
    <xf numFmtId="38" fontId="0" fillId="4" borderId="0" xfId="0" applyNumberFormat="1" applyFill="1" applyAlignment="1">
      <alignment horizontal="center"/>
    </xf>
    <xf numFmtId="38" fontId="0" fillId="0" borderId="0" xfId="0"/>
    <xf numFmtId="9" fontId="0" fillId="0" borderId="0" xfId="2" applyNumberFormat="1" applyFont="1" applyFill="1" applyBorder="1"/>
    <xf numFmtId="10" fontId="10" fillId="0" borderId="0" xfId="0" applyNumberFormat="1" applyFont="1" applyAlignment="1">
      <alignment horizontal="center" vertical="center"/>
    </xf>
    <xf numFmtId="9" fontId="0" fillId="0" borderId="0" xfId="1" applyFont="1"/>
    <xf numFmtId="38" fontId="10" fillId="0" borderId="30" xfId="0" applyFont="1" applyBorder="1" applyAlignment="1">
      <alignment horizontal="left" vertical="center" wrapText="1"/>
    </xf>
    <xf numFmtId="170" fontId="10" fillId="0" borderId="2" xfId="0" applyNumberFormat="1" applyFont="1" applyBorder="1" applyAlignment="1">
      <alignment horizontal="center" vertical="center"/>
    </xf>
    <xf numFmtId="170" fontId="10" fillId="0" borderId="7" xfId="0" applyNumberFormat="1" applyFont="1" applyBorder="1" applyAlignment="1">
      <alignment horizontal="center" vertical="center"/>
    </xf>
    <xf numFmtId="10" fontId="0" fillId="0" borderId="0" xfId="0" applyNumberFormat="1" applyFill="1"/>
    <xf numFmtId="44" fontId="10" fillId="5" borderId="11" xfId="0" applyNumberFormat="1" applyFont="1" applyFill="1" applyBorder="1" applyAlignment="1">
      <alignment horizontal="center"/>
    </xf>
    <xf numFmtId="44" fontId="10" fillId="5" borderId="13" xfId="0" applyNumberFormat="1" applyFont="1" applyFill="1" applyBorder="1" applyAlignment="1">
      <alignment horizontal="center"/>
    </xf>
    <xf numFmtId="0" fontId="1" fillId="0" borderId="0" xfId="6"/>
    <xf numFmtId="0" fontId="1" fillId="0" borderId="4" xfId="6" applyBorder="1" applyAlignment="1">
      <alignment horizontal="center"/>
    </xf>
    <xf numFmtId="0" fontId="17" fillId="0" borderId="22" xfId="6" applyFont="1" applyBorder="1"/>
    <xf numFmtId="0" fontId="1" fillId="0" borderId="51" xfId="6" applyBorder="1"/>
    <xf numFmtId="0" fontId="1" fillId="0" borderId="23" xfId="6" applyBorder="1"/>
    <xf numFmtId="0" fontId="1" fillId="0" borderId="56" xfId="6" applyBorder="1"/>
    <xf numFmtId="0" fontId="1" fillId="0" borderId="36" xfId="6" applyBorder="1" applyAlignment="1">
      <alignment horizontal="center"/>
    </xf>
    <xf numFmtId="0" fontId="1" fillId="0" borderId="24" xfId="6" applyBorder="1"/>
    <xf numFmtId="0" fontId="1" fillId="0" borderId="0" xfId="6" applyBorder="1" applyAlignment="1">
      <alignment horizontal="center"/>
    </xf>
    <xf numFmtId="44" fontId="1" fillId="2" borderId="0" xfId="6" applyNumberFormat="1" applyFill="1" applyBorder="1" applyAlignment="1">
      <alignment horizontal="center"/>
    </xf>
    <xf numFmtId="0" fontId="1" fillId="0" borderId="25" xfId="6" applyBorder="1" applyAlignment="1">
      <alignment horizontal="center"/>
    </xf>
    <xf numFmtId="44" fontId="1" fillId="0" borderId="0" xfId="6" applyNumberFormat="1" applyFill="1" applyBorder="1" applyAlignment="1">
      <alignment horizontal="center"/>
    </xf>
    <xf numFmtId="0" fontId="1" fillId="0" borderId="0" xfId="6" applyBorder="1"/>
    <xf numFmtId="0" fontId="1" fillId="0" borderId="25" xfId="6" applyBorder="1"/>
    <xf numFmtId="0" fontId="1" fillId="2" borderId="26" xfId="6" applyFill="1" applyBorder="1"/>
    <xf numFmtId="0" fontId="1" fillId="0" borderId="1" xfId="6" quotePrefix="1" applyBorder="1"/>
    <xf numFmtId="0" fontId="1" fillId="0" borderId="1" xfId="6" applyBorder="1"/>
    <xf numFmtId="0" fontId="1" fillId="0" borderId="27" xfId="6" applyBorder="1"/>
    <xf numFmtId="44" fontId="1" fillId="0" borderId="0" xfId="6" applyNumberFormat="1" applyBorder="1" applyAlignment="1">
      <alignment horizontal="center"/>
    </xf>
    <xf numFmtId="0" fontId="17" fillId="0" borderId="0" xfId="6" applyFont="1" applyBorder="1"/>
    <xf numFmtId="0" fontId="1" fillId="0" borderId="0" xfId="6" applyFill="1" applyBorder="1"/>
    <xf numFmtId="0" fontId="1" fillId="0" borderId="0" xfId="6" applyFill="1" applyBorder="1" applyAlignment="1">
      <alignment horizontal="center"/>
    </xf>
    <xf numFmtId="0" fontId="1" fillId="0" borderId="0" xfId="6" quotePrefix="1" applyFill="1" applyBorder="1"/>
    <xf numFmtId="44" fontId="19" fillId="0" borderId="4" xfId="8" applyFont="1" applyBorder="1" applyAlignment="1">
      <alignment wrapText="1"/>
    </xf>
    <xf numFmtId="0" fontId="19" fillId="0" borderId="4" xfId="0" applyNumberFormat="1" applyFont="1" applyBorder="1" applyAlignment="1">
      <alignment wrapText="1"/>
    </xf>
    <xf numFmtId="0" fontId="19" fillId="0" borderId="0" xfId="0" applyNumberFormat="1" applyFont="1" applyBorder="1" applyAlignment="1">
      <alignment wrapText="1"/>
    </xf>
    <xf numFmtId="0" fontId="20" fillId="0" borderId="0" xfId="0" applyNumberFormat="1" applyFont="1" applyBorder="1" applyAlignment="1">
      <alignment wrapText="1"/>
    </xf>
    <xf numFmtId="44" fontId="19" fillId="0" borderId="0" xfId="8" applyFont="1" applyBorder="1" applyAlignment="1">
      <alignment wrapText="1"/>
    </xf>
    <xf numFmtId="44" fontId="19" fillId="0" borderId="0" xfId="0" applyNumberFormat="1" applyFont="1" applyBorder="1" applyAlignment="1">
      <alignment wrapText="1"/>
    </xf>
    <xf numFmtId="44" fontId="19" fillId="0" borderId="3" xfId="0" applyNumberFormat="1" applyFont="1" applyBorder="1" applyAlignment="1">
      <alignment wrapText="1"/>
    </xf>
    <xf numFmtId="0" fontId="19" fillId="0" borderId="4" xfId="8" applyNumberFormat="1" applyFont="1" applyBorder="1" applyAlignment="1">
      <alignment wrapText="1"/>
    </xf>
    <xf numFmtId="44" fontId="19" fillId="0" borderId="4" xfId="0" applyNumberFormat="1" applyFont="1" applyBorder="1" applyAlignment="1">
      <alignment wrapText="1"/>
    </xf>
    <xf numFmtId="0" fontId="19" fillId="0" borderId="0" xfId="0" applyNumberFormat="1" applyFont="1" applyBorder="1" applyAlignment="1">
      <alignment horizontal="center" vertical="center" wrapText="1"/>
    </xf>
    <xf numFmtId="0" fontId="19" fillId="0" borderId="5" xfId="0" applyNumberFormat="1" applyFont="1" applyBorder="1" applyAlignment="1">
      <alignment horizontal="center" vertical="center" wrapText="1"/>
    </xf>
    <xf numFmtId="44" fontId="19" fillId="0" borderId="5" xfId="8" applyFont="1" applyBorder="1" applyAlignment="1">
      <alignment horizontal="center" vertical="center" wrapText="1"/>
    </xf>
    <xf numFmtId="0" fontId="19" fillId="0" borderId="5" xfId="8" applyNumberFormat="1" applyFont="1" applyBorder="1" applyAlignment="1">
      <alignment horizontal="center" vertical="center" wrapText="1"/>
    </xf>
    <xf numFmtId="44" fontId="19" fillId="0" borderId="5" xfId="0" applyNumberFormat="1" applyFont="1" applyBorder="1" applyAlignment="1">
      <alignment horizontal="center" vertical="center" wrapText="1"/>
    </xf>
    <xf numFmtId="44" fontId="19" fillId="0" borderId="0" xfId="8" applyFont="1" applyBorder="1" applyAlignment="1">
      <alignment horizontal="center" vertical="center" wrapText="1"/>
    </xf>
    <xf numFmtId="0" fontId="19" fillId="0" borderId="0" xfId="8" applyNumberFormat="1" applyFont="1" applyBorder="1" applyAlignment="1">
      <alignment horizontal="center" vertical="center" wrapText="1"/>
    </xf>
    <xf numFmtId="44" fontId="19" fillId="0" borderId="0" xfId="0" applyNumberFormat="1" applyFont="1" applyBorder="1" applyAlignment="1">
      <alignment horizontal="center" vertical="center" wrapText="1"/>
    </xf>
    <xf numFmtId="0" fontId="19" fillId="0" borderId="0" xfId="8" applyNumberFormat="1" applyFont="1" applyBorder="1" applyAlignment="1">
      <alignment wrapText="1"/>
    </xf>
    <xf numFmtId="0" fontId="22" fillId="0" borderId="0" xfId="24" applyFont="1" applyAlignment="1">
      <alignment vertical="center"/>
    </xf>
    <xf numFmtId="0" fontId="23" fillId="0" borderId="22" xfId="24" applyFont="1" applyBorder="1" applyAlignment="1">
      <alignment horizontal="center" vertical="center"/>
    </xf>
    <xf numFmtId="0" fontId="23" fillId="0" borderId="23" xfId="24" applyFont="1" applyBorder="1" applyAlignment="1">
      <alignment horizontal="center" vertical="center"/>
    </xf>
    <xf numFmtId="0" fontId="21" fillId="0" borderId="22" xfId="24" applyBorder="1" applyAlignment="1">
      <alignment horizontal="center" vertical="center" wrapText="1"/>
    </xf>
    <xf numFmtId="0" fontId="21" fillId="0" borderId="51" xfId="24" applyBorder="1" applyAlignment="1">
      <alignment horizontal="center" vertical="center"/>
    </xf>
    <xf numFmtId="44" fontId="23" fillId="0" borderId="0" xfId="24" applyNumberFormat="1" applyFont="1" applyBorder="1" applyAlignment="1">
      <alignment vertical="center"/>
    </xf>
    <xf numFmtId="0" fontId="21" fillId="0" borderId="51" xfId="24" applyBorder="1" applyAlignment="1">
      <alignment horizontal="center" vertical="center" wrapText="1"/>
    </xf>
    <xf numFmtId="44" fontId="23" fillId="0" borderId="23" xfId="24" applyNumberFormat="1" applyFont="1" applyBorder="1" applyAlignment="1">
      <alignment vertical="center"/>
    </xf>
    <xf numFmtId="0" fontId="23" fillId="31" borderId="57" xfId="24" applyFont="1" applyFill="1" applyBorder="1" applyAlignment="1">
      <alignment horizontal="center" vertical="center" wrapText="1"/>
    </xf>
    <xf numFmtId="0" fontId="21" fillId="0" borderId="20" xfId="24" applyBorder="1" applyAlignment="1">
      <alignment horizontal="center" vertical="center" wrapText="1"/>
    </xf>
    <xf numFmtId="0" fontId="21" fillId="0" borderId="49" xfId="24" applyBorder="1" applyAlignment="1">
      <alignment horizontal="center" vertical="center" wrapText="1"/>
    </xf>
    <xf numFmtId="0" fontId="21" fillId="0" borderId="21" xfId="24" applyBorder="1" applyAlignment="1">
      <alignment horizontal="center" vertical="center" wrapText="1"/>
    </xf>
    <xf numFmtId="0" fontId="21" fillId="0" borderId="0" xfId="24" applyAlignment="1">
      <alignment vertical="center"/>
    </xf>
    <xf numFmtId="3" fontId="23" fillId="0" borderId="0" xfId="24" applyNumberFormat="1" applyFont="1" applyAlignment="1">
      <alignment horizontal="left" vertical="center"/>
    </xf>
    <xf numFmtId="0" fontId="24" fillId="0" borderId="0" xfId="24" applyFont="1" applyAlignment="1">
      <alignment vertical="center"/>
    </xf>
    <xf numFmtId="0" fontId="21" fillId="0" borderId="26" xfId="24" applyBorder="1" applyAlignment="1">
      <alignment horizontal="center" vertical="center"/>
    </xf>
    <xf numFmtId="0" fontId="21" fillId="0" borderId="27" xfId="24" applyBorder="1" applyAlignment="1">
      <alignment horizontal="center" vertical="center"/>
    </xf>
    <xf numFmtId="0" fontId="21" fillId="0" borderId="26" xfId="24" applyBorder="1" applyAlignment="1">
      <alignment horizontal="center" vertical="center" wrapText="1"/>
    </xf>
    <xf numFmtId="0" fontId="21" fillId="0" borderId="1" xfId="24" applyBorder="1" applyAlignment="1">
      <alignment horizontal="center" vertical="center"/>
    </xf>
    <xf numFmtId="44" fontId="23" fillId="0" borderId="1" xfId="24" applyNumberFormat="1" applyFont="1" applyBorder="1" applyAlignment="1">
      <alignment vertical="center"/>
    </xf>
    <xf numFmtId="0" fontId="21" fillId="0" borderId="20" xfId="24" applyBorder="1" applyAlignment="1">
      <alignment horizontal="center" vertical="center"/>
    </xf>
    <xf numFmtId="0" fontId="21" fillId="0" borderId="21" xfId="24" applyBorder="1" applyAlignment="1">
      <alignment horizontal="center" vertical="center"/>
    </xf>
    <xf numFmtId="44" fontId="23" fillId="0" borderId="59" xfId="24" applyNumberFormat="1" applyFont="1" applyBorder="1" applyAlignment="1">
      <alignment vertical="center"/>
    </xf>
    <xf numFmtId="0" fontId="23" fillId="31" borderId="26" xfId="24" applyFont="1" applyFill="1" applyBorder="1" applyAlignment="1">
      <alignment horizontal="center" vertical="center"/>
    </xf>
    <xf numFmtId="44" fontId="21" fillId="0" borderId="26" xfId="24" applyNumberFormat="1" applyBorder="1" applyAlignment="1">
      <alignment vertical="center"/>
    </xf>
    <xf numFmtId="44" fontId="21" fillId="0" borderId="1" xfId="24" applyNumberFormat="1" applyBorder="1" applyAlignment="1">
      <alignment vertical="center"/>
    </xf>
    <xf numFmtId="44" fontId="21" fillId="0" borderId="27" xfId="24" applyNumberFormat="1" applyBorder="1" applyAlignment="1">
      <alignment vertical="center"/>
    </xf>
    <xf numFmtId="0" fontId="25" fillId="0" borderId="4" xfId="24" applyFont="1" applyFill="1" applyBorder="1"/>
    <xf numFmtId="17" fontId="25" fillId="0" borderId="4" xfId="24" applyNumberFormat="1" applyFont="1" applyBorder="1" applyAlignment="1">
      <alignment horizontal="left"/>
    </xf>
    <xf numFmtId="17" fontId="25" fillId="0" borderId="13" xfId="24" applyNumberFormat="1" applyFont="1" applyBorder="1" applyAlignment="1">
      <alignment horizontal="left"/>
    </xf>
    <xf numFmtId="0" fontId="25" fillId="0" borderId="4" xfId="24" applyFont="1" applyBorder="1" applyAlignment="1">
      <alignment horizontal="left"/>
    </xf>
    <xf numFmtId="3" fontId="25" fillId="0" borderId="4" xfId="24" applyNumberFormat="1" applyFont="1" applyBorder="1" applyAlignment="1">
      <alignment horizontal="left"/>
    </xf>
    <xf numFmtId="0" fontId="21" fillId="0" borderId="0" xfId="24"/>
    <xf numFmtId="0" fontId="23" fillId="0" borderId="0" xfId="24" applyFont="1"/>
    <xf numFmtId="44" fontId="23" fillId="0" borderId="0" xfId="24" applyNumberFormat="1" applyFont="1" applyAlignment="1">
      <alignment horizontal="left"/>
    </xf>
    <xf numFmtId="44" fontId="23" fillId="0" borderId="11" xfId="24" applyNumberFormat="1" applyFont="1" applyBorder="1" applyAlignment="1">
      <alignment horizontal="left"/>
    </xf>
    <xf numFmtId="0" fontId="25" fillId="0" borderId="0" xfId="24" applyFont="1"/>
    <xf numFmtId="44" fontId="23" fillId="0" borderId="0" xfId="24" applyNumberFormat="1" applyFont="1" applyBorder="1" applyAlignment="1">
      <alignment horizontal="left"/>
    </xf>
    <xf numFmtId="44" fontId="26" fillId="0" borderId="0" xfId="24" applyNumberFormat="1" applyFont="1" applyAlignment="1">
      <alignment horizontal="left"/>
    </xf>
    <xf numFmtId="44" fontId="23" fillId="0" borderId="10" xfId="24" applyNumberFormat="1" applyFont="1" applyBorder="1" applyAlignment="1">
      <alignment horizontal="left"/>
    </xf>
    <xf numFmtId="44" fontId="25" fillId="0" borderId="0" xfId="24" applyNumberFormat="1" applyFont="1" applyAlignment="1">
      <alignment horizontal="left"/>
    </xf>
    <xf numFmtId="44" fontId="25" fillId="0" borderId="11" xfId="24" applyNumberFormat="1" applyFont="1" applyBorder="1" applyAlignment="1">
      <alignment horizontal="left"/>
    </xf>
    <xf numFmtId="0" fontId="27" fillId="0" borderId="0" xfId="24" applyFont="1"/>
    <xf numFmtId="44" fontId="23" fillId="0" borderId="0" xfId="24" applyNumberFormat="1" applyFont="1"/>
    <xf numFmtId="44" fontId="23" fillId="0" borderId="11" xfId="24" applyNumberFormat="1" applyFont="1" applyBorder="1"/>
    <xf numFmtId="44" fontId="28" fillId="0" borderId="0" xfId="24" applyNumberFormat="1" applyFont="1" applyAlignment="1">
      <alignment horizontal="left"/>
    </xf>
    <xf numFmtId="0" fontId="29" fillId="0" borderId="0" xfId="24" applyFont="1"/>
    <xf numFmtId="44" fontId="29" fillId="0" borderId="0" xfId="24" applyNumberFormat="1" applyFont="1"/>
    <xf numFmtId="44" fontId="29" fillId="0" borderId="11" xfId="24" applyNumberFormat="1" applyFont="1" applyBorder="1"/>
    <xf numFmtId="0" fontId="30" fillId="0" borderId="0" xfId="24" applyFont="1"/>
    <xf numFmtId="44" fontId="29" fillId="0" borderId="10" xfId="24" applyNumberFormat="1" applyFont="1" applyBorder="1"/>
    <xf numFmtId="0" fontId="23" fillId="0" borderId="11" xfId="24" applyFont="1" applyBorder="1"/>
    <xf numFmtId="0" fontId="23" fillId="0" borderId="0" xfId="24" applyFont="1" applyAlignment="1">
      <alignment horizontal="left"/>
    </xf>
    <xf numFmtId="3" fontId="23" fillId="0" borderId="0" xfId="24" applyNumberFormat="1" applyFont="1" applyAlignment="1">
      <alignment horizontal="left"/>
    </xf>
    <xf numFmtId="44" fontId="23" fillId="31" borderId="58" xfId="24" applyNumberFormat="1" applyFont="1" applyFill="1" applyBorder="1" applyAlignment="1">
      <alignment horizontal="center" vertical="center"/>
    </xf>
    <xf numFmtId="44" fontId="23" fillId="31" borderId="51" xfId="24" applyNumberFormat="1" applyFont="1" applyFill="1" applyBorder="1" applyAlignment="1">
      <alignment horizontal="center" vertical="center"/>
    </xf>
    <xf numFmtId="44" fontId="23" fillId="31" borderId="27" xfId="24" applyNumberFormat="1" applyFont="1" applyFill="1" applyBorder="1" applyAlignment="1">
      <alignment horizontal="center" vertical="center"/>
    </xf>
    <xf numFmtId="44" fontId="23" fillId="31" borderId="1" xfId="24" applyNumberFormat="1" applyFont="1" applyFill="1" applyBorder="1" applyAlignment="1">
      <alignment horizontal="center" vertical="center"/>
    </xf>
    <xf numFmtId="38" fontId="0" fillId="32" borderId="0" xfId="3" applyFont="1" applyFill="1"/>
    <xf numFmtId="38" fontId="0" fillId="33" borderId="0" xfId="3" applyFont="1" applyFill="1"/>
    <xf numFmtId="17" fontId="0" fillId="0" borderId="0" xfId="0" applyNumberFormat="1" applyAlignment="1">
      <alignment horizontal="center"/>
    </xf>
    <xf numFmtId="38" fontId="0" fillId="0" borderId="0" xfId="0" applyAlignment="1">
      <alignment horizontal="center"/>
    </xf>
    <xf numFmtId="38" fontId="3" fillId="0" borderId="17" xfId="0" applyFont="1" applyFill="1" applyBorder="1" applyAlignment="1">
      <alignment horizontal="center"/>
    </xf>
    <xf numFmtId="38" fontId="3" fillId="0" borderId="0" xfId="0" applyFont="1" applyFill="1" applyBorder="1" applyAlignment="1">
      <alignment horizontal="center"/>
    </xf>
    <xf numFmtId="38" fontId="3" fillId="0" borderId="14" xfId="0" applyFont="1" applyFill="1" applyBorder="1" applyAlignment="1">
      <alignment horizontal="center"/>
    </xf>
    <xf numFmtId="38" fontId="13" fillId="0" borderId="19" xfId="0" applyFont="1" applyBorder="1" applyAlignment="1">
      <alignment horizontal="left" vertical="center" wrapText="1"/>
    </xf>
    <xf numFmtId="38" fontId="10" fillId="0" borderId="12" xfId="0" applyFont="1" applyBorder="1" applyAlignment="1">
      <alignment horizontal="center" vertical="center"/>
    </xf>
    <xf numFmtId="44" fontId="10" fillId="5" borderId="3" xfId="0" applyNumberFormat="1" applyFont="1" applyFill="1" applyBorder="1" applyAlignment="1">
      <alignment horizontal="center"/>
    </xf>
    <xf numFmtId="44" fontId="10" fillId="5" borderId="0" xfId="0" applyNumberFormat="1" applyFont="1" applyFill="1" applyBorder="1" applyAlignment="1">
      <alignment horizontal="center"/>
    </xf>
    <xf numFmtId="38" fontId="13" fillId="0" borderId="10" xfId="0" applyFont="1" applyBorder="1" applyAlignment="1">
      <alignment horizontal="left" vertical="center" wrapText="1"/>
    </xf>
    <xf numFmtId="44" fontId="10" fillId="0" borderId="16" xfId="4" applyFont="1" applyBorder="1" applyAlignment="1">
      <alignment horizontal="center" vertical="center" wrapText="1"/>
    </xf>
    <xf numFmtId="44" fontId="10" fillId="0" borderId="3" xfId="4" applyFont="1" applyBorder="1" applyAlignment="1">
      <alignment horizontal="center" vertical="center" wrapText="1"/>
    </xf>
    <xf numFmtId="44" fontId="10" fillId="0" borderId="28" xfId="4" applyFont="1" applyBorder="1" applyAlignment="1">
      <alignment horizontal="center" vertical="center" wrapText="1"/>
    </xf>
    <xf numFmtId="0" fontId="10" fillId="0" borderId="0" xfId="0" applyNumberFormat="1" applyFont="1" applyAlignment="1">
      <alignment horizontal="center" vertical="center"/>
    </xf>
    <xf numFmtId="10" fontId="10" fillId="0" borderId="4" xfId="0" applyNumberFormat="1" applyFont="1" applyBorder="1" applyAlignment="1">
      <alignment horizontal="center"/>
    </xf>
    <xf numFmtId="10" fontId="10" fillId="0" borderId="13" xfId="0" applyNumberFormat="1" applyFont="1" applyBorder="1" applyAlignment="1">
      <alignment horizontal="center"/>
    </xf>
    <xf numFmtId="44" fontId="10" fillId="5" borderId="4" xfId="4" applyFont="1" applyFill="1" applyBorder="1" applyAlignment="1">
      <alignment horizontal="center"/>
    </xf>
    <xf numFmtId="10" fontId="10" fillId="0" borderId="0" xfId="0" applyNumberFormat="1" applyFont="1" applyBorder="1" applyAlignment="1">
      <alignment horizontal="center"/>
    </xf>
    <xf numFmtId="1" fontId="10" fillId="0" borderId="19" xfId="0" applyNumberFormat="1" applyFont="1" applyBorder="1" applyAlignment="1">
      <alignment horizontal="center" vertical="center"/>
    </xf>
    <xf numFmtId="38" fontId="12" fillId="0" borderId="30" xfId="0" applyFont="1" applyBorder="1" applyAlignment="1">
      <alignment horizontal="center" vertical="center" wrapText="1"/>
    </xf>
    <xf numFmtId="10" fontId="10" fillId="5" borderId="0" xfId="1" applyNumberFormat="1" applyFont="1" applyFill="1" applyBorder="1" applyAlignment="1">
      <alignment horizontal="right"/>
    </xf>
    <xf numFmtId="38" fontId="10" fillId="0" borderId="0" xfId="0" applyFont="1" applyBorder="1"/>
    <xf numFmtId="38" fontId="10" fillId="0" borderId="11" xfId="0" applyFont="1" applyBorder="1" applyAlignment="1">
      <alignment horizontal="center" vertical="center"/>
    </xf>
    <xf numFmtId="10" fontId="10" fillId="5" borderId="0" xfId="0" applyNumberFormat="1" applyFont="1" applyFill="1" applyBorder="1" applyAlignment="1">
      <alignment horizontal="right"/>
    </xf>
    <xf numFmtId="10" fontId="10" fillId="5" borderId="4" xfId="1" applyNumberFormat="1" applyFont="1" applyFill="1" applyBorder="1" applyAlignment="1">
      <alignment horizontal="right"/>
    </xf>
    <xf numFmtId="38" fontId="12" fillId="0" borderId="18" xfId="0" applyFont="1" applyBorder="1" applyAlignment="1">
      <alignment horizontal="center" vertical="center"/>
    </xf>
    <xf numFmtId="38" fontId="10" fillId="0" borderId="0" xfId="0" applyFont="1" applyBorder="1"/>
    <xf numFmtId="38" fontId="32" fillId="0" borderId="0" xfId="0" applyFont="1" applyAlignment="1">
      <alignment horizontal="center" vertical="center"/>
    </xf>
    <xf numFmtId="38" fontId="13" fillId="0" borderId="20" xfId="0" applyFont="1" applyBorder="1" applyAlignment="1">
      <alignment horizontal="center" vertical="center"/>
    </xf>
    <xf numFmtId="38" fontId="13" fillId="0" borderId="49" xfId="0" applyFont="1" applyBorder="1" applyAlignment="1">
      <alignment horizontal="center" vertical="center"/>
    </xf>
    <xf numFmtId="38" fontId="13" fillId="0" borderId="21" xfId="0" applyFont="1" applyBorder="1" applyAlignment="1">
      <alignment horizontal="center" vertical="center"/>
    </xf>
    <xf numFmtId="0" fontId="13" fillId="0" borderId="60" xfId="0" applyNumberFormat="1" applyFont="1" applyBorder="1" applyAlignment="1">
      <alignment horizontal="center" vertical="center"/>
    </xf>
    <xf numFmtId="44" fontId="10" fillId="0" borderId="22" xfId="0" applyNumberFormat="1" applyFont="1" applyBorder="1" applyAlignment="1">
      <alignment horizontal="center" vertical="center"/>
    </xf>
    <xf numFmtId="44" fontId="10" fillId="0" borderId="51" xfId="4" applyNumberFormat="1" applyFont="1" applyBorder="1" applyAlignment="1">
      <alignment horizontal="center" vertical="center"/>
    </xf>
    <xf numFmtId="44" fontId="10" fillId="0" borderId="23" xfId="0" applyNumberFormat="1" applyFont="1" applyBorder="1" applyAlignment="1">
      <alignment horizontal="center" vertical="center"/>
    </xf>
    <xf numFmtId="44" fontId="10" fillId="0" borderId="24" xfId="0" applyNumberFormat="1" applyFont="1" applyBorder="1" applyAlignment="1">
      <alignment horizontal="center" vertical="center"/>
    </xf>
    <xf numFmtId="44" fontId="10" fillId="0" borderId="0" xfId="4" applyNumberFormat="1" applyFont="1" applyBorder="1" applyAlignment="1">
      <alignment horizontal="center" vertical="center"/>
    </xf>
    <xf numFmtId="44" fontId="10" fillId="0" borderId="25" xfId="0" applyNumberFormat="1" applyFont="1" applyBorder="1" applyAlignment="1">
      <alignment horizontal="center" vertical="center"/>
    </xf>
    <xf numFmtId="0" fontId="13" fillId="0" borderId="46" xfId="0" applyNumberFormat="1" applyFont="1" applyBorder="1" applyAlignment="1">
      <alignment horizontal="center" vertical="center"/>
    </xf>
    <xf numFmtId="44" fontId="10" fillId="0" borderId="26" xfId="0" applyNumberFormat="1" applyFont="1" applyBorder="1" applyAlignment="1">
      <alignment horizontal="center" vertical="center"/>
    </xf>
    <xf numFmtId="44" fontId="10" fillId="0" borderId="1" xfId="4" applyNumberFormat="1" applyFont="1" applyBorder="1" applyAlignment="1">
      <alignment horizontal="center" vertical="center"/>
    </xf>
    <xf numFmtId="44" fontId="10" fillId="0" borderId="27" xfId="0" applyNumberFormat="1" applyFont="1" applyBorder="1" applyAlignment="1">
      <alignment horizontal="center" vertical="center"/>
    </xf>
    <xf numFmtId="38" fontId="10" fillId="0" borderId="42" xfId="0" applyFont="1" applyBorder="1" applyAlignment="1">
      <alignment horizontal="center" vertical="center"/>
    </xf>
    <xf numFmtId="44" fontId="10" fillId="0" borderId="43" xfId="4" applyFont="1" applyBorder="1"/>
    <xf numFmtId="9" fontId="10" fillId="0" borderId="46" xfId="1" applyFont="1" applyBorder="1"/>
    <xf numFmtId="0" fontId="0" fillId="0" borderId="0" xfId="0" applyNumberFormat="1" applyFont="1" applyFill="1" applyAlignment="1">
      <alignment wrapText="1"/>
    </xf>
    <xf numFmtId="38" fontId="3" fillId="0" borderId="6" xfId="0" applyFont="1" applyBorder="1" applyAlignment="1">
      <alignment horizontal="center"/>
    </xf>
    <xf numFmtId="38" fontId="3" fillId="0" borderId="2" xfId="0" applyFont="1" applyBorder="1" applyAlignment="1">
      <alignment horizontal="center"/>
    </xf>
    <xf numFmtId="38" fontId="3" fillId="0" borderId="7" xfId="0" applyFont="1" applyBorder="1" applyAlignment="1">
      <alignment horizontal="center"/>
    </xf>
    <xf numFmtId="38" fontId="3" fillId="2" borderId="0" xfId="0" applyFont="1" applyFill="1" applyAlignment="1">
      <alignment horizontal="center"/>
    </xf>
    <xf numFmtId="38" fontId="3" fillId="3" borderId="0" xfId="0" applyFont="1" applyFill="1" applyAlignment="1">
      <alignment horizontal="center"/>
    </xf>
    <xf numFmtId="38" fontId="3" fillId="4" borderId="0" xfId="0" applyFont="1" applyFill="1" applyAlignment="1">
      <alignment horizontal="center"/>
    </xf>
    <xf numFmtId="38" fontId="3" fillId="6" borderId="6" xfId="0" applyFont="1" applyFill="1" applyBorder="1" applyAlignment="1">
      <alignment horizontal="center"/>
    </xf>
    <xf numFmtId="38" fontId="3" fillId="6" borderId="2" xfId="0" applyFont="1" applyFill="1" applyBorder="1" applyAlignment="1">
      <alignment horizontal="center"/>
    </xf>
    <xf numFmtId="38" fontId="3" fillId="6" borderId="7" xfId="0" applyFont="1" applyFill="1" applyBorder="1" applyAlignment="1">
      <alignment horizontal="center"/>
    </xf>
    <xf numFmtId="38" fontId="3" fillId="4" borderId="0" xfId="0" applyFont="1" applyFill="1" applyBorder="1" applyAlignment="1">
      <alignment horizontal="center"/>
    </xf>
    <xf numFmtId="38" fontId="3" fillId="2" borderId="0" xfId="0" applyFont="1" applyFill="1" applyBorder="1" applyAlignment="1">
      <alignment horizontal="center"/>
    </xf>
    <xf numFmtId="38" fontId="3" fillId="3" borderId="0" xfId="0" applyFont="1" applyFill="1" applyBorder="1" applyAlignment="1">
      <alignment horizontal="center"/>
    </xf>
    <xf numFmtId="38" fontId="16" fillId="17" borderId="0" xfId="0" applyFont="1" applyFill="1" applyBorder="1" applyAlignment="1">
      <alignment horizontal="center"/>
    </xf>
    <xf numFmtId="38" fontId="3" fillId="15" borderId="0" xfId="0" applyFont="1" applyFill="1" applyBorder="1" applyAlignment="1">
      <alignment horizontal="center"/>
    </xf>
    <xf numFmtId="38" fontId="3" fillId="16" borderId="0" xfId="0" applyFont="1" applyFill="1" applyBorder="1" applyAlignment="1">
      <alignment horizontal="center"/>
    </xf>
    <xf numFmtId="38" fontId="0" fillId="0" borderId="6" xfId="3" applyFont="1" applyBorder="1" applyAlignment="1">
      <alignment horizontal="center"/>
    </xf>
    <xf numFmtId="38" fontId="4" fillId="0" borderId="7" xfId="3" applyBorder="1" applyAlignment="1">
      <alignment horizontal="center"/>
    </xf>
    <xf numFmtId="38" fontId="0" fillId="0" borderId="3" xfId="3" applyFont="1" applyBorder="1" applyAlignment="1">
      <alignment horizontal="center"/>
    </xf>
    <xf numFmtId="38" fontId="4" fillId="0" borderId="3" xfId="3" applyBorder="1" applyAlignment="1">
      <alignment horizontal="center"/>
    </xf>
    <xf numFmtId="38" fontId="10" fillId="0" borderId="4" xfId="0" applyFont="1" applyBorder="1"/>
    <xf numFmtId="38" fontId="10" fillId="0" borderId="13" xfId="0" applyFont="1" applyBorder="1"/>
    <xf numFmtId="44" fontId="10" fillId="0" borderId="10" xfId="0" applyNumberFormat="1" applyFont="1" applyBorder="1" applyAlignment="1">
      <alignment horizontal="left" vertical="center" wrapText="1"/>
    </xf>
    <xf numFmtId="44" fontId="10" fillId="0" borderId="0" xfId="0" applyNumberFormat="1" applyFont="1" applyBorder="1" applyAlignment="1">
      <alignment horizontal="left" vertical="center" wrapText="1"/>
    </xf>
    <xf numFmtId="44" fontId="10" fillId="0" borderId="11" xfId="0" applyNumberFormat="1" applyFont="1" applyBorder="1" applyAlignment="1">
      <alignment horizontal="left" vertical="center" wrapText="1"/>
    </xf>
    <xf numFmtId="44" fontId="10" fillId="0" borderId="12" xfId="0" applyNumberFormat="1" applyFont="1" applyBorder="1" applyAlignment="1">
      <alignment horizontal="left" vertical="center" wrapText="1"/>
    </xf>
    <xf numFmtId="44" fontId="10" fillId="0" borderId="4" xfId="0" applyNumberFormat="1" applyFont="1" applyBorder="1" applyAlignment="1">
      <alignment horizontal="left" vertical="center" wrapText="1"/>
    </xf>
    <xf numFmtId="44" fontId="10" fillId="0" borderId="13" xfId="0" applyNumberFormat="1" applyFont="1" applyBorder="1" applyAlignment="1">
      <alignment horizontal="left" vertical="center" wrapText="1"/>
    </xf>
    <xf numFmtId="38" fontId="10" fillId="0" borderId="11" xfId="0" applyFont="1" applyBorder="1" applyAlignment="1">
      <alignment horizontal="center" vertical="center"/>
    </xf>
    <xf numFmtId="38" fontId="10" fillId="0" borderId="13" xfId="0" applyFont="1" applyBorder="1" applyAlignment="1">
      <alignment horizontal="center" vertical="center"/>
    </xf>
    <xf numFmtId="38" fontId="13" fillId="0" borderId="17" xfId="0" applyFont="1" applyBorder="1" applyAlignment="1">
      <alignment horizontal="left" vertical="center" wrapText="1"/>
    </xf>
    <xf numFmtId="38" fontId="13" fillId="0" borderId="19" xfId="0" applyFont="1" applyBorder="1" applyAlignment="1">
      <alignment horizontal="left" vertical="center" wrapText="1"/>
    </xf>
    <xf numFmtId="38" fontId="10" fillId="0" borderId="3" xfId="0" applyFont="1" applyBorder="1" applyAlignment="1">
      <alignment horizontal="center" vertical="center" wrapText="1"/>
    </xf>
    <xf numFmtId="38" fontId="10" fillId="0" borderId="0" xfId="0" applyFont="1" applyBorder="1" applyAlignment="1">
      <alignment horizontal="center" vertical="center" wrapText="1"/>
    </xf>
    <xf numFmtId="0" fontId="10" fillId="0" borderId="51" xfId="0" applyNumberFormat="1" applyFont="1" applyBorder="1" applyAlignment="1">
      <alignment horizontal="left" vertical="top" wrapText="1"/>
    </xf>
    <xf numFmtId="0" fontId="10" fillId="0" borderId="23" xfId="0" applyNumberFormat="1" applyFont="1" applyBorder="1" applyAlignment="1">
      <alignment horizontal="left" vertical="top" wrapText="1"/>
    </xf>
    <xf numFmtId="0" fontId="10" fillId="0" borderId="0" xfId="0" applyNumberFormat="1" applyFont="1" applyBorder="1" applyAlignment="1">
      <alignment horizontal="left" vertical="top" wrapText="1"/>
    </xf>
    <xf numFmtId="0" fontId="10" fillId="0" borderId="25" xfId="0" applyNumberFormat="1" applyFont="1" applyBorder="1" applyAlignment="1">
      <alignment horizontal="left" vertical="top" wrapText="1"/>
    </xf>
    <xf numFmtId="0" fontId="10" fillId="0" borderId="1" xfId="0" applyNumberFormat="1" applyFont="1" applyBorder="1" applyAlignment="1">
      <alignment horizontal="left" vertical="top" wrapText="1"/>
    </xf>
    <xf numFmtId="0" fontId="10" fillId="0" borderId="27" xfId="0" applyNumberFormat="1" applyFont="1" applyBorder="1" applyAlignment="1">
      <alignment horizontal="left" vertical="top" wrapText="1"/>
    </xf>
    <xf numFmtId="38" fontId="10" fillId="0" borderId="28" xfId="0" applyFont="1" applyBorder="1" applyAlignment="1">
      <alignment horizontal="center" vertical="center" wrapText="1"/>
    </xf>
    <xf numFmtId="38" fontId="10" fillId="0" borderId="11" xfId="0" applyFont="1" applyBorder="1" applyAlignment="1">
      <alignment horizontal="center" vertical="center" wrapText="1"/>
    </xf>
    <xf numFmtId="38" fontId="10" fillId="0" borderId="12" xfId="0" applyFont="1" applyBorder="1" applyAlignment="1">
      <alignment horizontal="center" vertical="center"/>
    </xf>
    <xf numFmtId="38" fontId="10" fillId="0" borderId="16" xfId="0" applyFont="1" applyBorder="1" applyAlignment="1">
      <alignment horizontal="left" vertical="top" wrapText="1"/>
    </xf>
    <xf numFmtId="38" fontId="10" fillId="0" borderId="3" xfId="0" applyFont="1" applyBorder="1" applyAlignment="1">
      <alignment horizontal="left" vertical="top" wrapText="1"/>
    </xf>
    <xf numFmtId="38" fontId="10" fillId="0" borderId="28" xfId="0" applyFont="1" applyBorder="1" applyAlignment="1">
      <alignment horizontal="left" vertical="top" wrapText="1"/>
    </xf>
    <xf numFmtId="38" fontId="10" fillId="0" borderId="10" xfId="0" applyFont="1" applyBorder="1" applyAlignment="1">
      <alignment horizontal="left" vertical="top" wrapText="1"/>
    </xf>
    <xf numFmtId="38" fontId="10" fillId="0" borderId="0" xfId="0" applyFont="1" applyBorder="1" applyAlignment="1">
      <alignment horizontal="left" vertical="top" wrapText="1"/>
    </xf>
    <xf numFmtId="38" fontId="10" fillId="0" borderId="11" xfId="0" applyFont="1" applyBorder="1" applyAlignment="1">
      <alignment horizontal="left" vertical="top" wrapText="1"/>
    </xf>
    <xf numFmtId="38" fontId="10" fillId="0" borderId="12" xfId="0" applyFont="1" applyBorder="1" applyAlignment="1">
      <alignment horizontal="left" vertical="top" wrapText="1"/>
    </xf>
    <xf numFmtId="38" fontId="10" fillId="0" borderId="3" xfId="0" applyFont="1" applyBorder="1"/>
    <xf numFmtId="38" fontId="10" fillId="0" borderId="28" xfId="0" applyFont="1" applyBorder="1"/>
    <xf numFmtId="38" fontId="10" fillId="0" borderId="0" xfId="0" applyFont="1" applyBorder="1"/>
    <xf numFmtId="38" fontId="10" fillId="0" borderId="11" xfId="0" applyFont="1" applyBorder="1"/>
    <xf numFmtId="38" fontId="31" fillId="0" borderId="0" xfId="25" applyNumberFormat="1" applyBorder="1" applyAlignment="1" applyProtection="1"/>
    <xf numFmtId="38" fontId="10" fillId="0" borderId="7" xfId="0" applyFont="1" applyBorder="1" applyAlignment="1">
      <alignment wrapText="1"/>
    </xf>
    <xf numFmtId="0" fontId="18" fillId="31" borderId="6" xfId="6" applyFont="1" applyFill="1" applyBorder="1" applyAlignment="1">
      <alignment horizontal="center" vertical="center"/>
    </xf>
    <xf numFmtId="0" fontId="18" fillId="31" borderId="2" xfId="6" applyFont="1" applyFill="1" applyBorder="1" applyAlignment="1">
      <alignment horizontal="center" vertical="center"/>
    </xf>
    <xf numFmtId="0" fontId="18" fillId="31" borderId="7" xfId="6" applyFont="1" applyFill="1" applyBorder="1" applyAlignment="1">
      <alignment horizontal="center" vertical="center"/>
    </xf>
    <xf numFmtId="0" fontId="19" fillId="0" borderId="0" xfId="0" applyNumberFormat="1" applyFont="1" applyBorder="1" applyAlignment="1">
      <alignment wrapText="1"/>
    </xf>
    <xf numFmtId="44" fontId="14" fillId="7" borderId="20" xfId="4" applyFont="1" applyFill="1" applyBorder="1" applyAlignment="1">
      <alignment horizontal="center"/>
    </xf>
    <xf numFmtId="44" fontId="14" fillId="7" borderId="49" xfId="4" applyFont="1" applyFill="1" applyBorder="1" applyAlignment="1">
      <alignment horizontal="center"/>
    </xf>
    <xf numFmtId="44" fontId="14" fillId="7" borderId="21" xfId="4" applyFont="1" applyFill="1" applyBorder="1" applyAlignment="1">
      <alignment horizontal="center"/>
    </xf>
    <xf numFmtId="44" fontId="14" fillId="8" borderId="20" xfId="4" applyFont="1" applyFill="1" applyBorder="1" applyAlignment="1">
      <alignment horizontal="center"/>
    </xf>
    <xf numFmtId="44" fontId="14" fillId="8" borderId="49" xfId="4" applyFont="1" applyFill="1" applyBorder="1" applyAlignment="1">
      <alignment horizontal="center"/>
    </xf>
    <xf numFmtId="44" fontId="14" fillId="8" borderId="21" xfId="4" applyFont="1" applyFill="1" applyBorder="1" applyAlignment="1">
      <alignment horizontal="center"/>
    </xf>
    <xf numFmtId="44" fontId="14" fillId="8" borderId="23" xfId="4" applyFont="1" applyFill="1" applyBorder="1" applyAlignment="1">
      <alignment horizontal="center"/>
    </xf>
    <xf numFmtId="44" fontId="14" fillId="8" borderId="1" xfId="4" applyFont="1" applyFill="1" applyBorder="1" applyAlignment="1">
      <alignment horizontal="center"/>
    </xf>
    <xf numFmtId="44" fontId="14" fillId="8" borderId="27" xfId="4" applyFont="1" applyFill="1" applyBorder="1" applyAlignment="1">
      <alignment horizontal="center"/>
    </xf>
    <xf numFmtId="44" fontId="14" fillId="10" borderId="20" xfId="4" applyFont="1" applyFill="1" applyBorder="1" applyAlignment="1">
      <alignment horizontal="center"/>
    </xf>
    <xf numFmtId="44" fontId="14" fillId="10" borderId="49" xfId="4" applyFont="1" applyFill="1" applyBorder="1" applyAlignment="1">
      <alignment horizontal="center"/>
    </xf>
    <xf numFmtId="44" fontId="14" fillId="10" borderId="21" xfId="4" applyFont="1" applyFill="1" applyBorder="1" applyAlignment="1">
      <alignment horizontal="center"/>
    </xf>
    <xf numFmtId="44" fontId="14" fillId="10" borderId="22" xfId="4" applyFont="1" applyFill="1" applyBorder="1" applyAlignment="1">
      <alignment horizontal="center"/>
    </xf>
    <xf numFmtId="44" fontId="14" fillId="10" borderId="51" xfId="4" applyFont="1" applyFill="1" applyBorder="1" applyAlignment="1">
      <alignment horizontal="center"/>
    </xf>
    <xf numFmtId="44" fontId="14" fillId="10" borderId="23" xfId="4" applyFont="1" applyFill="1" applyBorder="1" applyAlignment="1">
      <alignment horizontal="center"/>
    </xf>
    <xf numFmtId="44" fontId="14" fillId="9" borderId="20" xfId="4" applyFont="1" applyFill="1" applyBorder="1" applyAlignment="1">
      <alignment horizontal="center"/>
    </xf>
    <xf numFmtId="44" fontId="14" fillId="9" borderId="49" xfId="4" applyFont="1" applyFill="1" applyBorder="1" applyAlignment="1">
      <alignment horizontal="center"/>
    </xf>
    <xf numFmtId="44" fontId="14" fillId="9" borderId="51" xfId="4" applyFont="1" applyFill="1" applyBorder="1" applyAlignment="1">
      <alignment horizontal="center"/>
    </xf>
    <xf numFmtId="44" fontId="14" fillId="9" borderId="23" xfId="4" applyFont="1" applyFill="1" applyBorder="1" applyAlignment="1">
      <alignment horizontal="center"/>
    </xf>
    <xf numFmtId="44" fontId="14" fillId="9" borderId="20" xfId="4" applyFont="1" applyFill="1" applyBorder="1" applyAlignment="1">
      <alignment horizontal="center" vertical="center"/>
    </xf>
    <xf numFmtId="44" fontId="14" fillId="9" borderId="49" xfId="4" applyFont="1" applyFill="1" applyBorder="1" applyAlignment="1">
      <alignment horizontal="center" vertical="center"/>
    </xf>
    <xf numFmtId="44" fontId="14" fillId="9" borderId="21" xfId="4" applyFont="1" applyFill="1" applyBorder="1" applyAlignment="1">
      <alignment horizontal="center" vertical="center"/>
    </xf>
    <xf numFmtId="44" fontId="14" fillId="11" borderId="20" xfId="4" applyFont="1" applyFill="1" applyBorder="1" applyAlignment="1">
      <alignment horizontal="center" vertical="center"/>
    </xf>
    <xf numFmtId="44" fontId="14" fillId="11" borderId="49" xfId="4" applyFont="1" applyFill="1" applyBorder="1" applyAlignment="1">
      <alignment horizontal="center" vertical="center"/>
    </xf>
    <xf numFmtId="44" fontId="14" fillId="11" borderId="1" xfId="4" applyFont="1" applyFill="1" applyBorder="1" applyAlignment="1">
      <alignment horizontal="center" vertical="center"/>
    </xf>
    <xf numFmtId="44" fontId="14" fillId="11" borderId="27" xfId="4" applyFont="1" applyFill="1" applyBorder="1" applyAlignment="1">
      <alignment horizontal="center" vertical="center"/>
    </xf>
    <xf numFmtId="44" fontId="14" fillId="11" borderId="26" xfId="4" applyFont="1" applyFill="1" applyBorder="1" applyAlignment="1">
      <alignment horizontal="center" vertical="center"/>
    </xf>
    <xf numFmtId="44" fontId="14" fillId="9" borderId="21" xfId="4" applyFont="1" applyFill="1" applyBorder="1" applyAlignment="1">
      <alignment horizontal="center"/>
    </xf>
    <xf numFmtId="0" fontId="14" fillId="11" borderId="16" xfId="0" applyNumberFormat="1" applyFont="1" applyFill="1" applyBorder="1" applyAlignment="1">
      <alignment horizontal="center" vertical="center" wrapText="1"/>
    </xf>
    <xf numFmtId="0" fontId="14" fillId="11" borderId="3" xfId="0" applyNumberFormat="1" applyFont="1" applyFill="1" applyBorder="1" applyAlignment="1">
      <alignment horizontal="center" vertical="center" wrapText="1"/>
    </xf>
    <xf numFmtId="0" fontId="14" fillId="11" borderId="28" xfId="0" applyNumberFormat="1" applyFont="1" applyFill="1" applyBorder="1" applyAlignment="1">
      <alignment horizontal="center" vertical="center" wrapText="1"/>
    </xf>
    <xf numFmtId="0" fontId="14" fillId="0" borderId="24" xfId="0" applyNumberFormat="1" applyFont="1" applyFill="1" applyBorder="1" applyAlignment="1">
      <alignment horizontal="left" vertical="center" wrapText="1"/>
    </xf>
    <xf numFmtId="0" fontId="14" fillId="0" borderId="0" xfId="0" applyNumberFormat="1" applyFont="1" applyFill="1" applyBorder="1" applyAlignment="1">
      <alignment horizontal="left" vertical="center" wrapText="1"/>
    </xf>
    <xf numFmtId="0" fontId="14" fillId="0" borderId="25" xfId="0" applyNumberFormat="1" applyFont="1" applyFill="1" applyBorder="1" applyAlignment="1">
      <alignment horizontal="left" vertical="center" wrapText="1"/>
    </xf>
    <xf numFmtId="0" fontId="14" fillId="0" borderId="26" xfId="0" applyNumberFormat="1" applyFont="1" applyFill="1" applyBorder="1" applyAlignment="1">
      <alignment horizontal="left" vertical="center" wrapText="1"/>
    </xf>
    <xf numFmtId="0" fontId="14" fillId="0" borderId="1" xfId="0" applyNumberFormat="1" applyFont="1" applyFill="1" applyBorder="1" applyAlignment="1">
      <alignment horizontal="left" vertical="center" wrapText="1"/>
    </xf>
    <xf numFmtId="0" fontId="14" fillId="0" borderId="27" xfId="0" applyNumberFormat="1" applyFont="1" applyFill="1" applyBorder="1" applyAlignment="1">
      <alignment horizontal="left" vertical="center" wrapText="1"/>
    </xf>
    <xf numFmtId="0" fontId="14" fillId="14" borderId="10" xfId="0" applyNumberFormat="1" applyFont="1" applyFill="1" applyBorder="1" applyAlignment="1">
      <alignment horizontal="left" vertical="center" wrapText="1"/>
    </xf>
    <xf numFmtId="0" fontId="14" fillId="14" borderId="0" xfId="0" applyNumberFormat="1" applyFont="1" applyFill="1" applyBorder="1" applyAlignment="1">
      <alignment horizontal="left" vertical="center" wrapText="1"/>
    </xf>
    <xf numFmtId="0" fontId="14" fillId="14" borderId="11" xfId="0" applyNumberFormat="1" applyFont="1" applyFill="1" applyBorder="1" applyAlignment="1">
      <alignment horizontal="left" vertical="center" wrapText="1"/>
    </xf>
    <xf numFmtId="0" fontId="14" fillId="14" borderId="12" xfId="0" applyNumberFormat="1" applyFont="1" applyFill="1" applyBorder="1" applyAlignment="1">
      <alignment horizontal="left" vertical="center" wrapText="1"/>
    </xf>
    <xf numFmtId="0" fontId="14" fillId="14" borderId="4" xfId="0" applyNumberFormat="1" applyFont="1" applyFill="1" applyBorder="1" applyAlignment="1">
      <alignment horizontal="left" vertical="center" wrapText="1"/>
    </xf>
    <xf numFmtId="0" fontId="14" fillId="14" borderId="13" xfId="0" applyNumberFormat="1" applyFont="1" applyFill="1" applyBorder="1" applyAlignment="1">
      <alignment horizontal="left" vertical="center" wrapText="1"/>
    </xf>
    <xf numFmtId="0" fontId="14" fillId="0" borderId="0" xfId="0" applyNumberFormat="1" applyFont="1" applyFill="1" applyBorder="1" applyAlignment="1">
      <alignment wrapText="1"/>
    </xf>
    <xf numFmtId="0" fontId="14" fillId="0" borderId="0" xfId="0" applyNumberFormat="1" applyFont="1" applyBorder="1" applyAlignment="1">
      <alignment wrapText="1"/>
    </xf>
    <xf numFmtId="44" fontId="14" fillId="12" borderId="20" xfId="4" applyFont="1" applyFill="1" applyBorder="1" applyAlignment="1">
      <alignment horizontal="center"/>
    </xf>
    <xf numFmtId="44" fontId="14" fillId="12" borderId="49" xfId="4" applyFont="1" applyFill="1" applyBorder="1" applyAlignment="1">
      <alignment horizontal="center"/>
    </xf>
    <xf numFmtId="44" fontId="14" fillId="12" borderId="21" xfId="4" applyFont="1" applyFill="1" applyBorder="1" applyAlignment="1">
      <alignment horizontal="center"/>
    </xf>
    <xf numFmtId="0" fontId="15" fillId="0" borderId="0" xfId="0" applyNumberFormat="1" applyFont="1" applyBorder="1" applyAlignment="1">
      <alignment horizontal="center" vertical="center" wrapText="1"/>
    </xf>
    <xf numFmtId="0" fontId="14" fillId="0" borderId="1" xfId="0" applyNumberFormat="1" applyFont="1" applyBorder="1" applyAlignment="1">
      <alignment horizontal="center" wrapText="1"/>
    </xf>
    <xf numFmtId="0" fontId="14" fillId="0" borderId="22" xfId="0" applyNumberFormat="1" applyFont="1" applyBorder="1" applyAlignment="1">
      <alignment wrapText="1"/>
    </xf>
    <xf numFmtId="0" fontId="14" fillId="0" borderId="51" xfId="0" applyNumberFormat="1" applyFont="1" applyBorder="1" applyAlignment="1">
      <alignment wrapText="1"/>
    </xf>
    <xf numFmtId="0" fontId="14" fillId="0" borderId="23" xfId="0" applyNumberFormat="1" applyFont="1" applyBorder="1" applyAlignment="1">
      <alignment wrapText="1"/>
    </xf>
    <xf numFmtId="0" fontId="14" fillId="0" borderId="0" xfId="0" applyNumberFormat="1" applyFont="1" applyFill="1" applyBorder="1" applyAlignment="1">
      <alignment vertical="center" wrapText="1"/>
    </xf>
    <xf numFmtId="0" fontId="15" fillId="0" borderId="6" xfId="0" applyNumberFormat="1" applyFont="1" applyBorder="1" applyAlignment="1">
      <alignment horizontal="center" vertical="center"/>
    </xf>
    <xf numFmtId="0" fontId="14" fillId="0" borderId="7" xfId="0" applyNumberFormat="1" applyFont="1" applyBorder="1" applyAlignment="1">
      <alignment horizontal="center" vertical="center"/>
    </xf>
    <xf numFmtId="0" fontId="14" fillId="0" borderId="3" xfId="0" applyNumberFormat="1" applyFont="1" applyBorder="1" applyAlignment="1">
      <alignment horizontal="center" vertical="center"/>
    </xf>
    <xf numFmtId="0" fontId="14" fillId="0" borderId="0" xfId="0" applyNumberFormat="1" applyFont="1" applyBorder="1" applyAlignment="1">
      <alignment horizontal="center" vertical="center"/>
    </xf>
    <xf numFmtId="0" fontId="14" fillId="0" borderId="16" xfId="0" applyNumberFormat="1" applyFont="1" applyBorder="1" applyAlignment="1">
      <alignment horizontal="center" wrapText="1"/>
    </xf>
    <xf numFmtId="0" fontId="14" fillId="0" borderId="10" xfId="0" applyNumberFormat="1" applyFont="1" applyBorder="1" applyAlignment="1">
      <alignment horizontal="center" wrapText="1"/>
    </xf>
    <xf numFmtId="0" fontId="14" fillId="0" borderId="17" xfId="0" applyNumberFormat="1" applyFont="1" applyBorder="1" applyAlignment="1">
      <alignment horizontal="center" wrapText="1"/>
    </xf>
    <xf numFmtId="0" fontId="14" fillId="0" borderId="18" xfId="0" applyNumberFormat="1" applyFont="1" applyBorder="1" applyAlignment="1">
      <alignment horizontal="center" wrapText="1"/>
    </xf>
    <xf numFmtId="0" fontId="14" fillId="0" borderId="41" xfId="0" applyNumberFormat="1" applyFont="1" applyBorder="1" applyAlignment="1">
      <alignment horizontal="center" wrapText="1"/>
    </xf>
    <xf numFmtId="0" fontId="14" fillId="0" borderId="0" xfId="0" applyNumberFormat="1" applyFont="1" applyBorder="1" applyAlignment="1">
      <alignment horizontal="left" wrapText="1"/>
    </xf>
    <xf numFmtId="0" fontId="14" fillId="0" borderId="0" xfId="0" applyNumberFormat="1" applyFont="1" applyBorder="1" applyAlignment="1"/>
    <xf numFmtId="0" fontId="14" fillId="0" borderId="0" xfId="0" applyNumberFormat="1" applyFont="1" applyBorder="1" applyAlignment="1">
      <alignment vertical="center" wrapText="1"/>
    </xf>
    <xf numFmtId="38" fontId="0" fillId="0" borderId="0" xfId="0" applyAlignment="1">
      <alignment vertical="center"/>
    </xf>
    <xf numFmtId="0" fontId="14" fillId="0" borderId="0" xfId="0" applyNumberFormat="1" applyFont="1" applyBorder="1" applyAlignment="1">
      <alignment horizontal="center" vertical="center" wrapText="1"/>
    </xf>
    <xf numFmtId="0" fontId="14" fillId="0" borderId="1" xfId="0" applyNumberFormat="1" applyFont="1" applyBorder="1" applyAlignment="1">
      <alignment horizontal="center" vertical="center"/>
    </xf>
    <xf numFmtId="38" fontId="0" fillId="0" borderId="0" xfId="0" applyAlignment="1">
      <alignment horizontal="center" vertical="center"/>
    </xf>
  </cellXfs>
  <cellStyles count="26">
    <cellStyle name="20% - Accent1 2" xfId="9"/>
    <cellStyle name="20% - Accent2 2" xfId="10"/>
    <cellStyle name="20% - Accent3 2" xfId="11"/>
    <cellStyle name="20% - Accent4 2" xfId="12"/>
    <cellStyle name="20% - Accent5 2" xfId="13"/>
    <cellStyle name="20% - Accent6 2" xfId="14"/>
    <cellStyle name="40% - Accent1 2" xfId="15"/>
    <cellStyle name="40% - Accent2 2" xfId="16"/>
    <cellStyle name="40% - Accent3 2" xfId="17"/>
    <cellStyle name="40% - Accent4 2" xfId="18"/>
    <cellStyle name="40% - Accent5 2" xfId="19"/>
    <cellStyle name="40% - Accent6 2" xfId="20"/>
    <cellStyle name="Comma" xfId="2" builtinId="3"/>
    <cellStyle name="Currency" xfId="4" builtinId="4"/>
    <cellStyle name="Currency 2" xfId="5"/>
    <cellStyle name="Currency 3" xfId="8"/>
    <cellStyle name="Hyperlink" xfId="25" builtinId="8"/>
    <cellStyle name="Normal" xfId="0" builtinId="0"/>
    <cellStyle name="Normal 2" xfId="3"/>
    <cellStyle name="Normal 2 2" xfId="21"/>
    <cellStyle name="Normal 2 3" xfId="24"/>
    <cellStyle name="Normal 3" xfId="6"/>
    <cellStyle name="Normal 4" xfId="7"/>
    <cellStyle name="Note 2" xfId="22"/>
    <cellStyle name="Note 2 2" xfId="23"/>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0"/>
          <c:tx>
            <c:strRef>
              <c:f>'P&amp;L Plots'!$D$9</c:f>
              <c:strCache>
                <c:ptCount val="1"/>
                <c:pt idx="0">
                  <c:v>Revenue</c:v>
                </c:pt>
              </c:strCache>
            </c:strRef>
          </c:tx>
          <c:invertIfNegative val="0"/>
          <c:cat>
            <c:strRef>
              <c:f>'P&amp;L Plots'!$A$10:$A$15</c:f>
              <c:strCache>
                <c:ptCount val="6"/>
                <c:pt idx="0">
                  <c:v>Y1</c:v>
                </c:pt>
                <c:pt idx="1">
                  <c:v>Y2</c:v>
                </c:pt>
                <c:pt idx="2">
                  <c:v>Y3</c:v>
                </c:pt>
                <c:pt idx="3">
                  <c:v>Y4</c:v>
                </c:pt>
                <c:pt idx="4">
                  <c:v>Y5</c:v>
                </c:pt>
                <c:pt idx="5">
                  <c:v>Y6</c:v>
                </c:pt>
              </c:strCache>
            </c:strRef>
          </c:cat>
          <c:val>
            <c:numRef>
              <c:f>'P&amp;L Plots'!$D$10:$D$15</c:f>
              <c:numCache>
                <c:formatCode>#,##0_);[Red]\(#,##0\)</c:formatCode>
                <c:ptCount val="6"/>
                <c:pt idx="0">
                  <c:v>0</c:v>
                </c:pt>
                <c:pt idx="1">
                  <c:v>1610100.0000000005</c:v>
                </c:pt>
                <c:pt idx="2">
                  <c:v>7945080.0000000019</c:v>
                </c:pt>
                <c:pt idx="3">
                  <c:v>21102408.954000007</c:v>
                </c:pt>
                <c:pt idx="4">
                  <c:v>42619541.584400021</c:v>
                </c:pt>
                <c:pt idx="5">
                  <c:v>72431494.00850004</c:v>
                </c:pt>
              </c:numCache>
            </c:numRef>
          </c:val>
        </c:ser>
        <c:ser>
          <c:idx val="4"/>
          <c:order val="1"/>
          <c:tx>
            <c:strRef>
              <c:f>'P&amp;L Plots'!$F$9</c:f>
              <c:strCache>
                <c:ptCount val="1"/>
                <c:pt idx="0">
                  <c:v>Income before tax</c:v>
                </c:pt>
              </c:strCache>
            </c:strRef>
          </c:tx>
          <c:invertIfNegative val="0"/>
          <c:cat>
            <c:strRef>
              <c:f>'P&amp;L Plots'!$A$10:$A$15</c:f>
              <c:strCache>
                <c:ptCount val="6"/>
                <c:pt idx="0">
                  <c:v>Y1</c:v>
                </c:pt>
                <c:pt idx="1">
                  <c:v>Y2</c:v>
                </c:pt>
                <c:pt idx="2">
                  <c:v>Y3</c:v>
                </c:pt>
                <c:pt idx="3">
                  <c:v>Y4</c:v>
                </c:pt>
                <c:pt idx="4">
                  <c:v>Y5</c:v>
                </c:pt>
                <c:pt idx="5">
                  <c:v>Y6</c:v>
                </c:pt>
              </c:strCache>
            </c:strRef>
          </c:cat>
          <c:val>
            <c:numRef>
              <c:f>'P&amp;L Plots'!$F$10:$F$15</c:f>
              <c:numCache>
                <c:formatCode>#,##0_);[Red]\(#,##0\)</c:formatCode>
                <c:ptCount val="6"/>
                <c:pt idx="0">
                  <c:v>-2526690.5227272729</c:v>
                </c:pt>
                <c:pt idx="1">
                  <c:v>-2805637.2802961669</c:v>
                </c:pt>
                <c:pt idx="2">
                  <c:v>297230.5444205706</c:v>
                </c:pt>
                <c:pt idx="3">
                  <c:v>4124256.8031962514</c:v>
                </c:pt>
                <c:pt idx="4">
                  <c:v>11867843.001565725</c:v>
                </c:pt>
                <c:pt idx="5">
                  <c:v>26345518.847964384</c:v>
                </c:pt>
              </c:numCache>
            </c:numRef>
          </c:val>
        </c:ser>
        <c:dLbls>
          <c:showLegendKey val="0"/>
          <c:showVal val="0"/>
          <c:showCatName val="0"/>
          <c:showSerName val="0"/>
          <c:showPercent val="0"/>
          <c:showBubbleSize val="0"/>
        </c:dLbls>
        <c:gapWidth val="150"/>
        <c:axId val="195130112"/>
        <c:axId val="195131648"/>
      </c:barChart>
      <c:catAx>
        <c:axId val="195130112"/>
        <c:scaling>
          <c:orientation val="minMax"/>
        </c:scaling>
        <c:delete val="0"/>
        <c:axPos val="b"/>
        <c:numFmt formatCode="General" sourceLinked="1"/>
        <c:majorTickMark val="out"/>
        <c:minorTickMark val="none"/>
        <c:tickLblPos val="nextTo"/>
        <c:crossAx val="195131648"/>
        <c:crosses val="autoZero"/>
        <c:auto val="1"/>
        <c:lblAlgn val="ctr"/>
        <c:lblOffset val="100"/>
        <c:noMultiLvlLbl val="0"/>
      </c:catAx>
      <c:valAx>
        <c:axId val="195131648"/>
        <c:scaling>
          <c:orientation val="minMax"/>
        </c:scaling>
        <c:delete val="0"/>
        <c:axPos val="l"/>
        <c:majorGridlines/>
        <c:numFmt formatCode="#,##0_);[Red]\(#,##0\)" sourceLinked="1"/>
        <c:majorTickMark val="out"/>
        <c:minorTickMark val="none"/>
        <c:tickLblPos val="nextTo"/>
        <c:crossAx val="195130112"/>
        <c:crosses val="autoZero"/>
        <c:crossBetween val="between"/>
      </c:valAx>
    </c:plotArea>
    <c:legend>
      <c:legendPos val="r"/>
      <c:overlay val="0"/>
    </c:legend>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2"/>
          <c:order val="0"/>
          <c:tx>
            <c:strRef>
              <c:f>'P&amp;L Plots'!$D$16</c:f>
              <c:strCache>
                <c:ptCount val="1"/>
                <c:pt idx="0">
                  <c:v>Revenue</c:v>
                </c:pt>
              </c:strCache>
            </c:strRef>
          </c:tx>
          <c:invertIfNegative val="0"/>
          <c:cat>
            <c:strRef>
              <c:f>'P&amp;L Plots'!$A$17:$A$28</c:f>
              <c:strCache>
                <c:ptCount val="12"/>
                <c:pt idx="0">
                  <c:v>Y1Q1</c:v>
                </c:pt>
                <c:pt idx="1">
                  <c:v>Y1Q2</c:v>
                </c:pt>
                <c:pt idx="2">
                  <c:v>Y1Q3</c:v>
                </c:pt>
                <c:pt idx="3">
                  <c:v>Y1Q4</c:v>
                </c:pt>
                <c:pt idx="4">
                  <c:v>Y2Q1</c:v>
                </c:pt>
                <c:pt idx="5">
                  <c:v>Y2Q2</c:v>
                </c:pt>
                <c:pt idx="6">
                  <c:v>Y2Q3</c:v>
                </c:pt>
                <c:pt idx="7">
                  <c:v>Y2Q4</c:v>
                </c:pt>
                <c:pt idx="8">
                  <c:v>Y3Q1</c:v>
                </c:pt>
                <c:pt idx="9">
                  <c:v>Y3Q2</c:v>
                </c:pt>
                <c:pt idx="10">
                  <c:v>Y3Q3</c:v>
                </c:pt>
                <c:pt idx="11">
                  <c:v>Y3Q4</c:v>
                </c:pt>
              </c:strCache>
            </c:strRef>
          </c:cat>
          <c:val>
            <c:numRef>
              <c:f>'P&amp;L Plots'!$D$17:$D$28</c:f>
              <c:numCache>
                <c:formatCode>#,##0_);[Red]\(#,##0\)</c:formatCode>
                <c:ptCount val="12"/>
                <c:pt idx="0">
                  <c:v>0</c:v>
                </c:pt>
                <c:pt idx="1">
                  <c:v>0</c:v>
                </c:pt>
                <c:pt idx="2">
                  <c:v>0</c:v>
                </c:pt>
                <c:pt idx="3">
                  <c:v>0</c:v>
                </c:pt>
                <c:pt idx="4">
                  <c:v>0</c:v>
                </c:pt>
                <c:pt idx="5">
                  <c:v>0</c:v>
                </c:pt>
                <c:pt idx="6">
                  <c:v>766300.00000000023</c:v>
                </c:pt>
                <c:pt idx="7">
                  <c:v>843800.00000000023</c:v>
                </c:pt>
                <c:pt idx="8">
                  <c:v>972510.00000000035</c:v>
                </c:pt>
                <c:pt idx="9">
                  <c:v>1057980.0000000005</c:v>
                </c:pt>
                <c:pt idx="10">
                  <c:v>2829190.0000000009</c:v>
                </c:pt>
                <c:pt idx="11">
                  <c:v>3085400.0000000009</c:v>
                </c:pt>
              </c:numCache>
            </c:numRef>
          </c:val>
        </c:ser>
        <c:ser>
          <c:idx val="4"/>
          <c:order val="1"/>
          <c:tx>
            <c:strRef>
              <c:f>'P&amp;L Plots'!$F$16</c:f>
              <c:strCache>
                <c:ptCount val="1"/>
                <c:pt idx="0">
                  <c:v>Income before tax</c:v>
                </c:pt>
              </c:strCache>
            </c:strRef>
          </c:tx>
          <c:invertIfNegative val="0"/>
          <c:cat>
            <c:strRef>
              <c:f>'P&amp;L Plots'!$A$17:$A$28</c:f>
              <c:strCache>
                <c:ptCount val="12"/>
                <c:pt idx="0">
                  <c:v>Y1Q1</c:v>
                </c:pt>
                <c:pt idx="1">
                  <c:v>Y1Q2</c:v>
                </c:pt>
                <c:pt idx="2">
                  <c:v>Y1Q3</c:v>
                </c:pt>
                <c:pt idx="3">
                  <c:v>Y1Q4</c:v>
                </c:pt>
                <c:pt idx="4">
                  <c:v>Y2Q1</c:v>
                </c:pt>
                <c:pt idx="5">
                  <c:v>Y2Q2</c:v>
                </c:pt>
                <c:pt idx="6">
                  <c:v>Y2Q3</c:v>
                </c:pt>
                <c:pt idx="7">
                  <c:v>Y2Q4</c:v>
                </c:pt>
                <c:pt idx="8">
                  <c:v>Y3Q1</c:v>
                </c:pt>
                <c:pt idx="9">
                  <c:v>Y3Q2</c:v>
                </c:pt>
                <c:pt idx="10">
                  <c:v>Y3Q3</c:v>
                </c:pt>
                <c:pt idx="11">
                  <c:v>Y3Q4</c:v>
                </c:pt>
              </c:strCache>
            </c:strRef>
          </c:cat>
          <c:val>
            <c:numRef>
              <c:f>'P&amp;L Plots'!$F$17:$F$28</c:f>
              <c:numCache>
                <c:formatCode>#,##0_);[Red]\(#,##0\)</c:formatCode>
                <c:ptCount val="12"/>
                <c:pt idx="0">
                  <c:v>-656808.25</c:v>
                </c:pt>
                <c:pt idx="1">
                  <c:v>-573601.75757575757</c:v>
                </c:pt>
                <c:pt idx="2">
                  <c:v>-687486.50757575757</c:v>
                </c:pt>
                <c:pt idx="3">
                  <c:v>-608794.00757575757</c:v>
                </c:pt>
                <c:pt idx="4">
                  <c:v>-642315.25757575757</c:v>
                </c:pt>
                <c:pt idx="5">
                  <c:v>-765790.63382919668</c:v>
                </c:pt>
                <c:pt idx="6">
                  <c:v>-786487.91041356383</c:v>
                </c:pt>
                <c:pt idx="7">
                  <c:v>-611043.47847764881</c:v>
                </c:pt>
                <c:pt idx="8">
                  <c:v>-642321.04052648856</c:v>
                </c:pt>
                <c:pt idx="9">
                  <c:v>-362793.49046107836</c:v>
                </c:pt>
                <c:pt idx="10">
                  <c:v>522225.28743229073</c:v>
                </c:pt>
                <c:pt idx="11">
                  <c:v>780119.40727036132</c:v>
                </c:pt>
              </c:numCache>
            </c:numRef>
          </c:val>
        </c:ser>
        <c:dLbls>
          <c:showLegendKey val="0"/>
          <c:showVal val="0"/>
          <c:showCatName val="0"/>
          <c:showSerName val="0"/>
          <c:showPercent val="0"/>
          <c:showBubbleSize val="0"/>
        </c:dLbls>
        <c:gapWidth val="150"/>
        <c:axId val="195828352"/>
        <c:axId val="195830144"/>
      </c:barChart>
      <c:catAx>
        <c:axId val="195828352"/>
        <c:scaling>
          <c:orientation val="minMax"/>
        </c:scaling>
        <c:delete val="0"/>
        <c:axPos val="b"/>
        <c:majorTickMark val="out"/>
        <c:minorTickMark val="none"/>
        <c:tickLblPos val="low"/>
        <c:txPr>
          <a:bodyPr rot="-5400000" vert="horz"/>
          <a:lstStyle/>
          <a:p>
            <a:pPr>
              <a:defRPr/>
            </a:pPr>
            <a:endParaRPr lang="en-US"/>
          </a:p>
        </c:txPr>
        <c:crossAx val="195830144"/>
        <c:crosses val="autoZero"/>
        <c:auto val="1"/>
        <c:lblAlgn val="ctr"/>
        <c:lblOffset val="100"/>
        <c:noMultiLvlLbl val="0"/>
      </c:catAx>
      <c:valAx>
        <c:axId val="195830144"/>
        <c:scaling>
          <c:orientation val="minMax"/>
        </c:scaling>
        <c:delete val="0"/>
        <c:axPos val="l"/>
        <c:majorGridlines/>
        <c:numFmt formatCode="#,##0_);[Red]\(#,##0\)" sourceLinked="1"/>
        <c:majorTickMark val="out"/>
        <c:minorTickMark val="none"/>
        <c:tickLblPos val="nextTo"/>
        <c:crossAx val="195828352"/>
        <c:crosses val="autoZero"/>
        <c:crossBetween val="between"/>
      </c:valAx>
    </c:plotArea>
    <c:legend>
      <c:legendPos val="r"/>
      <c:overlay val="0"/>
    </c:legend>
    <c:plotVisOnly val="1"/>
    <c:dispBlanksAs val="gap"/>
    <c:showDLblsOverMax val="0"/>
  </c:chart>
  <c:printSettings>
    <c:headerFooter/>
    <c:pageMargins b="0.75000000000000344" l="0.70000000000000062" r="0.70000000000000062" t="0.75000000000000344"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'Sales Projections'!$A$6</c:f>
              <c:strCache>
                <c:ptCount val="1"/>
                <c:pt idx="0">
                  <c:v>Number of Patients</c:v>
                </c:pt>
              </c:strCache>
            </c:strRef>
          </c:tx>
          <c:invertIfNegative val="0"/>
          <c:cat>
            <c:strRef>
              <c:f>'Sales Projections'!$B$1:$F$1</c:f>
              <c:strCache>
                <c:ptCount val="5"/>
                <c:pt idx="0">
                  <c:v>Year 2</c:v>
                </c:pt>
                <c:pt idx="1">
                  <c:v>Year 3</c:v>
                </c:pt>
                <c:pt idx="2">
                  <c:v>Year 4</c:v>
                </c:pt>
                <c:pt idx="3">
                  <c:v>Year 5</c:v>
                </c:pt>
                <c:pt idx="4">
                  <c:v>Year 6</c:v>
                </c:pt>
              </c:strCache>
            </c:strRef>
          </c:cat>
          <c:val>
            <c:numRef>
              <c:f>'Sales Projections'!$B$6:$F$6</c:f>
              <c:numCache>
                <c:formatCode>#,##0_);[Red]\(#,##0\)</c:formatCode>
                <c:ptCount val="5"/>
                <c:pt idx="0">
                  <c:v>21000.000000000004</c:v>
                </c:pt>
                <c:pt idx="1">
                  <c:v>69300.000000000015</c:v>
                </c:pt>
                <c:pt idx="2">
                  <c:v>152646.34000000005</c:v>
                </c:pt>
                <c:pt idx="3">
                  <c:v>281578.37400000013</c:v>
                </c:pt>
                <c:pt idx="4">
                  <c:v>436369.14860000019</c:v>
                </c:pt>
              </c:numCache>
            </c:numRef>
          </c:val>
        </c:ser>
        <c:dLbls>
          <c:showLegendKey val="0"/>
          <c:showVal val="0"/>
          <c:showCatName val="0"/>
          <c:showSerName val="0"/>
          <c:showPercent val="0"/>
          <c:showBubbleSize val="0"/>
        </c:dLbls>
        <c:gapWidth val="150"/>
        <c:axId val="199771648"/>
        <c:axId val="199773184"/>
      </c:barChart>
      <c:catAx>
        <c:axId val="199771648"/>
        <c:scaling>
          <c:orientation val="minMax"/>
        </c:scaling>
        <c:delete val="0"/>
        <c:axPos val="b"/>
        <c:majorTickMark val="out"/>
        <c:minorTickMark val="none"/>
        <c:tickLblPos val="nextTo"/>
        <c:crossAx val="199773184"/>
        <c:crosses val="autoZero"/>
        <c:auto val="1"/>
        <c:lblAlgn val="ctr"/>
        <c:lblOffset val="100"/>
        <c:noMultiLvlLbl val="0"/>
      </c:catAx>
      <c:valAx>
        <c:axId val="199773184"/>
        <c:scaling>
          <c:orientation val="minMax"/>
        </c:scaling>
        <c:delete val="0"/>
        <c:axPos val="l"/>
        <c:majorGridlines/>
        <c:numFmt formatCode="#,##0_);[Red]\(#,##0\)" sourceLinked="1"/>
        <c:majorTickMark val="out"/>
        <c:minorTickMark val="none"/>
        <c:tickLblPos val="nextTo"/>
        <c:crossAx val="199771648"/>
        <c:crosses val="autoZero"/>
        <c:crossBetween val="between"/>
      </c:valAx>
    </c:plotArea>
    <c:plotVisOnly val="1"/>
    <c:dispBlanksAs val="gap"/>
    <c:showDLblsOverMax val="0"/>
  </c:chart>
  <c:printSettings>
    <c:headerFooter/>
    <c:pageMargins b="0.750000000000004" l="0.70000000000000062" r="0.70000000000000062" t="0.75000000000000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strRef>
              <c:f>'Sales Projections'!$A$16</c:f>
              <c:strCache>
                <c:ptCount val="1"/>
                <c:pt idx="0">
                  <c:v>Revenue - TOTAL </c:v>
                </c:pt>
              </c:strCache>
            </c:strRef>
          </c:tx>
          <c:spPr>
            <a:solidFill>
              <a:schemeClr val="accent1"/>
            </a:solidFill>
          </c:spPr>
          <c:invertIfNegative val="0"/>
          <c:cat>
            <c:strRef>
              <c:f>'Sales Projections'!$B$1:$F$1</c:f>
              <c:strCache>
                <c:ptCount val="5"/>
                <c:pt idx="0">
                  <c:v>Year 2</c:v>
                </c:pt>
                <c:pt idx="1">
                  <c:v>Year 3</c:v>
                </c:pt>
                <c:pt idx="2">
                  <c:v>Year 4</c:v>
                </c:pt>
                <c:pt idx="3">
                  <c:v>Year 5</c:v>
                </c:pt>
                <c:pt idx="4">
                  <c:v>Year 6</c:v>
                </c:pt>
              </c:strCache>
            </c:strRef>
          </c:cat>
          <c:val>
            <c:numRef>
              <c:f>'Sales Projections'!$B$16:$F$16</c:f>
              <c:numCache>
                <c:formatCode>_("$"* #,##0_);_("$"* \(#,##0\);_("$"* "-"??_);_(@_)</c:formatCode>
                <c:ptCount val="5"/>
                <c:pt idx="0">
                  <c:v>1610100.0000000005</c:v>
                </c:pt>
                <c:pt idx="1">
                  <c:v>7945080.0000000037</c:v>
                </c:pt>
                <c:pt idx="2">
                  <c:v>21102408.954000004</c:v>
                </c:pt>
                <c:pt idx="3">
                  <c:v>42619541.584400028</c:v>
                </c:pt>
                <c:pt idx="4">
                  <c:v>72431494.00850004</c:v>
                </c:pt>
              </c:numCache>
            </c:numRef>
          </c:val>
        </c:ser>
        <c:dLbls>
          <c:showLegendKey val="0"/>
          <c:showVal val="0"/>
          <c:showCatName val="0"/>
          <c:showSerName val="0"/>
          <c:showPercent val="0"/>
          <c:showBubbleSize val="0"/>
        </c:dLbls>
        <c:gapWidth val="150"/>
        <c:axId val="199785088"/>
        <c:axId val="199795072"/>
      </c:barChart>
      <c:catAx>
        <c:axId val="199785088"/>
        <c:scaling>
          <c:orientation val="minMax"/>
        </c:scaling>
        <c:delete val="0"/>
        <c:axPos val="b"/>
        <c:majorTickMark val="out"/>
        <c:minorTickMark val="none"/>
        <c:tickLblPos val="nextTo"/>
        <c:crossAx val="199795072"/>
        <c:crosses val="autoZero"/>
        <c:auto val="1"/>
        <c:lblAlgn val="ctr"/>
        <c:lblOffset val="100"/>
        <c:noMultiLvlLbl val="0"/>
      </c:catAx>
      <c:valAx>
        <c:axId val="199795072"/>
        <c:scaling>
          <c:orientation val="minMax"/>
        </c:scaling>
        <c:delete val="0"/>
        <c:axPos val="l"/>
        <c:majorGridlines/>
        <c:numFmt formatCode="_(&quot;$&quot;* #,##0_);_(&quot;$&quot;* \(#,##0\);_(&quot;$&quot;* &quot;-&quot;??_);_(@_)" sourceLinked="1"/>
        <c:majorTickMark val="out"/>
        <c:minorTickMark val="none"/>
        <c:tickLblPos val="nextTo"/>
        <c:crossAx val="199785088"/>
        <c:crosses val="autoZero"/>
        <c:crossBetween val="between"/>
      </c:valAx>
    </c:plotArea>
    <c:plotVisOnly val="1"/>
    <c:dispBlanksAs val="gap"/>
    <c:showDLblsOverMax val="0"/>
  </c:chart>
  <c:printSettings>
    <c:headerFooter/>
    <c:pageMargins b="0.75000000000000377" l="0.70000000000000062" r="0.70000000000000062" t="0.75000000000000377"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INReady</a:t>
            </a:r>
            <a:r>
              <a:rPr lang="en-US" baseline="0"/>
              <a:t> - </a:t>
            </a:r>
            <a:r>
              <a:rPr lang="en-US" sz="1800" b="1" i="0" u="none" strike="noStrike" baseline="0"/>
              <a:t>PST </a:t>
            </a:r>
            <a:r>
              <a:rPr lang="en-US"/>
              <a:t>Strip</a:t>
            </a:r>
          </a:p>
        </c:rich>
      </c:tx>
      <c:overlay val="1"/>
    </c:title>
    <c:autoTitleDeleted val="0"/>
    <c:plotArea>
      <c:layout/>
      <c:barChart>
        <c:barDir val="col"/>
        <c:grouping val="stacked"/>
        <c:varyColors val="0"/>
        <c:ser>
          <c:idx val="0"/>
          <c:order val="0"/>
          <c:spPr>
            <a:noFill/>
            <a:ln>
              <a:noFill/>
            </a:ln>
          </c:spPr>
          <c:invertIfNegative val="0"/>
          <c:cat>
            <c:strRef>
              <c:f>'Strip Pricing'!$A$5:$A$8</c:f>
              <c:strCache>
                <c:ptCount val="4"/>
                <c:pt idx="0">
                  <c:v>Abram ASP</c:v>
                </c:pt>
                <c:pt idx="1">
                  <c:v>Distribution Cost</c:v>
                </c:pt>
                <c:pt idx="2">
                  <c:v>Shipping Cost</c:v>
                </c:pt>
                <c:pt idx="3">
                  <c:v>Clinic ASP</c:v>
                </c:pt>
              </c:strCache>
            </c:strRef>
          </c:cat>
          <c:val>
            <c:numRef>
              <c:f>'Strip Pricing'!$B$5:$B$8</c:f>
              <c:numCache>
                <c:formatCode>General</c:formatCode>
                <c:ptCount val="4"/>
                <c:pt idx="1">
                  <c:v>5</c:v>
                </c:pt>
                <c:pt idx="2">
                  <c:v>6.5</c:v>
                </c:pt>
              </c:numCache>
            </c:numRef>
          </c:val>
        </c:ser>
        <c:ser>
          <c:idx val="1"/>
          <c:order val="1"/>
          <c:spPr>
            <a:solidFill>
              <a:srgbClr val="1F497D">
                <a:lumMod val="40000"/>
                <a:lumOff val="60000"/>
              </a:srgbClr>
            </a:solidFill>
            <a:ln w="3175">
              <a:solidFill>
                <a:sysClr val="windowText" lastClr="000000"/>
              </a:solidFill>
            </a:ln>
          </c:spPr>
          <c:invertIfNegative val="0"/>
          <c:dLbls>
            <c:dLbl>
              <c:idx val="0"/>
              <c:layout>
                <c:manualLayout>
                  <c:x val="8.9968857922465352E-6"/>
                  <c:y val="-0.18518518518518567"/>
                </c:manualLayout>
              </c:layout>
              <c:showLegendKey val="0"/>
              <c:showVal val="1"/>
              <c:showCatName val="0"/>
              <c:showSerName val="0"/>
              <c:showPercent val="0"/>
              <c:showBubbleSize val="0"/>
            </c:dLbl>
            <c:dLbl>
              <c:idx val="1"/>
              <c:layout>
                <c:manualLayout>
                  <c:x val="-1.8360991417023048E-7"/>
                  <c:y val="-8.3333333333333343E-2"/>
                </c:manualLayout>
              </c:layout>
              <c:showLegendKey val="0"/>
              <c:showVal val="1"/>
              <c:showCatName val="0"/>
              <c:showSerName val="0"/>
              <c:showPercent val="0"/>
              <c:showBubbleSize val="0"/>
            </c:dLbl>
            <c:dLbl>
              <c:idx val="2"/>
              <c:layout>
                <c:manualLayout>
                  <c:x val="0"/>
                  <c:y val="-5.2043623857362852E-2"/>
                </c:manualLayout>
              </c:layout>
              <c:showLegendKey val="0"/>
              <c:showVal val="1"/>
              <c:showCatName val="0"/>
              <c:showSerName val="0"/>
              <c:showPercent val="0"/>
              <c:showBubbleSize val="0"/>
            </c:dLbl>
            <c:dLbl>
              <c:idx val="3"/>
              <c:layout>
                <c:manualLayout>
                  <c:x val="0"/>
                  <c:y val="-0.23611111111111124"/>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'Strip Pricing'!$A$5:$A$8</c:f>
              <c:strCache>
                <c:ptCount val="4"/>
                <c:pt idx="0">
                  <c:v>Abram ASP</c:v>
                </c:pt>
                <c:pt idx="1">
                  <c:v>Distribution Cost</c:v>
                </c:pt>
                <c:pt idx="2">
                  <c:v>Shipping Cost</c:v>
                </c:pt>
                <c:pt idx="3">
                  <c:v>Clinic ASP</c:v>
                </c:pt>
              </c:strCache>
            </c:strRef>
          </c:cat>
          <c:val>
            <c:numRef>
              <c:f>'Strip Pricing'!$C$5:$C$8</c:f>
              <c:numCache>
                <c:formatCode>_("$"* #,##0.00_);_("$"* \(#,##0.00\);_("$"* "-"??_);_(@_)</c:formatCode>
                <c:ptCount val="4"/>
                <c:pt idx="0">
                  <c:v>5</c:v>
                </c:pt>
                <c:pt idx="1">
                  <c:v>1.5</c:v>
                </c:pt>
                <c:pt idx="2">
                  <c:v>0.25</c:v>
                </c:pt>
                <c:pt idx="3">
                  <c:v>6.75</c:v>
                </c:pt>
              </c:numCache>
            </c:numRef>
          </c:val>
        </c:ser>
        <c:ser>
          <c:idx val="2"/>
          <c:order val="2"/>
          <c:spPr>
            <a:noFill/>
            <a:ln>
              <a:noFill/>
            </a:ln>
          </c:spPr>
          <c:invertIfNegative val="0"/>
          <c:cat>
            <c:strRef>
              <c:f>'Strip Pricing'!$A$5:$A$8</c:f>
              <c:strCache>
                <c:ptCount val="4"/>
                <c:pt idx="0">
                  <c:v>Abram ASP</c:v>
                </c:pt>
                <c:pt idx="1">
                  <c:v>Distribution Cost</c:v>
                </c:pt>
                <c:pt idx="2">
                  <c:v>Shipping Cost</c:v>
                </c:pt>
                <c:pt idx="3">
                  <c:v>Clinic ASP</c:v>
                </c:pt>
              </c:strCache>
            </c:strRef>
          </c:cat>
          <c:val>
            <c:numRef>
              <c:f>'Strip Pricing'!$D$5:$D$8</c:f>
              <c:numCache>
                <c:formatCode>General</c:formatCode>
                <c:ptCount val="4"/>
                <c:pt idx="0">
                  <c:v>10</c:v>
                </c:pt>
                <c:pt idx="1">
                  <c:v>10</c:v>
                </c:pt>
                <c:pt idx="2">
                  <c:v>10</c:v>
                </c:pt>
                <c:pt idx="3">
                  <c:v>10</c:v>
                </c:pt>
              </c:numCache>
            </c:numRef>
          </c:val>
        </c:ser>
        <c:dLbls>
          <c:showLegendKey val="0"/>
          <c:showVal val="0"/>
          <c:showCatName val="0"/>
          <c:showSerName val="0"/>
          <c:showPercent val="0"/>
          <c:showBubbleSize val="0"/>
        </c:dLbls>
        <c:gapWidth val="150"/>
        <c:overlap val="100"/>
        <c:axId val="196261760"/>
        <c:axId val="196263296"/>
      </c:barChart>
      <c:lineChart>
        <c:grouping val="standard"/>
        <c:varyColors val="0"/>
        <c:ser>
          <c:idx val="3"/>
          <c:order val="3"/>
          <c:spPr>
            <a:ln w="3175">
              <a:solidFill>
                <a:sysClr val="windowText" lastClr="000000"/>
              </a:solidFill>
              <a:prstDash val="sysDash"/>
            </a:ln>
          </c:spPr>
          <c:marker>
            <c:symbol val="none"/>
          </c:marker>
          <c:cat>
            <c:strRef>
              <c:f>'Strip Pricing'!$A$5:$A$8</c:f>
              <c:strCache>
                <c:ptCount val="4"/>
                <c:pt idx="0">
                  <c:v>Abram ASP</c:v>
                </c:pt>
                <c:pt idx="1">
                  <c:v>Distribution Cost</c:v>
                </c:pt>
                <c:pt idx="2">
                  <c:v>Shipping Cost</c:v>
                </c:pt>
                <c:pt idx="3">
                  <c:v>Clinic ASP</c:v>
                </c:pt>
              </c:strCache>
            </c:strRef>
          </c:cat>
          <c:val>
            <c:numRef>
              <c:f>'Strip Pricing'!$E$5:$E$8</c:f>
              <c:numCache>
                <c:formatCode>General</c:formatCode>
                <c:ptCount val="4"/>
                <c:pt idx="0">
                  <c:v>5</c:v>
                </c:pt>
                <c:pt idx="1">
                  <c:v>5</c:v>
                </c:pt>
              </c:numCache>
            </c:numRef>
          </c:val>
          <c:smooth val="0"/>
        </c:ser>
        <c:ser>
          <c:idx val="4"/>
          <c:order val="4"/>
          <c:spPr>
            <a:ln w="3175">
              <a:solidFill>
                <a:sysClr val="windowText" lastClr="000000"/>
              </a:solidFill>
              <a:prstDash val="sysDash"/>
            </a:ln>
          </c:spPr>
          <c:marker>
            <c:symbol val="none"/>
          </c:marker>
          <c:cat>
            <c:strRef>
              <c:f>'Strip Pricing'!$A$5:$A$8</c:f>
              <c:strCache>
                <c:ptCount val="4"/>
                <c:pt idx="0">
                  <c:v>Abram ASP</c:v>
                </c:pt>
                <c:pt idx="1">
                  <c:v>Distribution Cost</c:v>
                </c:pt>
                <c:pt idx="2">
                  <c:v>Shipping Cost</c:v>
                </c:pt>
                <c:pt idx="3">
                  <c:v>Clinic ASP</c:v>
                </c:pt>
              </c:strCache>
            </c:strRef>
          </c:cat>
          <c:val>
            <c:numRef>
              <c:f>'Strip Pricing'!$F$5:$F$8</c:f>
              <c:numCache>
                <c:formatCode>General</c:formatCode>
                <c:ptCount val="4"/>
                <c:pt idx="1">
                  <c:v>6.5</c:v>
                </c:pt>
                <c:pt idx="2">
                  <c:v>6.5</c:v>
                </c:pt>
              </c:numCache>
            </c:numRef>
          </c:val>
          <c:smooth val="0"/>
        </c:ser>
        <c:ser>
          <c:idx val="5"/>
          <c:order val="5"/>
          <c:spPr>
            <a:ln w="3175">
              <a:solidFill>
                <a:sysClr val="windowText" lastClr="000000"/>
              </a:solidFill>
              <a:prstDash val="sysDash"/>
            </a:ln>
          </c:spPr>
          <c:marker>
            <c:symbol val="none"/>
          </c:marker>
          <c:cat>
            <c:strRef>
              <c:f>'Strip Pricing'!$A$5:$A$8</c:f>
              <c:strCache>
                <c:ptCount val="4"/>
                <c:pt idx="0">
                  <c:v>Abram ASP</c:v>
                </c:pt>
                <c:pt idx="1">
                  <c:v>Distribution Cost</c:v>
                </c:pt>
                <c:pt idx="2">
                  <c:v>Shipping Cost</c:v>
                </c:pt>
                <c:pt idx="3">
                  <c:v>Clinic ASP</c:v>
                </c:pt>
              </c:strCache>
            </c:strRef>
          </c:cat>
          <c:val>
            <c:numRef>
              <c:f>'Strip Pricing'!$G$5:$G$8</c:f>
              <c:numCache>
                <c:formatCode>General</c:formatCode>
                <c:ptCount val="4"/>
                <c:pt idx="2">
                  <c:v>6.75</c:v>
                </c:pt>
                <c:pt idx="3">
                  <c:v>6.75</c:v>
                </c:pt>
              </c:numCache>
            </c:numRef>
          </c:val>
          <c:smooth val="0"/>
        </c:ser>
        <c:ser>
          <c:idx val="6"/>
          <c:order val="6"/>
          <c:spPr>
            <a:ln w="3175">
              <a:solidFill>
                <a:sysClr val="windowText" lastClr="000000"/>
              </a:solidFill>
              <a:prstDash val="sysDash"/>
            </a:ln>
          </c:spPr>
          <c:marker>
            <c:symbol val="none"/>
          </c:marker>
          <c:cat>
            <c:strRef>
              <c:f>'Strip Pricing'!$A$5:$A$8</c:f>
              <c:strCache>
                <c:ptCount val="4"/>
                <c:pt idx="0">
                  <c:v>Abram ASP</c:v>
                </c:pt>
                <c:pt idx="1">
                  <c:v>Distribution Cost</c:v>
                </c:pt>
                <c:pt idx="2">
                  <c:v>Shipping Cost</c:v>
                </c:pt>
                <c:pt idx="3">
                  <c:v>Clinic ASP</c:v>
                </c:pt>
              </c:strCache>
            </c:strRef>
          </c:cat>
          <c:val>
            <c:numRef>
              <c:f>'Waterfall Chart'!#REF!</c:f>
              <c:numCache>
                <c:formatCode>General</c:formatCode>
                <c:ptCount val="1"/>
                <c:pt idx="0">
                  <c:v>1</c:v>
                </c:pt>
              </c:numCache>
            </c:numRef>
          </c:val>
          <c:smooth val="0"/>
        </c:ser>
        <c:dLbls>
          <c:showLegendKey val="0"/>
          <c:showVal val="0"/>
          <c:showCatName val="0"/>
          <c:showSerName val="0"/>
          <c:showPercent val="0"/>
          <c:showBubbleSize val="0"/>
        </c:dLbls>
        <c:marker val="1"/>
        <c:smooth val="0"/>
        <c:axId val="196261760"/>
        <c:axId val="196263296"/>
      </c:lineChart>
      <c:catAx>
        <c:axId val="196261760"/>
        <c:scaling>
          <c:orientation val="minMax"/>
        </c:scaling>
        <c:delete val="0"/>
        <c:axPos val="b"/>
        <c:numFmt formatCode="#,##0_);[Red]\(#,##0\)" sourceLinked="1"/>
        <c:majorTickMark val="out"/>
        <c:minorTickMark val="none"/>
        <c:tickLblPos val="nextTo"/>
        <c:txPr>
          <a:bodyPr/>
          <a:lstStyle/>
          <a:p>
            <a:pPr>
              <a:defRPr lang="en-US"/>
            </a:pPr>
            <a:endParaRPr lang="en-US"/>
          </a:p>
        </c:txPr>
        <c:crossAx val="196263296"/>
        <c:crosses val="autoZero"/>
        <c:auto val="1"/>
        <c:lblAlgn val="ctr"/>
        <c:lblOffset val="100"/>
        <c:noMultiLvlLbl val="0"/>
      </c:catAx>
      <c:valAx>
        <c:axId val="196263296"/>
        <c:scaling>
          <c:orientation val="minMax"/>
          <c:max val="14"/>
        </c:scaling>
        <c:delete val="0"/>
        <c:axPos val="l"/>
        <c:numFmt formatCode="General" sourceLinked="1"/>
        <c:majorTickMark val="out"/>
        <c:minorTickMark val="none"/>
        <c:tickLblPos val="nextTo"/>
        <c:txPr>
          <a:bodyPr/>
          <a:lstStyle/>
          <a:p>
            <a:pPr>
              <a:defRPr lang="en-US"/>
            </a:pPr>
            <a:endParaRPr lang="en-US"/>
          </a:p>
        </c:txPr>
        <c:crossAx val="196261760"/>
        <c:crosses val="autoZero"/>
        <c:crossBetween val="between"/>
      </c:valAx>
    </c:plotArea>
    <c:plotVisOnly val="1"/>
    <c:dispBlanksAs val="gap"/>
    <c:showDLblsOverMax val="0"/>
  </c:chart>
  <c:printSettings>
    <c:headerFooter/>
    <c:pageMargins b="0.75000000000000222" l="0.70000000000000062" r="0.70000000000000062" t="0.750000000000002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INReady - </a:t>
            </a:r>
            <a:r>
              <a:rPr lang="en-US" sz="1800" b="1" i="0" u="none" strike="noStrike" baseline="0"/>
              <a:t>Professional </a:t>
            </a:r>
            <a:r>
              <a:rPr lang="en-US"/>
              <a:t>Strip</a:t>
            </a:r>
          </a:p>
        </c:rich>
      </c:tx>
      <c:overlay val="1"/>
    </c:title>
    <c:autoTitleDeleted val="0"/>
    <c:plotArea>
      <c:layout/>
      <c:barChart>
        <c:barDir val="col"/>
        <c:grouping val="stacked"/>
        <c:varyColors val="0"/>
        <c:ser>
          <c:idx val="0"/>
          <c:order val="0"/>
          <c:spPr>
            <a:noFill/>
            <a:ln>
              <a:noFill/>
            </a:ln>
          </c:spPr>
          <c:invertIfNegative val="0"/>
          <c:cat>
            <c:strRef>
              <c:f>'Strip Pricing'!$A$5:$A$8</c:f>
              <c:strCache>
                <c:ptCount val="4"/>
                <c:pt idx="0">
                  <c:v>Abram ASP</c:v>
                </c:pt>
                <c:pt idx="1">
                  <c:v>Distribution Cost</c:v>
                </c:pt>
                <c:pt idx="2">
                  <c:v>Shipping Cost</c:v>
                </c:pt>
                <c:pt idx="3">
                  <c:v>Clinic ASP</c:v>
                </c:pt>
              </c:strCache>
            </c:strRef>
          </c:cat>
          <c:val>
            <c:numRef>
              <c:f>'Strip Pricing'!$B$16:$B$19</c:f>
              <c:numCache>
                <c:formatCode>_("$"* #,##0.00_);_("$"* \(#,##0.00\);_("$"* "-"??_);_(@_)</c:formatCode>
                <c:ptCount val="4"/>
                <c:pt idx="1">
                  <c:v>3.5</c:v>
                </c:pt>
                <c:pt idx="2">
                  <c:v>4.55</c:v>
                </c:pt>
              </c:numCache>
            </c:numRef>
          </c:val>
        </c:ser>
        <c:ser>
          <c:idx val="1"/>
          <c:order val="1"/>
          <c:spPr>
            <a:solidFill>
              <a:srgbClr val="1F497D">
                <a:lumMod val="40000"/>
                <a:lumOff val="60000"/>
              </a:srgbClr>
            </a:solidFill>
            <a:ln w="3175">
              <a:solidFill>
                <a:sysClr val="windowText" lastClr="000000"/>
              </a:solidFill>
            </a:ln>
          </c:spPr>
          <c:invertIfNegative val="0"/>
          <c:dLbls>
            <c:dLbl>
              <c:idx val="0"/>
              <c:layout>
                <c:manualLayout>
                  <c:x val="8.9622943473529896E-6"/>
                  <c:y val="-0.15070232600235361"/>
                </c:manualLayout>
              </c:layout>
              <c:showLegendKey val="0"/>
              <c:showVal val="1"/>
              <c:showCatName val="0"/>
              <c:showSerName val="0"/>
              <c:showPercent val="0"/>
              <c:showBubbleSize val="0"/>
            </c:dLbl>
            <c:dLbl>
              <c:idx val="1"/>
              <c:layout>
                <c:manualLayout>
                  <c:x val="-1.8360991417023064E-7"/>
                  <c:y val="-8.3333333333333343E-2"/>
                </c:manualLayout>
              </c:layout>
              <c:showLegendKey val="0"/>
              <c:showVal val="1"/>
              <c:showCatName val="0"/>
              <c:showSerName val="0"/>
              <c:showPercent val="0"/>
              <c:showBubbleSize val="0"/>
            </c:dLbl>
            <c:dLbl>
              <c:idx val="2"/>
              <c:layout>
                <c:manualLayout>
                  <c:x val="0"/>
                  <c:y val="-5.7790750294144461E-2"/>
                </c:manualLayout>
              </c:layout>
              <c:showLegendKey val="0"/>
              <c:showVal val="1"/>
              <c:showCatName val="0"/>
              <c:showSerName val="0"/>
              <c:showPercent val="0"/>
              <c:showBubbleSize val="0"/>
            </c:dLbl>
            <c:dLbl>
              <c:idx val="3"/>
              <c:layout>
                <c:manualLayout>
                  <c:x val="0"/>
                  <c:y val="-0.18438682233686321"/>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'Strip Pricing'!$A$16:$A$19</c:f>
              <c:strCache>
                <c:ptCount val="4"/>
                <c:pt idx="0">
                  <c:v>Abram ASP</c:v>
                </c:pt>
                <c:pt idx="1">
                  <c:v>Distribution Cost</c:v>
                </c:pt>
                <c:pt idx="2">
                  <c:v>Shipping Cost</c:v>
                </c:pt>
                <c:pt idx="3">
                  <c:v>Clinic ASP</c:v>
                </c:pt>
              </c:strCache>
            </c:strRef>
          </c:cat>
          <c:val>
            <c:numRef>
              <c:f>'Strip Pricing'!$C$16:$C$19</c:f>
              <c:numCache>
                <c:formatCode>_("$"* #,##0.00_);_("$"* \(#,##0.00\);_("$"* "-"??_);_(@_)</c:formatCode>
                <c:ptCount val="4"/>
                <c:pt idx="0">
                  <c:v>3.5</c:v>
                </c:pt>
                <c:pt idx="1">
                  <c:v>1.05</c:v>
                </c:pt>
                <c:pt idx="2">
                  <c:v>0.17500000000000002</c:v>
                </c:pt>
                <c:pt idx="3">
                  <c:v>4.7249999999999996</c:v>
                </c:pt>
              </c:numCache>
            </c:numRef>
          </c:val>
        </c:ser>
        <c:ser>
          <c:idx val="2"/>
          <c:order val="2"/>
          <c:spPr>
            <a:noFill/>
            <a:ln>
              <a:noFill/>
            </a:ln>
          </c:spPr>
          <c:invertIfNegative val="0"/>
          <c:cat>
            <c:strRef>
              <c:f>'Strip Pricing'!$A$5:$A$8</c:f>
              <c:strCache>
                <c:ptCount val="4"/>
                <c:pt idx="0">
                  <c:v>Abram ASP</c:v>
                </c:pt>
                <c:pt idx="1">
                  <c:v>Distribution Cost</c:v>
                </c:pt>
                <c:pt idx="2">
                  <c:v>Shipping Cost</c:v>
                </c:pt>
                <c:pt idx="3">
                  <c:v>Clinic ASP</c:v>
                </c:pt>
              </c:strCache>
            </c:strRef>
          </c:cat>
          <c:val>
            <c:numRef>
              <c:f>'Strip Pricing'!$D$5:$D$8</c:f>
              <c:numCache>
                <c:formatCode>General</c:formatCode>
                <c:ptCount val="4"/>
                <c:pt idx="0">
                  <c:v>10</c:v>
                </c:pt>
                <c:pt idx="1">
                  <c:v>10</c:v>
                </c:pt>
                <c:pt idx="2">
                  <c:v>10</c:v>
                </c:pt>
                <c:pt idx="3">
                  <c:v>10</c:v>
                </c:pt>
              </c:numCache>
            </c:numRef>
          </c:val>
        </c:ser>
        <c:dLbls>
          <c:showLegendKey val="0"/>
          <c:showVal val="0"/>
          <c:showCatName val="0"/>
          <c:showSerName val="0"/>
          <c:showPercent val="0"/>
          <c:showBubbleSize val="0"/>
        </c:dLbls>
        <c:gapWidth val="150"/>
        <c:overlap val="100"/>
        <c:axId val="200339840"/>
        <c:axId val="200341376"/>
      </c:barChart>
      <c:lineChart>
        <c:grouping val="standard"/>
        <c:varyColors val="0"/>
        <c:ser>
          <c:idx val="3"/>
          <c:order val="3"/>
          <c:spPr>
            <a:ln w="3175">
              <a:solidFill>
                <a:sysClr val="windowText" lastClr="000000"/>
              </a:solidFill>
              <a:prstDash val="sysDash"/>
            </a:ln>
          </c:spPr>
          <c:marker>
            <c:symbol val="none"/>
          </c:marker>
          <c:cat>
            <c:strRef>
              <c:f>'Strip Pricing'!$A$16:$A$19</c:f>
              <c:strCache>
                <c:ptCount val="4"/>
                <c:pt idx="0">
                  <c:v>Abram ASP</c:v>
                </c:pt>
                <c:pt idx="1">
                  <c:v>Distribution Cost</c:v>
                </c:pt>
                <c:pt idx="2">
                  <c:v>Shipping Cost</c:v>
                </c:pt>
                <c:pt idx="3">
                  <c:v>Clinic ASP</c:v>
                </c:pt>
              </c:strCache>
            </c:strRef>
          </c:cat>
          <c:val>
            <c:numRef>
              <c:f>'Strip Pricing'!$E$16:$E$19</c:f>
              <c:numCache>
                <c:formatCode>General</c:formatCode>
                <c:ptCount val="4"/>
                <c:pt idx="0">
                  <c:v>3.5</c:v>
                </c:pt>
                <c:pt idx="1">
                  <c:v>3.5</c:v>
                </c:pt>
              </c:numCache>
            </c:numRef>
          </c:val>
          <c:smooth val="0"/>
        </c:ser>
        <c:ser>
          <c:idx val="4"/>
          <c:order val="4"/>
          <c:spPr>
            <a:ln w="3175">
              <a:solidFill>
                <a:sysClr val="windowText" lastClr="000000"/>
              </a:solidFill>
              <a:prstDash val="sysDash"/>
            </a:ln>
          </c:spPr>
          <c:marker>
            <c:symbol val="none"/>
          </c:marker>
          <c:cat>
            <c:strRef>
              <c:f>'Strip Pricing'!$A$16:$A$19</c:f>
              <c:strCache>
                <c:ptCount val="4"/>
                <c:pt idx="0">
                  <c:v>Abram ASP</c:v>
                </c:pt>
                <c:pt idx="1">
                  <c:v>Distribution Cost</c:v>
                </c:pt>
                <c:pt idx="2">
                  <c:v>Shipping Cost</c:v>
                </c:pt>
                <c:pt idx="3">
                  <c:v>Clinic ASP</c:v>
                </c:pt>
              </c:strCache>
            </c:strRef>
          </c:cat>
          <c:val>
            <c:numRef>
              <c:f>'Strip Pricing'!$F$16:$F$19</c:f>
              <c:numCache>
                <c:formatCode>General</c:formatCode>
                <c:ptCount val="4"/>
                <c:pt idx="1">
                  <c:v>4.55</c:v>
                </c:pt>
                <c:pt idx="2">
                  <c:v>4.55</c:v>
                </c:pt>
              </c:numCache>
            </c:numRef>
          </c:val>
          <c:smooth val="0"/>
        </c:ser>
        <c:ser>
          <c:idx val="5"/>
          <c:order val="5"/>
          <c:spPr>
            <a:ln w="3175">
              <a:solidFill>
                <a:sysClr val="windowText" lastClr="000000"/>
              </a:solidFill>
              <a:prstDash val="sysDash"/>
            </a:ln>
          </c:spPr>
          <c:marker>
            <c:symbol val="none"/>
          </c:marker>
          <c:cat>
            <c:strRef>
              <c:f>'Strip Pricing'!$A$16:$A$19</c:f>
              <c:strCache>
                <c:ptCount val="4"/>
                <c:pt idx="0">
                  <c:v>Abram ASP</c:v>
                </c:pt>
                <c:pt idx="1">
                  <c:v>Distribution Cost</c:v>
                </c:pt>
                <c:pt idx="2">
                  <c:v>Shipping Cost</c:v>
                </c:pt>
                <c:pt idx="3">
                  <c:v>Clinic ASP</c:v>
                </c:pt>
              </c:strCache>
            </c:strRef>
          </c:cat>
          <c:val>
            <c:numRef>
              <c:f>'Strip Pricing'!$G$16:$G$19</c:f>
              <c:numCache>
                <c:formatCode>General</c:formatCode>
                <c:ptCount val="4"/>
                <c:pt idx="2">
                  <c:v>4.7249999999999996</c:v>
                </c:pt>
                <c:pt idx="3">
                  <c:v>4.7249999999999996</c:v>
                </c:pt>
              </c:numCache>
            </c:numRef>
          </c:val>
          <c:smooth val="0"/>
        </c:ser>
        <c:ser>
          <c:idx val="6"/>
          <c:order val="6"/>
          <c:spPr>
            <a:ln w="3175">
              <a:solidFill>
                <a:sysClr val="windowText" lastClr="000000"/>
              </a:solidFill>
              <a:prstDash val="sysDash"/>
            </a:ln>
          </c:spPr>
          <c:marker>
            <c:symbol val="none"/>
          </c:marker>
          <c:cat>
            <c:strRef>
              <c:f>'Strip Pricing'!$A$5:$A$8</c:f>
              <c:strCache>
                <c:ptCount val="4"/>
                <c:pt idx="0">
                  <c:v>Abram ASP</c:v>
                </c:pt>
                <c:pt idx="1">
                  <c:v>Distribution Cost</c:v>
                </c:pt>
                <c:pt idx="2">
                  <c:v>Shipping Cost</c:v>
                </c:pt>
                <c:pt idx="3">
                  <c:v>Clinic ASP</c:v>
                </c:pt>
              </c:strCache>
            </c:strRef>
          </c:cat>
          <c:val>
            <c:numRef>
              <c:f>'Waterfall Chart'!#REF!</c:f>
              <c:numCache>
                <c:formatCode>General</c:formatCode>
                <c:ptCount val="1"/>
                <c:pt idx="0">
                  <c:v>1</c:v>
                </c:pt>
              </c:numCache>
            </c:numRef>
          </c:val>
          <c:smooth val="0"/>
        </c:ser>
        <c:dLbls>
          <c:showLegendKey val="0"/>
          <c:showVal val="0"/>
          <c:showCatName val="0"/>
          <c:showSerName val="0"/>
          <c:showPercent val="0"/>
          <c:showBubbleSize val="0"/>
        </c:dLbls>
        <c:marker val="1"/>
        <c:smooth val="0"/>
        <c:axId val="200339840"/>
        <c:axId val="200341376"/>
      </c:lineChart>
      <c:catAx>
        <c:axId val="200339840"/>
        <c:scaling>
          <c:orientation val="minMax"/>
        </c:scaling>
        <c:delete val="0"/>
        <c:axPos val="b"/>
        <c:numFmt formatCode="#,##0_);[Red]\(#,##0\)" sourceLinked="1"/>
        <c:majorTickMark val="out"/>
        <c:minorTickMark val="none"/>
        <c:tickLblPos val="nextTo"/>
        <c:txPr>
          <a:bodyPr/>
          <a:lstStyle/>
          <a:p>
            <a:pPr>
              <a:defRPr lang="en-US"/>
            </a:pPr>
            <a:endParaRPr lang="en-US"/>
          </a:p>
        </c:txPr>
        <c:crossAx val="200341376"/>
        <c:crosses val="autoZero"/>
        <c:auto val="1"/>
        <c:lblAlgn val="ctr"/>
        <c:lblOffset val="100"/>
        <c:noMultiLvlLbl val="0"/>
      </c:catAx>
      <c:valAx>
        <c:axId val="200341376"/>
        <c:scaling>
          <c:orientation val="minMax"/>
          <c:max val="14"/>
        </c:scaling>
        <c:delete val="0"/>
        <c:axPos val="l"/>
        <c:numFmt formatCode="General" sourceLinked="1"/>
        <c:majorTickMark val="out"/>
        <c:minorTickMark val="none"/>
        <c:tickLblPos val="nextTo"/>
        <c:txPr>
          <a:bodyPr/>
          <a:lstStyle/>
          <a:p>
            <a:pPr>
              <a:defRPr lang="en-US"/>
            </a:pPr>
            <a:endParaRPr lang="en-US"/>
          </a:p>
        </c:txPr>
        <c:crossAx val="200339840"/>
        <c:crosses val="autoZero"/>
        <c:crossBetween val="between"/>
      </c:valAx>
    </c:plotArea>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INReady - Meter</a:t>
            </a:r>
          </a:p>
        </c:rich>
      </c:tx>
      <c:overlay val="1"/>
    </c:title>
    <c:autoTitleDeleted val="0"/>
    <c:plotArea>
      <c:layout/>
      <c:barChart>
        <c:barDir val="col"/>
        <c:grouping val="stacked"/>
        <c:varyColors val="0"/>
        <c:ser>
          <c:idx val="0"/>
          <c:order val="0"/>
          <c:spPr>
            <a:noFill/>
            <a:ln>
              <a:noFill/>
            </a:ln>
          </c:spPr>
          <c:invertIfNegative val="0"/>
          <c:cat>
            <c:strRef>
              <c:f>'Meter Pricing'!$A$5:$A$8</c:f>
              <c:strCache>
                <c:ptCount val="4"/>
                <c:pt idx="0">
                  <c:v>Abram ASP</c:v>
                </c:pt>
                <c:pt idx="1">
                  <c:v>Distribution Cost</c:v>
                </c:pt>
                <c:pt idx="2">
                  <c:v>Shipping Cost</c:v>
                </c:pt>
                <c:pt idx="3">
                  <c:v>Clinic ASP</c:v>
                </c:pt>
              </c:strCache>
            </c:strRef>
          </c:cat>
          <c:val>
            <c:numRef>
              <c:f>'Meter Pricing'!$B$5:$B$8</c:f>
              <c:numCache>
                <c:formatCode>General</c:formatCode>
                <c:ptCount val="4"/>
                <c:pt idx="1">
                  <c:v>200</c:v>
                </c:pt>
                <c:pt idx="2">
                  <c:v>260</c:v>
                </c:pt>
              </c:numCache>
            </c:numRef>
          </c:val>
        </c:ser>
        <c:ser>
          <c:idx val="1"/>
          <c:order val="1"/>
          <c:spPr>
            <a:solidFill>
              <a:srgbClr val="1F497D">
                <a:lumMod val="40000"/>
                <a:lumOff val="60000"/>
              </a:srgbClr>
            </a:solidFill>
            <a:ln w="3175">
              <a:solidFill>
                <a:sysClr val="windowText" lastClr="000000"/>
              </a:solidFill>
            </a:ln>
          </c:spPr>
          <c:invertIfNegative val="0"/>
          <c:dLbls>
            <c:dLbl>
              <c:idx val="0"/>
              <c:layout>
                <c:manualLayout>
                  <c:x val="8.9622943473529896E-6"/>
                  <c:y val="-0.24840347542764124"/>
                </c:manualLayout>
              </c:layout>
              <c:showLegendKey val="0"/>
              <c:showVal val="1"/>
              <c:showCatName val="0"/>
              <c:showSerName val="0"/>
              <c:showPercent val="0"/>
              <c:showBubbleSize val="0"/>
            </c:dLbl>
            <c:dLbl>
              <c:idx val="1"/>
              <c:layout>
                <c:manualLayout>
                  <c:x val="-1.8290396627250947E-7"/>
                  <c:y val="-0.10057471264367816"/>
                </c:manualLayout>
              </c:layout>
              <c:showLegendKey val="0"/>
              <c:showVal val="1"/>
              <c:showCatName val="0"/>
              <c:showSerName val="0"/>
              <c:showPercent val="0"/>
              <c:showBubbleSize val="0"/>
            </c:dLbl>
            <c:dLbl>
              <c:idx val="2"/>
              <c:layout>
                <c:manualLayout>
                  <c:x val="0"/>
                  <c:y val="-5.20436238573629E-2"/>
                </c:manualLayout>
              </c:layout>
              <c:showLegendKey val="0"/>
              <c:showVal val="1"/>
              <c:showCatName val="0"/>
              <c:showSerName val="0"/>
              <c:showPercent val="0"/>
              <c:showBubbleSize val="0"/>
            </c:dLbl>
            <c:dLbl>
              <c:idx val="3"/>
              <c:layout>
                <c:manualLayout>
                  <c:x val="0"/>
                  <c:y val="-0.31082360394606029"/>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'Meter Pricing'!$A$5:$A$8</c:f>
              <c:strCache>
                <c:ptCount val="4"/>
                <c:pt idx="0">
                  <c:v>Abram ASP</c:v>
                </c:pt>
                <c:pt idx="1">
                  <c:v>Distribution Cost</c:v>
                </c:pt>
                <c:pt idx="2">
                  <c:v>Shipping Cost</c:v>
                </c:pt>
                <c:pt idx="3">
                  <c:v>Clinic ASP</c:v>
                </c:pt>
              </c:strCache>
            </c:strRef>
          </c:cat>
          <c:val>
            <c:numRef>
              <c:f>'Meter Pricing'!$C$5:$C$8</c:f>
              <c:numCache>
                <c:formatCode>_("$"* #,##0.00_);_("$"* \(#,##0.00\);_("$"* "-"??_);_(@_)</c:formatCode>
                <c:ptCount val="4"/>
                <c:pt idx="0">
                  <c:v>200</c:v>
                </c:pt>
                <c:pt idx="1">
                  <c:v>60</c:v>
                </c:pt>
                <c:pt idx="2">
                  <c:v>10</c:v>
                </c:pt>
                <c:pt idx="3">
                  <c:v>270</c:v>
                </c:pt>
              </c:numCache>
            </c:numRef>
          </c:val>
        </c:ser>
        <c:ser>
          <c:idx val="2"/>
          <c:order val="2"/>
          <c:spPr>
            <a:noFill/>
            <a:ln>
              <a:noFill/>
            </a:ln>
          </c:spPr>
          <c:invertIfNegative val="0"/>
          <c:cat>
            <c:strRef>
              <c:f>'Meter Pricing'!$A$5:$A$8</c:f>
              <c:strCache>
                <c:ptCount val="4"/>
                <c:pt idx="0">
                  <c:v>Abram ASP</c:v>
                </c:pt>
                <c:pt idx="1">
                  <c:v>Distribution Cost</c:v>
                </c:pt>
                <c:pt idx="2">
                  <c:v>Shipping Cost</c:v>
                </c:pt>
                <c:pt idx="3">
                  <c:v>Clinic ASP</c:v>
                </c:pt>
              </c:strCache>
            </c:strRef>
          </c:cat>
          <c:val>
            <c:numRef>
              <c:f>'Meter Pricing'!$D$5:$D$8</c:f>
              <c:numCache>
                <c:formatCode>General</c:formatCode>
                <c:ptCount val="4"/>
                <c:pt idx="0">
                  <c:v>10</c:v>
                </c:pt>
                <c:pt idx="1">
                  <c:v>10</c:v>
                </c:pt>
                <c:pt idx="2">
                  <c:v>10</c:v>
                </c:pt>
                <c:pt idx="3">
                  <c:v>10</c:v>
                </c:pt>
              </c:numCache>
            </c:numRef>
          </c:val>
        </c:ser>
        <c:dLbls>
          <c:showLegendKey val="0"/>
          <c:showVal val="0"/>
          <c:showCatName val="0"/>
          <c:showSerName val="0"/>
          <c:showPercent val="0"/>
          <c:showBubbleSize val="0"/>
        </c:dLbls>
        <c:gapWidth val="150"/>
        <c:overlap val="100"/>
        <c:axId val="200039424"/>
        <c:axId val="200057600"/>
      </c:barChart>
      <c:lineChart>
        <c:grouping val="standard"/>
        <c:varyColors val="0"/>
        <c:ser>
          <c:idx val="3"/>
          <c:order val="3"/>
          <c:spPr>
            <a:ln w="3175">
              <a:solidFill>
                <a:sysClr val="windowText" lastClr="000000"/>
              </a:solidFill>
              <a:prstDash val="sysDash"/>
            </a:ln>
          </c:spPr>
          <c:marker>
            <c:symbol val="none"/>
          </c:marker>
          <c:cat>
            <c:strRef>
              <c:f>'Meter Pricing'!$A$5:$A$8</c:f>
              <c:strCache>
                <c:ptCount val="4"/>
                <c:pt idx="0">
                  <c:v>Abram ASP</c:v>
                </c:pt>
                <c:pt idx="1">
                  <c:v>Distribution Cost</c:v>
                </c:pt>
                <c:pt idx="2">
                  <c:v>Shipping Cost</c:v>
                </c:pt>
                <c:pt idx="3">
                  <c:v>Clinic ASP</c:v>
                </c:pt>
              </c:strCache>
            </c:strRef>
          </c:cat>
          <c:val>
            <c:numRef>
              <c:f>'Meter Pricing'!$E$5:$E$8</c:f>
              <c:numCache>
                <c:formatCode>General</c:formatCode>
                <c:ptCount val="4"/>
                <c:pt idx="0">
                  <c:v>200</c:v>
                </c:pt>
                <c:pt idx="1">
                  <c:v>200</c:v>
                </c:pt>
              </c:numCache>
            </c:numRef>
          </c:val>
          <c:smooth val="0"/>
        </c:ser>
        <c:ser>
          <c:idx val="4"/>
          <c:order val="4"/>
          <c:spPr>
            <a:ln w="3175">
              <a:solidFill>
                <a:sysClr val="windowText" lastClr="000000"/>
              </a:solidFill>
              <a:prstDash val="sysDash"/>
            </a:ln>
          </c:spPr>
          <c:marker>
            <c:symbol val="none"/>
          </c:marker>
          <c:cat>
            <c:strRef>
              <c:f>'Meter Pricing'!$A$5:$A$8</c:f>
              <c:strCache>
                <c:ptCount val="4"/>
                <c:pt idx="0">
                  <c:v>Abram ASP</c:v>
                </c:pt>
                <c:pt idx="1">
                  <c:v>Distribution Cost</c:v>
                </c:pt>
                <c:pt idx="2">
                  <c:v>Shipping Cost</c:v>
                </c:pt>
                <c:pt idx="3">
                  <c:v>Clinic ASP</c:v>
                </c:pt>
              </c:strCache>
            </c:strRef>
          </c:cat>
          <c:val>
            <c:numRef>
              <c:f>'Meter Pricing'!$F$5:$F$8</c:f>
              <c:numCache>
                <c:formatCode>General</c:formatCode>
                <c:ptCount val="4"/>
                <c:pt idx="1">
                  <c:v>260</c:v>
                </c:pt>
                <c:pt idx="2">
                  <c:v>260</c:v>
                </c:pt>
              </c:numCache>
            </c:numRef>
          </c:val>
          <c:smooth val="0"/>
        </c:ser>
        <c:ser>
          <c:idx val="5"/>
          <c:order val="5"/>
          <c:spPr>
            <a:ln w="3175">
              <a:solidFill>
                <a:sysClr val="windowText" lastClr="000000"/>
              </a:solidFill>
              <a:prstDash val="sysDash"/>
            </a:ln>
          </c:spPr>
          <c:marker>
            <c:symbol val="none"/>
          </c:marker>
          <c:cat>
            <c:strRef>
              <c:f>'Meter Pricing'!$A$5:$A$8</c:f>
              <c:strCache>
                <c:ptCount val="4"/>
                <c:pt idx="0">
                  <c:v>Abram ASP</c:v>
                </c:pt>
                <c:pt idx="1">
                  <c:v>Distribution Cost</c:v>
                </c:pt>
                <c:pt idx="2">
                  <c:v>Shipping Cost</c:v>
                </c:pt>
                <c:pt idx="3">
                  <c:v>Clinic ASP</c:v>
                </c:pt>
              </c:strCache>
            </c:strRef>
          </c:cat>
          <c:val>
            <c:numRef>
              <c:f>'Meter Pricing'!$G$5:$G$8</c:f>
              <c:numCache>
                <c:formatCode>General</c:formatCode>
                <c:ptCount val="4"/>
                <c:pt idx="2">
                  <c:v>270</c:v>
                </c:pt>
                <c:pt idx="3">
                  <c:v>270</c:v>
                </c:pt>
              </c:numCache>
            </c:numRef>
          </c:val>
          <c:smooth val="0"/>
        </c:ser>
        <c:ser>
          <c:idx val="6"/>
          <c:order val="6"/>
          <c:spPr>
            <a:ln w="3175">
              <a:solidFill>
                <a:sysClr val="windowText" lastClr="000000"/>
              </a:solidFill>
              <a:prstDash val="sysDash"/>
            </a:ln>
          </c:spPr>
          <c:marker>
            <c:symbol val="none"/>
          </c:marker>
          <c:cat>
            <c:strRef>
              <c:f>'Meter Pricing'!$A$5:$A$8</c:f>
              <c:strCache>
                <c:ptCount val="4"/>
                <c:pt idx="0">
                  <c:v>Abram ASP</c:v>
                </c:pt>
                <c:pt idx="1">
                  <c:v>Distribution Cost</c:v>
                </c:pt>
                <c:pt idx="2">
                  <c:v>Shipping Cost</c:v>
                </c:pt>
                <c:pt idx="3">
                  <c:v>Clinic ASP</c:v>
                </c:pt>
              </c:strCache>
            </c:strRef>
          </c:cat>
          <c:val>
            <c:numRef>
              <c:f>'Waterfall Chart'!#REF!</c:f>
              <c:numCache>
                <c:formatCode>General</c:formatCode>
                <c:ptCount val="1"/>
                <c:pt idx="0">
                  <c:v>1</c:v>
                </c:pt>
              </c:numCache>
            </c:numRef>
          </c:val>
          <c:smooth val="0"/>
        </c:ser>
        <c:dLbls>
          <c:showLegendKey val="0"/>
          <c:showVal val="0"/>
          <c:showCatName val="0"/>
          <c:showSerName val="0"/>
          <c:showPercent val="0"/>
          <c:showBubbleSize val="0"/>
        </c:dLbls>
        <c:marker val="1"/>
        <c:smooth val="0"/>
        <c:axId val="200039424"/>
        <c:axId val="200057600"/>
      </c:lineChart>
      <c:catAx>
        <c:axId val="200039424"/>
        <c:scaling>
          <c:orientation val="minMax"/>
        </c:scaling>
        <c:delete val="0"/>
        <c:axPos val="b"/>
        <c:numFmt formatCode="#,##0_);[Red]\(#,##0\)" sourceLinked="1"/>
        <c:majorTickMark val="out"/>
        <c:minorTickMark val="none"/>
        <c:tickLblPos val="nextTo"/>
        <c:txPr>
          <a:bodyPr/>
          <a:lstStyle/>
          <a:p>
            <a:pPr>
              <a:defRPr lang="en-US"/>
            </a:pPr>
            <a:endParaRPr lang="en-US"/>
          </a:p>
        </c:txPr>
        <c:crossAx val="200057600"/>
        <c:crosses val="autoZero"/>
        <c:auto val="1"/>
        <c:lblAlgn val="ctr"/>
        <c:lblOffset val="100"/>
        <c:noMultiLvlLbl val="0"/>
      </c:catAx>
      <c:valAx>
        <c:axId val="200057600"/>
        <c:scaling>
          <c:orientation val="minMax"/>
          <c:max val="400"/>
        </c:scaling>
        <c:delete val="0"/>
        <c:axPos val="l"/>
        <c:numFmt formatCode="General" sourceLinked="1"/>
        <c:majorTickMark val="out"/>
        <c:minorTickMark val="none"/>
        <c:tickLblPos val="nextTo"/>
        <c:txPr>
          <a:bodyPr/>
          <a:lstStyle/>
          <a:p>
            <a:pPr>
              <a:defRPr lang="en-US"/>
            </a:pPr>
            <a:endParaRPr lang="en-US"/>
          </a:p>
        </c:txPr>
        <c:crossAx val="200039424"/>
        <c:crosses val="autoZero"/>
        <c:crossBetween val="between"/>
      </c:valAx>
    </c:plotArea>
    <c:plotVisOnly val="1"/>
    <c:dispBlanksAs val="gap"/>
    <c:showDLblsOverMax val="0"/>
  </c:chart>
  <c:printSettings>
    <c:headerFooter/>
    <c:pageMargins b="0.75000000000000244" l="0.70000000000000062" r="0.70000000000000062" t="0.75000000000000244"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PROPOSED</c:v>
          </c:tx>
          <c:invertIfNegative val="0"/>
          <c:cat>
            <c:strRef>
              <c:f>'Clinic CashFlow Analysis'!$N$4:$P$4</c:f>
              <c:strCache>
                <c:ptCount val="3"/>
                <c:pt idx="0">
                  <c:v>YEAR 1</c:v>
                </c:pt>
                <c:pt idx="1">
                  <c:v>YEAR 2</c:v>
                </c:pt>
                <c:pt idx="2">
                  <c:v>YEAR 3</c:v>
                </c:pt>
              </c:strCache>
            </c:strRef>
          </c:cat>
          <c:val>
            <c:numRef>
              <c:f>'Clinic CashFlow Analysis'!$N$6:$P$6</c:f>
              <c:numCache>
                <c:formatCode>_("$"* #,##0.00_);_("$"* \(#,##0.00\);_("$"* "-"??_);_(@_)</c:formatCode>
                <c:ptCount val="3"/>
                <c:pt idx="0">
                  <c:v>0</c:v>
                </c:pt>
                <c:pt idx="1">
                  <c:v>94568.336000000127</c:v>
                </c:pt>
                <c:pt idx="2">
                  <c:v>296105.47200000013</c:v>
                </c:pt>
              </c:numCache>
            </c:numRef>
          </c:val>
        </c:ser>
        <c:dLbls>
          <c:showLegendKey val="0"/>
          <c:showVal val="0"/>
          <c:showCatName val="0"/>
          <c:showSerName val="0"/>
          <c:showPercent val="0"/>
          <c:showBubbleSize val="0"/>
        </c:dLbls>
        <c:gapWidth val="150"/>
        <c:axId val="200913664"/>
        <c:axId val="200915200"/>
      </c:barChart>
      <c:catAx>
        <c:axId val="200913664"/>
        <c:scaling>
          <c:orientation val="minMax"/>
        </c:scaling>
        <c:delete val="0"/>
        <c:axPos val="b"/>
        <c:numFmt formatCode="#,##0_);[Red]\(#,##0\)" sourceLinked="1"/>
        <c:majorTickMark val="out"/>
        <c:minorTickMark val="none"/>
        <c:tickLblPos val="nextTo"/>
        <c:crossAx val="200915200"/>
        <c:crosses val="autoZero"/>
        <c:auto val="1"/>
        <c:lblAlgn val="ctr"/>
        <c:lblOffset val="100"/>
        <c:noMultiLvlLbl val="0"/>
      </c:catAx>
      <c:valAx>
        <c:axId val="200915200"/>
        <c:scaling>
          <c:orientation val="minMax"/>
          <c:max val="800000"/>
        </c:scaling>
        <c:delete val="0"/>
        <c:axPos val="l"/>
        <c:majorGridlines/>
        <c:numFmt formatCode="_(&quot;$&quot;* #,##0.00_);_(&quot;$&quot;* \(#,##0.00\);_(&quot;$&quot;* &quot;-&quot;??_);_(@_)" sourceLinked="1"/>
        <c:majorTickMark val="out"/>
        <c:minorTickMark val="none"/>
        <c:tickLblPos val="nextTo"/>
        <c:crossAx val="200913664"/>
        <c:crosses val="autoZero"/>
        <c:crossBetween val="between"/>
      </c:valAx>
    </c:plotArea>
    <c:legend>
      <c:legendPos val="r"/>
      <c:overlay val="0"/>
    </c:legend>
    <c:plotVisOnly val="1"/>
    <c:dispBlanksAs val="gap"/>
    <c:showDLblsOverMax val="0"/>
  </c:chart>
  <c:printSettings>
    <c:headerFooter/>
    <c:pageMargins b="0.75000000000000266" l="0.70000000000000062" r="0.70000000000000062" t="0.75000000000000266"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5042</xdr:colOff>
      <xdr:row>8</xdr:row>
      <xdr:rowOff>22974</xdr:rowOff>
    </xdr:from>
    <xdr:to>
      <xdr:col>10</xdr:col>
      <xdr:colOff>899272</xdr:colOff>
      <xdr:row>21</xdr:row>
      <xdr:rowOff>144558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5041</xdr:colOff>
      <xdr:row>21</xdr:row>
      <xdr:rowOff>155762</xdr:rowOff>
    </xdr:from>
    <xdr:to>
      <xdr:col>10</xdr:col>
      <xdr:colOff>899271</xdr:colOff>
      <xdr:row>35</xdr:row>
      <xdr:rowOff>79001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9525</xdr:colOff>
      <xdr:row>26</xdr:row>
      <xdr:rowOff>9525</xdr:rowOff>
    </xdr:from>
    <xdr:to>
      <xdr:col>15</xdr:col>
      <xdr:colOff>19050</xdr:colOff>
      <xdr:row>42</xdr:row>
      <xdr:rowOff>0</xdr:rowOff>
    </xdr:to>
    <xdr:pic>
      <xdr:nvPicPr>
        <xdr:cNvPr id="5"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8763000" y="5467350"/>
          <a:ext cx="6924675" cy="5133975"/>
        </a:xfrm>
        <a:prstGeom prst="rect">
          <a:avLst/>
        </a:prstGeom>
        <a:noFill/>
      </xdr:spPr>
    </xdr:pic>
    <xdr:clientData/>
  </xdr:twoCellAnchor>
  <xdr:twoCellAnchor>
    <xdr:from>
      <xdr:col>0</xdr:col>
      <xdr:colOff>0</xdr:colOff>
      <xdr:row>24</xdr:row>
      <xdr:rowOff>38100</xdr:rowOff>
    </xdr:from>
    <xdr:to>
      <xdr:col>1</xdr:col>
      <xdr:colOff>647700</xdr:colOff>
      <xdr:row>37</xdr:row>
      <xdr:rowOff>123825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647700</xdr:colOff>
      <xdr:row>24</xdr:row>
      <xdr:rowOff>38100</xdr:rowOff>
    </xdr:from>
    <xdr:to>
      <xdr:col>6</xdr:col>
      <xdr:colOff>0</xdr:colOff>
      <xdr:row>37</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9525</xdr:colOff>
      <xdr:row>0</xdr:row>
      <xdr:rowOff>219076</xdr:rowOff>
    </xdr:from>
    <xdr:to>
      <xdr:col>15</xdr:col>
      <xdr:colOff>676275</xdr:colOff>
      <xdr:row>11</xdr:row>
      <xdr:rowOff>1</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9525</xdr:colOff>
      <xdr:row>11</xdr:row>
      <xdr:rowOff>0</xdr:rowOff>
    </xdr:from>
    <xdr:to>
      <xdr:col>15</xdr:col>
      <xdr:colOff>676275</xdr:colOff>
      <xdr:row>22</xdr:row>
      <xdr:rowOff>95250</xdr:rowOff>
    </xdr:to>
    <xdr:graphicFrame macro="">
      <xdr:nvGraphicFramePr>
        <xdr:cNvPr id="4"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9525</xdr:colOff>
      <xdr:row>0</xdr:row>
      <xdr:rowOff>219076</xdr:rowOff>
    </xdr:from>
    <xdr:to>
      <xdr:col>15</xdr:col>
      <xdr:colOff>676275</xdr:colOff>
      <xdr:row>11</xdr:row>
      <xdr:rowOff>1</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31750</xdr:colOff>
      <xdr:row>1</xdr:row>
      <xdr:rowOff>349250</xdr:rowOff>
    </xdr:from>
    <xdr:to>
      <xdr:col>26</xdr:col>
      <xdr:colOff>84666</xdr:colOff>
      <xdr:row>16</xdr:row>
      <xdr:rowOff>10583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ori/AppData/Local/Temp/ABSi%20Bus%20Plan%20Rev%20A%20053114_AR-Projec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ori/AppData/Local/Temp/ABSi%20Bus%20Plan%20Rev%20B%2006081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nori/AppData/Local/Temp/ABSi%20Bus%20Plan%20Rev%20A%20053114%20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Cash Flow"/>
      <sheetName val="P&amp;L"/>
      <sheetName val="All Spend"/>
      <sheetName val="G&amp;A"/>
      <sheetName val="S&amp;M"/>
      <sheetName val="Develop"/>
      <sheetName val="Factory"/>
      <sheetName val="Rev &amp; COGS"/>
      <sheetName val="Production"/>
      <sheetName val="CAPEX"/>
      <sheetName val="BS Support"/>
      <sheetName val="Raw Material Pricing"/>
      <sheetName val="Sales &amp; Marketing"/>
      <sheetName val="Sales Projec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5">
          <cell r="B5">
            <v>0</v>
          </cell>
          <cell r="C5">
            <v>0.35</v>
          </cell>
          <cell r="E5">
            <v>0</v>
          </cell>
          <cell r="F5">
            <v>500</v>
          </cell>
          <cell r="G5">
            <v>0.3</v>
          </cell>
          <cell r="I5">
            <v>0</v>
          </cell>
          <cell r="J5">
            <v>0.68</v>
          </cell>
          <cell r="L5">
            <v>0</v>
          </cell>
          <cell r="M5">
            <v>0.05</v>
          </cell>
          <cell r="O5">
            <v>0</v>
          </cell>
          <cell r="P5">
            <v>0.05</v>
          </cell>
        </row>
        <row r="6">
          <cell r="B6">
            <v>600</v>
          </cell>
          <cell r="C6">
            <v>0.13</v>
          </cell>
          <cell r="E6">
            <v>5000</v>
          </cell>
          <cell r="F6">
            <v>500</v>
          </cell>
          <cell r="G6">
            <v>0.3</v>
          </cell>
          <cell r="I6">
            <v>5000</v>
          </cell>
          <cell r="J6">
            <v>0.68</v>
          </cell>
          <cell r="L6">
            <v>5000</v>
          </cell>
          <cell r="M6">
            <v>0.05</v>
          </cell>
          <cell r="O6">
            <v>5000</v>
          </cell>
          <cell r="P6">
            <v>0.05</v>
          </cell>
        </row>
        <row r="7">
          <cell r="B7">
            <v>2000</v>
          </cell>
          <cell r="C7">
            <v>0.08</v>
          </cell>
          <cell r="E7">
            <v>10000</v>
          </cell>
          <cell r="F7">
            <v>500</v>
          </cell>
          <cell r="G7">
            <v>0.3</v>
          </cell>
          <cell r="I7">
            <v>10000</v>
          </cell>
          <cell r="J7">
            <v>0.68</v>
          </cell>
          <cell r="L7">
            <v>10000</v>
          </cell>
          <cell r="M7">
            <v>0.05</v>
          </cell>
          <cell r="O7">
            <v>10000</v>
          </cell>
          <cell r="P7">
            <v>0.05</v>
          </cell>
        </row>
        <row r="8">
          <cell r="B8">
            <v>5000</v>
          </cell>
          <cell r="C8">
            <v>0.05</v>
          </cell>
          <cell r="E8">
            <v>20000</v>
          </cell>
          <cell r="F8">
            <v>500</v>
          </cell>
          <cell r="G8">
            <v>0.3</v>
          </cell>
          <cell r="I8">
            <v>20000</v>
          </cell>
          <cell r="J8">
            <v>0.68</v>
          </cell>
          <cell r="L8">
            <v>20000</v>
          </cell>
          <cell r="M8">
            <v>0.05</v>
          </cell>
          <cell r="O8">
            <v>20000</v>
          </cell>
          <cell r="P8">
            <v>0.05</v>
          </cell>
        </row>
        <row r="9">
          <cell r="B9">
            <v>10000</v>
          </cell>
          <cell r="C9">
            <v>0.05</v>
          </cell>
          <cell r="E9">
            <v>30000</v>
          </cell>
          <cell r="F9">
            <v>500</v>
          </cell>
          <cell r="G9">
            <v>0.3</v>
          </cell>
          <cell r="I9">
            <v>30000</v>
          </cell>
          <cell r="J9">
            <v>0.68</v>
          </cell>
          <cell r="L9">
            <v>30000</v>
          </cell>
          <cell r="M9">
            <v>0.05</v>
          </cell>
          <cell r="O9">
            <v>30000</v>
          </cell>
          <cell r="P9">
            <v>0.05</v>
          </cell>
        </row>
        <row r="10">
          <cell r="B10">
            <v>15000</v>
          </cell>
          <cell r="C10">
            <v>0.05</v>
          </cell>
          <cell r="E10">
            <v>40000</v>
          </cell>
          <cell r="F10">
            <v>500</v>
          </cell>
          <cell r="G10">
            <v>0.3</v>
          </cell>
          <cell r="I10">
            <v>40000</v>
          </cell>
          <cell r="J10">
            <v>0.68</v>
          </cell>
          <cell r="L10">
            <v>40000</v>
          </cell>
          <cell r="M10">
            <v>0.05</v>
          </cell>
          <cell r="O10">
            <v>40000</v>
          </cell>
          <cell r="P10">
            <v>0.05</v>
          </cell>
        </row>
        <row r="11">
          <cell r="B11">
            <v>50000</v>
          </cell>
          <cell r="C11">
            <v>0.05</v>
          </cell>
          <cell r="E11">
            <v>50000</v>
          </cell>
          <cell r="F11">
            <v>500</v>
          </cell>
          <cell r="G11">
            <v>0.3</v>
          </cell>
          <cell r="I11">
            <v>50000</v>
          </cell>
          <cell r="J11">
            <v>0.68</v>
          </cell>
          <cell r="L11">
            <v>50000</v>
          </cell>
          <cell r="M11">
            <v>0.05</v>
          </cell>
          <cell r="O11">
            <v>50000</v>
          </cell>
          <cell r="P11">
            <v>0.05</v>
          </cell>
        </row>
        <row r="12">
          <cell r="B12">
            <v>9999999999</v>
          </cell>
          <cell r="C12">
            <v>99999</v>
          </cell>
          <cell r="E12">
            <v>9999999999</v>
          </cell>
          <cell r="F12">
            <v>500</v>
          </cell>
          <cell r="G12">
            <v>0.3</v>
          </cell>
          <cell r="I12">
            <v>9999999999</v>
          </cell>
          <cell r="J12">
            <v>0.68</v>
          </cell>
          <cell r="L12">
            <v>9999999999</v>
          </cell>
          <cell r="M12">
            <v>0.05</v>
          </cell>
          <cell r="O12">
            <v>9999999999</v>
          </cell>
          <cell r="P12">
            <v>0.05</v>
          </cell>
        </row>
      </sheetData>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Cash Flow"/>
      <sheetName val="P&amp;L"/>
      <sheetName val="All Spend"/>
      <sheetName val="G&amp;A"/>
      <sheetName val="S&amp;M"/>
      <sheetName val="Develop"/>
      <sheetName val="Factory"/>
      <sheetName val="Rev &amp; COGS"/>
      <sheetName val="Production"/>
      <sheetName val="CAPEX"/>
      <sheetName val="BS Support"/>
      <sheetName val="Raw Material Pricing"/>
      <sheetName val="Changes"/>
      <sheetName val="Sheet2"/>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5">
          <cell r="B5">
            <v>0</v>
          </cell>
          <cell r="C5">
            <v>0.35</v>
          </cell>
          <cell r="E5">
            <v>0</v>
          </cell>
          <cell r="F5">
            <v>500</v>
          </cell>
          <cell r="G5">
            <v>0.3</v>
          </cell>
          <cell r="I5">
            <v>0</v>
          </cell>
          <cell r="J5">
            <v>0.4</v>
          </cell>
          <cell r="L5">
            <v>0</v>
          </cell>
          <cell r="M5">
            <v>0.05</v>
          </cell>
          <cell r="O5">
            <v>0</v>
          </cell>
          <cell r="P5">
            <v>0.05</v>
          </cell>
        </row>
        <row r="6">
          <cell r="B6">
            <v>600</v>
          </cell>
          <cell r="C6">
            <v>0.13</v>
          </cell>
          <cell r="E6">
            <v>5000</v>
          </cell>
          <cell r="F6">
            <v>500</v>
          </cell>
          <cell r="G6">
            <v>0.3</v>
          </cell>
          <cell r="I6">
            <v>5000</v>
          </cell>
          <cell r="J6">
            <v>0.4</v>
          </cell>
          <cell r="L6">
            <v>5000</v>
          </cell>
          <cell r="M6">
            <v>0.05</v>
          </cell>
          <cell r="O6">
            <v>5000</v>
          </cell>
          <cell r="P6">
            <v>0.05</v>
          </cell>
        </row>
        <row r="7">
          <cell r="B7">
            <v>2000</v>
          </cell>
          <cell r="C7">
            <v>0.08</v>
          </cell>
          <cell r="E7">
            <v>10000</v>
          </cell>
          <cell r="F7">
            <v>500</v>
          </cell>
          <cell r="G7">
            <v>0.3</v>
          </cell>
          <cell r="I7">
            <v>10000</v>
          </cell>
          <cell r="J7">
            <v>0.4</v>
          </cell>
          <cell r="L7">
            <v>10000</v>
          </cell>
          <cell r="M7">
            <v>0.05</v>
          </cell>
          <cell r="O7">
            <v>10000</v>
          </cell>
          <cell r="P7">
            <v>0.05</v>
          </cell>
        </row>
        <row r="8">
          <cell r="B8">
            <v>5000</v>
          </cell>
          <cell r="C8">
            <v>0.05</v>
          </cell>
          <cell r="E8">
            <v>20000</v>
          </cell>
          <cell r="F8">
            <v>500</v>
          </cell>
          <cell r="G8">
            <v>0.3</v>
          </cell>
          <cell r="I8">
            <v>20000</v>
          </cell>
          <cell r="J8">
            <v>0.4</v>
          </cell>
          <cell r="L8">
            <v>20000</v>
          </cell>
          <cell r="M8">
            <v>0.05</v>
          </cell>
          <cell r="O8">
            <v>20000</v>
          </cell>
          <cell r="P8">
            <v>0.05</v>
          </cell>
        </row>
        <row r="9">
          <cell r="B9">
            <v>10000</v>
          </cell>
          <cell r="C9">
            <v>0.05</v>
          </cell>
          <cell r="E9">
            <v>30000</v>
          </cell>
          <cell r="F9">
            <v>500</v>
          </cell>
          <cell r="G9">
            <v>0.3</v>
          </cell>
          <cell r="I9">
            <v>30000</v>
          </cell>
          <cell r="J9">
            <v>0.4</v>
          </cell>
          <cell r="L9">
            <v>30000</v>
          </cell>
          <cell r="M9">
            <v>0.05</v>
          </cell>
          <cell r="O9">
            <v>30000</v>
          </cell>
          <cell r="P9">
            <v>0.05</v>
          </cell>
        </row>
        <row r="10">
          <cell r="B10">
            <v>15000</v>
          </cell>
          <cell r="C10">
            <v>0.05</v>
          </cell>
          <cell r="E10">
            <v>40000</v>
          </cell>
          <cell r="F10">
            <v>500</v>
          </cell>
          <cell r="G10">
            <v>0.3</v>
          </cell>
          <cell r="I10">
            <v>40000</v>
          </cell>
          <cell r="J10">
            <v>0.4</v>
          </cell>
          <cell r="L10">
            <v>40000</v>
          </cell>
          <cell r="M10">
            <v>0.05</v>
          </cell>
          <cell r="O10">
            <v>40000</v>
          </cell>
          <cell r="P10">
            <v>0.05</v>
          </cell>
        </row>
        <row r="11">
          <cell r="B11">
            <v>50000</v>
          </cell>
          <cell r="C11">
            <v>0.05</v>
          </cell>
          <cell r="E11">
            <v>50000</v>
          </cell>
          <cell r="F11">
            <v>500</v>
          </cell>
          <cell r="G11">
            <v>0.3</v>
          </cell>
          <cell r="I11">
            <v>50000</v>
          </cell>
          <cell r="J11">
            <v>0.4</v>
          </cell>
          <cell r="L11">
            <v>50000</v>
          </cell>
          <cell r="M11">
            <v>0.05</v>
          </cell>
          <cell r="O11">
            <v>50000</v>
          </cell>
          <cell r="P11">
            <v>0.05</v>
          </cell>
        </row>
        <row r="12">
          <cell r="B12">
            <v>9999999999</v>
          </cell>
          <cell r="C12">
            <v>99999</v>
          </cell>
          <cell r="E12">
            <v>9999999999</v>
          </cell>
          <cell r="F12">
            <v>500</v>
          </cell>
          <cell r="G12">
            <v>0.3</v>
          </cell>
          <cell r="I12">
            <v>9999999999</v>
          </cell>
          <cell r="J12">
            <v>0.4</v>
          </cell>
          <cell r="L12">
            <v>9999999999</v>
          </cell>
          <cell r="M12">
            <v>0.05</v>
          </cell>
          <cell r="O12">
            <v>9999999999</v>
          </cell>
          <cell r="P12">
            <v>0.05</v>
          </cell>
        </row>
      </sheetData>
      <sheetData sheetId="13"/>
      <sheetData sheetId="14"/>
      <sheetData sheetId="1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
      <sheetName val="Cash Flow"/>
      <sheetName val="P&amp;L"/>
      <sheetName val="All Spend"/>
      <sheetName val="G&amp;A"/>
      <sheetName val="S&amp;M"/>
      <sheetName val="Develop"/>
      <sheetName val="Factory"/>
      <sheetName val="Rev &amp; COGS"/>
      <sheetName val="Production"/>
      <sheetName val="Accel production schedule"/>
      <sheetName val="CAPEX"/>
      <sheetName val="BS Support"/>
      <sheetName val="Raw Material Pricing"/>
      <sheetName val="Sales Projections"/>
      <sheetName val="Sales &amp; Marke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5">
          <cell r="B5">
            <v>0</v>
          </cell>
          <cell r="C5">
            <v>0.35</v>
          </cell>
          <cell r="E5">
            <v>0</v>
          </cell>
          <cell r="F5">
            <v>500</v>
          </cell>
          <cell r="G5">
            <v>0.3</v>
          </cell>
          <cell r="I5">
            <v>0</v>
          </cell>
          <cell r="J5">
            <v>0.68</v>
          </cell>
          <cell r="L5">
            <v>0</v>
          </cell>
          <cell r="M5">
            <v>0.05</v>
          </cell>
          <cell r="O5">
            <v>0</v>
          </cell>
          <cell r="P5">
            <v>0.05</v>
          </cell>
        </row>
        <row r="6">
          <cell r="B6">
            <v>600</v>
          </cell>
          <cell r="C6">
            <v>0.13</v>
          </cell>
          <cell r="E6">
            <v>5000</v>
          </cell>
          <cell r="F6">
            <v>500</v>
          </cell>
          <cell r="G6">
            <v>0.3</v>
          </cell>
          <cell r="I6">
            <v>5000</v>
          </cell>
          <cell r="J6">
            <v>0.68</v>
          </cell>
          <cell r="L6">
            <v>5000</v>
          </cell>
          <cell r="M6">
            <v>0.05</v>
          </cell>
          <cell r="O6">
            <v>5000</v>
          </cell>
          <cell r="P6">
            <v>0.05</v>
          </cell>
        </row>
        <row r="7">
          <cell r="B7">
            <v>2000</v>
          </cell>
          <cell r="C7">
            <v>0.08</v>
          </cell>
          <cell r="E7">
            <v>10000</v>
          </cell>
          <cell r="F7">
            <v>500</v>
          </cell>
          <cell r="G7">
            <v>0.3</v>
          </cell>
          <cell r="I7">
            <v>10000</v>
          </cell>
          <cell r="J7">
            <v>0.68</v>
          </cell>
          <cell r="L7">
            <v>10000</v>
          </cell>
          <cell r="M7">
            <v>0.05</v>
          </cell>
          <cell r="O7">
            <v>10000</v>
          </cell>
          <cell r="P7">
            <v>0.05</v>
          </cell>
        </row>
        <row r="8">
          <cell r="B8">
            <v>5000</v>
          </cell>
          <cell r="C8">
            <v>0.05</v>
          </cell>
          <cell r="E8">
            <v>20000</v>
          </cell>
          <cell r="F8">
            <v>500</v>
          </cell>
          <cell r="G8">
            <v>0.3</v>
          </cell>
          <cell r="I8">
            <v>20000</v>
          </cell>
          <cell r="J8">
            <v>0.68</v>
          </cell>
          <cell r="L8">
            <v>20000</v>
          </cell>
          <cell r="M8">
            <v>0.05</v>
          </cell>
          <cell r="O8">
            <v>20000</v>
          </cell>
          <cell r="P8">
            <v>0.05</v>
          </cell>
        </row>
        <row r="9">
          <cell r="B9">
            <v>10000</v>
          </cell>
          <cell r="C9">
            <v>0.05</v>
          </cell>
          <cell r="E9">
            <v>30000</v>
          </cell>
          <cell r="F9">
            <v>500</v>
          </cell>
          <cell r="G9">
            <v>0.3</v>
          </cell>
          <cell r="I9">
            <v>30000</v>
          </cell>
          <cell r="J9">
            <v>0.68</v>
          </cell>
          <cell r="L9">
            <v>30000</v>
          </cell>
          <cell r="M9">
            <v>0.05</v>
          </cell>
          <cell r="O9">
            <v>30000</v>
          </cell>
          <cell r="P9">
            <v>0.05</v>
          </cell>
        </row>
        <row r="10">
          <cell r="B10">
            <v>15000</v>
          </cell>
          <cell r="C10">
            <v>0.05</v>
          </cell>
          <cell r="E10">
            <v>40000</v>
          </cell>
          <cell r="F10">
            <v>500</v>
          </cell>
          <cell r="G10">
            <v>0.3</v>
          </cell>
          <cell r="I10">
            <v>40000</v>
          </cell>
          <cell r="J10">
            <v>0.68</v>
          </cell>
          <cell r="L10">
            <v>40000</v>
          </cell>
          <cell r="M10">
            <v>0.05</v>
          </cell>
          <cell r="O10">
            <v>40000</v>
          </cell>
          <cell r="P10">
            <v>0.05</v>
          </cell>
        </row>
        <row r="11">
          <cell r="B11">
            <v>50000</v>
          </cell>
          <cell r="C11">
            <v>0.05</v>
          </cell>
          <cell r="E11">
            <v>50000</v>
          </cell>
          <cell r="F11">
            <v>500</v>
          </cell>
          <cell r="G11">
            <v>0.3</v>
          </cell>
          <cell r="I11">
            <v>50000</v>
          </cell>
          <cell r="J11">
            <v>0.68</v>
          </cell>
          <cell r="L11">
            <v>50000</v>
          </cell>
          <cell r="M11">
            <v>0.05</v>
          </cell>
          <cell r="O11">
            <v>50000</v>
          </cell>
          <cell r="P11">
            <v>0.05</v>
          </cell>
        </row>
        <row r="12">
          <cell r="B12">
            <v>9999999999</v>
          </cell>
          <cell r="C12">
            <v>99999</v>
          </cell>
          <cell r="E12">
            <v>9999999999</v>
          </cell>
          <cell r="F12">
            <v>500</v>
          </cell>
          <cell r="G12">
            <v>0.3</v>
          </cell>
          <cell r="I12">
            <v>9999999999</v>
          </cell>
          <cell r="J12">
            <v>0.68</v>
          </cell>
          <cell r="L12">
            <v>9999999999</v>
          </cell>
          <cell r="M12">
            <v>0.05</v>
          </cell>
          <cell r="O12">
            <v>9999999999</v>
          </cell>
          <cell r="P12">
            <v>0.05</v>
          </cell>
        </row>
      </sheetData>
      <sheetData sheetId="14" refreshError="1"/>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6.bin"/><Relationship Id="rId1" Type="http://schemas.openxmlformats.org/officeDocument/2006/relationships/hyperlink" Target="http://emed.icsl.washington.edu/d2h2/Slides/D2H2-06-Cotton.pdf,%20Pg.%2037"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E363"/>
  <sheetViews>
    <sheetView zoomScale="70" zoomScaleNormal="70" workbookViewId="0">
      <pane xSplit="2" ySplit="4" topLeftCell="C5" activePane="bottomRight" state="frozen"/>
      <selection activeCell="A5" sqref="A5:XFD363"/>
      <selection pane="topRight" activeCell="A5" sqref="A5:XFD363"/>
      <selection pane="bottomLeft" activeCell="A5" sqref="A5:XFD363"/>
      <selection pane="bottomRight" activeCell="C5" sqref="C5"/>
    </sheetView>
  </sheetViews>
  <sheetFormatPr defaultColWidth="10.25" defaultRowHeight="15.75" outlineLevelCol="1" x14ac:dyDescent="0.25"/>
  <cols>
    <col min="1" max="1" width="3.375" style="7" customWidth="1"/>
    <col min="2" max="2" width="20.625" style="7" customWidth="1"/>
    <col min="3" max="3" width="10.25" style="7"/>
    <col min="4" max="4" width="9.75" style="7" customWidth="1"/>
    <col min="5" max="6" width="10.25" style="7" customWidth="1" outlineLevel="1"/>
    <col min="7" max="7" width="10.25" style="7" customWidth="1"/>
    <col min="8" max="9" width="10.25" style="7" customWidth="1" outlineLevel="1"/>
    <col min="10" max="10" width="10.25" style="7" customWidth="1"/>
    <col min="11" max="12" width="10.25" style="7" customWidth="1" outlineLevel="1"/>
    <col min="13" max="13" width="10.25" style="7" customWidth="1"/>
    <col min="14" max="16" width="10.25" style="7" customWidth="1" outlineLevel="1"/>
    <col min="17" max="17" width="2" style="7" customWidth="1"/>
    <col min="18" max="19" width="10.25" style="7" customWidth="1" outlineLevel="1"/>
    <col min="20" max="20" width="10.25" style="7"/>
    <col min="21" max="22" width="10.25" style="7" customWidth="1" outlineLevel="1"/>
    <col min="23" max="23" width="10.25" style="7"/>
    <col min="24" max="25" width="10.25" style="7" customWidth="1" outlineLevel="1"/>
    <col min="26" max="26" width="10.25" style="7"/>
    <col min="27" max="29" width="10.25" style="7" customWidth="1" outlineLevel="1"/>
    <col min="30" max="30" width="1.625" style="7" customWidth="1"/>
    <col min="31" max="32" width="10.25" style="7" customWidth="1" outlineLevel="1"/>
    <col min="33" max="33" width="10.25" style="7"/>
    <col min="34" max="35" width="10.25" style="7" customWidth="1" outlineLevel="1"/>
    <col min="36" max="36" width="10.5" style="7" bestFit="1" customWidth="1"/>
    <col min="37" max="38" width="10.25" style="7" customWidth="1" outlineLevel="1"/>
    <col min="39" max="39" width="10.25" style="7"/>
    <col min="40" max="40" width="10.25" style="7" customWidth="1" outlineLevel="1"/>
    <col min="41" max="41" width="12" style="7" customWidth="1" outlineLevel="1"/>
    <col min="42" max="42" width="12" style="7" customWidth="1"/>
    <col min="43" max="43" width="1.625" style="7" customWidth="1"/>
    <col min="44" max="44" width="13.125" style="7" bestFit="1" customWidth="1"/>
    <col min="45" max="47" width="10.25" style="7"/>
    <col min="48" max="48" width="1.625" style="7" customWidth="1"/>
    <col min="49" max="52" width="10.25" style="7"/>
    <col min="53" max="53" width="1.625" style="7" customWidth="1"/>
    <col min="54" max="54" width="10.5" style="7" bestFit="1" customWidth="1"/>
    <col min="55" max="55" width="10.25" style="7"/>
    <col min="56" max="56" width="10.5" style="7" bestFit="1" customWidth="1"/>
    <col min="57" max="16384" width="10.25" style="7"/>
  </cols>
  <sheetData>
    <row r="1" spans="1:57" customFormat="1" x14ac:dyDescent="0.25">
      <c r="B1" s="4" t="s">
        <v>36</v>
      </c>
    </row>
    <row r="2" spans="1:57" customFormat="1" x14ac:dyDescent="0.25">
      <c r="B2" s="4" t="s">
        <v>246</v>
      </c>
    </row>
    <row r="3" spans="1:57"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22" t="s">
        <v>383</v>
      </c>
      <c r="AS3" s="423"/>
      <c r="AT3" s="423"/>
      <c r="AU3" s="424"/>
      <c r="AW3" s="422" t="s">
        <v>388</v>
      </c>
      <c r="AX3" s="423"/>
      <c r="AY3" s="423"/>
      <c r="AZ3" s="424"/>
      <c r="BB3" s="422" t="s">
        <v>389</v>
      </c>
      <c r="BC3" s="423"/>
      <c r="BD3" s="423"/>
      <c r="BE3" s="424"/>
    </row>
    <row r="4" spans="1:57" customFormat="1" ht="16.5" thickBot="1" x14ac:dyDescent="0.3">
      <c r="A4" s="1"/>
      <c r="B4" s="3"/>
      <c r="C4" s="6"/>
      <c r="D4" s="6" t="s">
        <v>264</v>
      </c>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c r="AR4" s="82" t="s">
        <v>2</v>
      </c>
      <c r="AS4" s="82" t="s">
        <v>5</v>
      </c>
      <c r="AT4" s="82" t="s">
        <v>8</v>
      </c>
      <c r="AU4" s="82" t="s">
        <v>11</v>
      </c>
      <c r="AW4" s="82" t="s">
        <v>2</v>
      </c>
      <c r="AX4" s="82" t="s">
        <v>5</v>
      </c>
      <c r="AY4" s="82" t="s">
        <v>8</v>
      </c>
      <c r="AZ4" s="82" t="s">
        <v>11</v>
      </c>
      <c r="BB4" s="82" t="s">
        <v>2</v>
      </c>
      <c r="BC4" s="82" t="s">
        <v>5</v>
      </c>
      <c r="BD4" s="82" t="s">
        <v>8</v>
      </c>
      <c r="BE4" s="82" t="s">
        <v>11</v>
      </c>
    </row>
    <row r="5" spans="1:57" s="16" customFormat="1" x14ac:dyDescent="0.25">
      <c r="A5" s="16" t="s">
        <v>247</v>
      </c>
    </row>
    <row r="6" spans="1:57" s="16" customFormat="1" x14ac:dyDescent="0.25">
      <c r="B6" s="16" t="s">
        <v>248</v>
      </c>
      <c r="E6" s="16">
        <f>+E10-SUM(E7:E9)</f>
        <v>3849819.5833333335</v>
      </c>
      <c r="F6" s="16">
        <f t="shared" ref="F6:P6" si="0">+F10-SUM(F7:F9)</f>
        <v>3310445.1666666665</v>
      </c>
      <c r="G6" s="16">
        <f t="shared" si="0"/>
        <v>3164981.75</v>
      </c>
      <c r="H6" s="16">
        <f t="shared" si="0"/>
        <v>2987325.833333334</v>
      </c>
      <c r="I6" s="16">
        <f t="shared" si="0"/>
        <v>2722856.9166666665</v>
      </c>
      <c r="J6" s="16">
        <f t="shared" si="0"/>
        <v>2557201</v>
      </c>
      <c r="K6" s="16">
        <f t="shared" si="0"/>
        <v>2355319.3333333335</v>
      </c>
      <c r="L6" s="16">
        <f t="shared" si="0"/>
        <v>2149112.666666667</v>
      </c>
      <c r="M6" s="16">
        <f t="shared" si="0"/>
        <v>1931823.5</v>
      </c>
      <c r="N6" s="16">
        <f t="shared" si="0"/>
        <v>1694926.8333333333</v>
      </c>
      <c r="O6" s="16">
        <f t="shared" si="0"/>
        <v>1538520.1666666667</v>
      </c>
      <c r="P6" s="16">
        <f t="shared" si="0"/>
        <v>1465286.8333333335</v>
      </c>
      <c r="R6" s="16">
        <f t="shared" ref="R6" si="1">+R10-SUM(R7:R9)</f>
        <v>1098575.583333334</v>
      </c>
      <c r="S6" s="16">
        <f t="shared" ref="S6" si="2">+S10-SUM(S7:S9)</f>
        <v>874667.66666666721</v>
      </c>
      <c r="T6" s="16">
        <f t="shared" ref="T6" si="3">+T10-SUM(T7:T9)</f>
        <v>670202.25000000047</v>
      </c>
      <c r="U6" s="16">
        <f t="shared" ref="U6" si="4">+U10-SUM(U7:U9)</f>
        <v>405323.08333333378</v>
      </c>
      <c r="V6" s="16">
        <f t="shared" ref="V6" si="5">+V10-SUM(V7:V9)</f>
        <v>2585470.583333334</v>
      </c>
      <c r="W6" s="16">
        <f t="shared" ref="W6" si="6">+W10-SUM(W7:W9)</f>
        <v>2136582.2500000009</v>
      </c>
      <c r="X6" s="16">
        <f t="shared" ref="X6" si="7">+X10-SUM(X7:X9)</f>
        <v>1317441.5332305944</v>
      </c>
      <c r="Y6" s="16">
        <f t="shared" ref="Y6" si="8">+Y10-SUM(Y7:Y9)</f>
        <v>1309510.4694628767</v>
      </c>
      <c r="Z6" s="16">
        <f t="shared" ref="Z6" si="9">+Z10-SUM(Z7:Z9)</f>
        <v>842136.92570652242</v>
      </c>
      <c r="AA6" s="16">
        <f t="shared" ref="AA6" si="10">+AA10-SUM(AA7:AA9)</f>
        <v>587910.77254082274</v>
      </c>
      <c r="AB6" s="16">
        <f t="shared" ref="AB6" si="11">+AB10-SUM(AB7:AB9)</f>
        <v>587072.6467725609</v>
      </c>
      <c r="AC6" s="16">
        <f t="shared" ref="AC6" si="12">+AC10-SUM(AC7:AC9)</f>
        <v>158024.88794684666</v>
      </c>
      <c r="AE6" s="16">
        <f t="shared" ref="AE6" si="13">+AE10-SUM(AE7:AE9)</f>
        <v>2399448.6421301858</v>
      </c>
      <c r="AF6" s="16">
        <f t="shared" ref="AF6" si="14">+AF10-SUM(AF7:AF9)</f>
        <v>2383755.5325508798</v>
      </c>
      <c r="AG6" s="16">
        <f t="shared" ref="AG6" si="15">+AG10-SUM(AG7:AG9)</f>
        <v>1981255.5200000007</v>
      </c>
      <c r="AH6" s="16">
        <f t="shared" ref="AH6" si="16">+AH10-SUM(AH7:AH9)</f>
        <v>1893913.2577777789</v>
      </c>
      <c r="AI6" s="16">
        <f t="shared" ref="AI6" si="17">+AI10-SUM(AI7:AI9)</f>
        <v>1924350.9955555564</v>
      </c>
      <c r="AJ6" s="16">
        <f t="shared" ref="AJ6" si="18">+AJ10-SUM(AJ7:AJ9)</f>
        <v>1138048.7333333348</v>
      </c>
      <c r="AK6" s="16">
        <f t="shared" ref="AK6" si="19">+AK10-SUM(AK7:AK9)</f>
        <v>491551.79888888961</v>
      </c>
      <c r="AL6" s="16">
        <f t="shared" ref="AL6" si="20">+AL10-SUM(AL7:AL9)</f>
        <v>1308554.5114814825</v>
      </c>
      <c r="AM6" s="16">
        <f t="shared" ref="AM6" si="21">+AM10-SUM(AM7:AM9)</f>
        <v>884603.39074074151</v>
      </c>
      <c r="AN6" s="16">
        <f t="shared" ref="AN6" si="22">+AN10-SUM(AN7:AN9)</f>
        <v>969153.8833333347</v>
      </c>
      <c r="AO6" s="16">
        <f t="shared" ref="AO6" si="23">+AO10-SUM(AO7:AO9)</f>
        <v>1850751.6611111122</v>
      </c>
      <c r="AP6" s="16">
        <f t="shared" ref="AP6:AU6" si="24">+AP10-SUM(AP7:AP9)</f>
        <v>1850872.419444446</v>
      </c>
      <c r="AR6" s="16">
        <f t="shared" si="24"/>
        <v>2745126.2669787472</v>
      </c>
      <c r="AS6" s="16">
        <f t="shared" si="24"/>
        <v>2195261.3470966211</v>
      </c>
      <c r="AT6" s="16">
        <f t="shared" si="24"/>
        <v>2606069.2056600833</v>
      </c>
      <c r="AU6" s="16">
        <f t="shared" si="24"/>
        <v>4073392.6593514178</v>
      </c>
      <c r="AW6" s="16">
        <f t="shared" ref="AW6:AZ6" si="25">+AW10-SUM(AW7:AW9)</f>
        <v>5840064.8936006594</v>
      </c>
      <c r="AX6" s="16">
        <f t="shared" si="25"/>
        <v>5549870.5289006326</v>
      </c>
      <c r="AY6" s="16">
        <f t="shared" si="25"/>
        <v>6269728.6671247948</v>
      </c>
      <c r="AZ6" s="16">
        <f t="shared" si="25"/>
        <v>8318555.5912213698</v>
      </c>
      <c r="BB6" s="16">
        <f t="shared" ref="BB6:BE6" si="26">+BB10-SUM(BB7:BB9)</f>
        <v>10806989.459727068</v>
      </c>
      <c r="BC6" s="16">
        <f t="shared" si="26"/>
        <v>12546846.234474652</v>
      </c>
      <c r="BD6" s="16">
        <f t="shared" si="26"/>
        <v>14946052.350193534</v>
      </c>
      <c r="BE6" s="16">
        <f t="shared" si="26"/>
        <v>19210593.665519532</v>
      </c>
    </row>
    <row r="7" spans="1:57" s="16" customFormat="1" x14ac:dyDescent="0.25">
      <c r="B7" s="16" t="s">
        <v>257</v>
      </c>
      <c r="E7" s="16">
        <f>+'BS Support'!E10</f>
        <v>0</v>
      </c>
      <c r="F7" s="16">
        <f>+'BS Support'!F10</f>
        <v>0</v>
      </c>
      <c r="G7" s="16">
        <f>+'BS Support'!G10</f>
        <v>0</v>
      </c>
      <c r="H7" s="16">
        <f>+'BS Support'!H10</f>
        <v>0</v>
      </c>
      <c r="I7" s="16">
        <f>+'BS Support'!I10</f>
        <v>0</v>
      </c>
      <c r="J7" s="16">
        <f>+'BS Support'!J10</f>
        <v>0</v>
      </c>
      <c r="K7" s="16">
        <f>+'BS Support'!K10</f>
        <v>0</v>
      </c>
      <c r="L7" s="16">
        <f>+'BS Support'!L10</f>
        <v>0</v>
      </c>
      <c r="M7" s="16">
        <f>+'BS Support'!M10</f>
        <v>0</v>
      </c>
      <c r="N7" s="16">
        <f>+'BS Support'!N10</f>
        <v>0</v>
      </c>
      <c r="O7" s="16">
        <f>+'BS Support'!O10</f>
        <v>0</v>
      </c>
      <c r="P7" s="16">
        <f>+'BS Support'!P10</f>
        <v>0</v>
      </c>
      <c r="R7" s="16">
        <f>+'BS Support'!R10</f>
        <v>0</v>
      </c>
      <c r="S7" s="16">
        <f>+'BS Support'!S10</f>
        <v>0</v>
      </c>
      <c r="T7" s="16">
        <f>+'BS Support'!T10</f>
        <v>0</v>
      </c>
      <c r="U7" s="16">
        <f>+'BS Support'!U10</f>
        <v>0</v>
      </c>
      <c r="V7" s="16">
        <f>+'BS Support'!V10</f>
        <v>0</v>
      </c>
      <c r="W7" s="16">
        <f>+'BS Support'!W10</f>
        <v>0</v>
      </c>
      <c r="X7" s="16">
        <f>+'BS Support'!X10</f>
        <v>420500.00000000012</v>
      </c>
      <c r="Y7" s="16">
        <f>+'BS Support'!Y10</f>
        <v>172900.00000000003</v>
      </c>
      <c r="Z7" s="16">
        <f>+'BS Support'!Z10</f>
        <v>172900.00000000003</v>
      </c>
      <c r="AA7" s="16">
        <f>+'BS Support'!AA10</f>
        <v>446200.00000000012</v>
      </c>
      <c r="AB7" s="16">
        <f>+'BS Support'!AB10</f>
        <v>198800.00000000006</v>
      </c>
      <c r="AC7" s="16">
        <f>+'BS Support'!AC10</f>
        <v>198800.00000000006</v>
      </c>
      <c r="AE7" s="16">
        <f>+'BS Support'!AE10</f>
        <v>478170.00000000012</v>
      </c>
      <c r="AF7" s="16">
        <f>+'BS Support'!AF10</f>
        <v>247170.00000000006</v>
      </c>
      <c r="AG7" s="16">
        <f>+'BS Support'!AG10</f>
        <v>247170.00000000006</v>
      </c>
      <c r="AH7" s="16">
        <f>+'BS Support'!AH10</f>
        <v>506660.00000000023</v>
      </c>
      <c r="AI7" s="16">
        <f>+'BS Support'!AI10</f>
        <v>275660.00000000012</v>
      </c>
      <c r="AJ7" s="16">
        <f>+'BS Support'!AJ10</f>
        <v>275660.00000000012</v>
      </c>
      <c r="AK7" s="16">
        <f>+'BS Support'!AK10</f>
        <v>1469318.6666666672</v>
      </c>
      <c r="AL7" s="16">
        <f>+'BS Support'!AL10</f>
        <v>781872.00000000023</v>
      </c>
      <c r="AM7" s="16">
        <f>+'BS Support'!AM10</f>
        <v>752983.00000000023</v>
      </c>
      <c r="AN7" s="16">
        <f>+'BS Support'!AN10</f>
        <v>1636670.6666666672</v>
      </c>
      <c r="AO7" s="16">
        <f>+'BS Support'!AO10</f>
        <v>976053.3333333336</v>
      </c>
      <c r="AP7" s="16">
        <f>+'BS Support'!AP10</f>
        <v>872666.66666666698</v>
      </c>
      <c r="AR7" s="16">
        <f>+'P&amp;L'!BL8/90*34</f>
        <v>1354465.933333334</v>
      </c>
      <c r="AS7" s="16">
        <f>+'P&amp;L'!BM8/90*36</f>
        <v>1546960.8000000005</v>
      </c>
      <c r="AT7" s="16">
        <f>+'P&amp;L'!BN8/90*37</f>
        <v>2708968.5658444455</v>
      </c>
      <c r="AU7" s="16">
        <f>+'P&amp;L'!BO8/90*38</f>
        <v>2981004.1369777787</v>
      </c>
      <c r="AW7" s="16">
        <f>+'P&amp;L'!BT8/90*38</f>
        <v>3434349.2667244463</v>
      </c>
      <c r="AX7" s="16">
        <f>+'P&amp;L'!BU8/90*38</f>
        <v>3652997.8483288907</v>
      </c>
      <c r="AY7" s="16">
        <f>+'P&amp;L'!BV8/90*38</f>
        <v>5527315.5203777812</v>
      </c>
      <c r="AZ7" s="16">
        <f>+'P&amp;L'!BW8/90*38</f>
        <v>5380254.9224266699</v>
      </c>
      <c r="BB7" s="16">
        <f>+'P&amp;L'!CB8/90*38</f>
        <v>6414562.0770342248</v>
      </c>
      <c r="BC7" s="16">
        <f>+'P&amp;L'!CC8/90*38</f>
        <v>6754342.1475102259</v>
      </c>
      <c r="BD7" s="16">
        <f>+'P&amp;L'!CD8/90*38</f>
        <v>8398518.1648840047</v>
      </c>
      <c r="BE7" s="16">
        <f>+'P&amp;L'!CE8/90*38</f>
        <v>9014763.969716005</v>
      </c>
    </row>
    <row r="8" spans="1:57" s="16" customFormat="1" x14ac:dyDescent="0.25">
      <c r="B8" s="16" t="s">
        <v>249</v>
      </c>
      <c r="E8" s="16">
        <f>+Production!E92</f>
        <v>0</v>
      </c>
      <c r="F8" s="16">
        <f>+Production!F92</f>
        <v>0</v>
      </c>
      <c r="G8" s="16">
        <f>+Production!G92</f>
        <v>0</v>
      </c>
      <c r="H8" s="16">
        <f>+Production!H92</f>
        <v>0</v>
      </c>
      <c r="I8" s="16">
        <f>+Production!I92</f>
        <v>0</v>
      </c>
      <c r="J8" s="16">
        <f>+Production!J92</f>
        <v>0</v>
      </c>
      <c r="K8" s="16">
        <f>+Production!K92</f>
        <v>0</v>
      </c>
      <c r="L8" s="16">
        <f>+Production!L92</f>
        <v>0</v>
      </c>
      <c r="M8" s="16">
        <f>+Production!M92</f>
        <v>0</v>
      </c>
      <c r="N8" s="16">
        <f>+Production!N92</f>
        <v>0</v>
      </c>
      <c r="O8" s="16">
        <f>+Production!O92</f>
        <v>0</v>
      </c>
      <c r="P8" s="16">
        <f>+Production!P92</f>
        <v>0</v>
      </c>
      <c r="R8" s="16">
        <f>+Production!R92</f>
        <v>0</v>
      </c>
      <c r="S8" s="16">
        <f>+Production!S92</f>
        <v>0</v>
      </c>
      <c r="T8" s="16">
        <f>+Production!T92</f>
        <v>21770</v>
      </c>
      <c r="U8" s="16">
        <f>+Production!U92</f>
        <v>88953.895624426834</v>
      </c>
      <c r="V8" s="16">
        <f>+Production!V92</f>
        <v>230121.49944291601</v>
      </c>
      <c r="W8" s="16">
        <f>+Production!W92</f>
        <v>602990.92384930071</v>
      </c>
      <c r="X8" s="16">
        <f>+Production!X92</f>
        <v>479886.27762361092</v>
      </c>
      <c r="Y8" s="16">
        <f>+Production!Y92</f>
        <v>706549.1398111271</v>
      </c>
      <c r="Z8" s="16">
        <f>+Production!Z92</f>
        <v>729095.11503459944</v>
      </c>
      <c r="AA8" s="16">
        <f>+Production!AA92</f>
        <v>540183.71689747879</v>
      </c>
      <c r="AB8" s="16">
        <f>+Production!AB92</f>
        <v>771291.5825323204</v>
      </c>
      <c r="AC8" s="16">
        <f>+Production!AC92</f>
        <v>815223.39787667862</v>
      </c>
      <c r="AE8" s="16">
        <f>+Production!AE92</f>
        <v>646583.08704090049</v>
      </c>
      <c r="AF8" s="16">
        <f>+Production!AF92</f>
        <v>834985.50629248668</v>
      </c>
      <c r="AG8" s="16">
        <f>+Production!AG92</f>
        <v>761712.16705613234</v>
      </c>
      <c r="AH8" s="16">
        <f>+Production!AH92</f>
        <v>604977.00383497612</v>
      </c>
      <c r="AI8" s="16">
        <f>+Production!AI92</f>
        <v>1278060.8566798186</v>
      </c>
      <c r="AJ8" s="16">
        <f>+Production!AJ92</f>
        <v>1391675.597504145</v>
      </c>
      <c r="AK8" s="16">
        <f>+Production!AK92</f>
        <v>771796.97566996492</v>
      </c>
      <c r="AL8" s="16">
        <f>+Production!AL92</f>
        <v>1342687.1940663895</v>
      </c>
      <c r="AM8" s="16">
        <f>+Production!AM92</f>
        <v>1343897.3651047859</v>
      </c>
      <c r="AN8" s="16">
        <f>+Production!AN92</f>
        <v>732056.02535262611</v>
      </c>
      <c r="AO8" s="16">
        <f>+Production!AO92</f>
        <v>723972.02537103998</v>
      </c>
      <c r="AP8" s="16">
        <f>+Production!AP92</f>
        <v>1226579.7652860209</v>
      </c>
      <c r="AR8" s="16">
        <f>+'P&amp;L'!BM15</f>
        <v>1719990.5407661223</v>
      </c>
      <c r="AS8" s="16">
        <f>+'P&amp;L'!BN15*0.9</f>
        <v>2676673.5963492221</v>
      </c>
      <c r="AT8" s="16">
        <f>+'P&amp;L'!BO15*0.9</f>
        <v>2795196.7892516009</v>
      </c>
      <c r="AU8" s="16">
        <f>+'P&amp;L'!BT15*0.9</f>
        <v>3096526.5277710836</v>
      </c>
      <c r="AW8" s="16">
        <f>+'P&amp;L'!BU15*0.9</f>
        <v>3225385.9104470434</v>
      </c>
      <c r="AX8" s="16">
        <f>+'P&amp;L'!BV15*0.9</f>
        <v>4934430.6322467243</v>
      </c>
      <c r="AY8" s="16">
        <f>+'P&amp;L'!BW15*0.9</f>
        <v>4765022.0715979198</v>
      </c>
      <c r="AZ8" s="16">
        <f>+'P&amp;L'!CB15*0.9</f>
        <v>5446160.6876812801</v>
      </c>
      <c r="BB8" s="16">
        <f>+'P&amp;L'!CC15*0.9</f>
        <v>5623539.8254681807</v>
      </c>
      <c r="BC8" s="16">
        <f>+'P&amp;L'!CD15*0.9</f>
        <v>7086763.3729613032</v>
      </c>
      <c r="BD8" s="16">
        <f>+'P&amp;L'!CE15*0.9</f>
        <v>7496381.5037345178</v>
      </c>
      <c r="BE8" s="16">
        <f>+BD8</f>
        <v>7496381.5037345178</v>
      </c>
    </row>
    <row r="9" spans="1:57" s="16" customFormat="1" x14ac:dyDescent="0.25">
      <c r="B9" s="16" t="s">
        <v>258</v>
      </c>
    </row>
    <row r="10" spans="1:57" s="16" customFormat="1" x14ac:dyDescent="0.25">
      <c r="B10" s="23" t="s">
        <v>250</v>
      </c>
      <c r="D10" s="18"/>
      <c r="E10" s="18">
        <f>+E17-E13-E14</f>
        <v>3849819.5833333335</v>
      </c>
      <c r="F10" s="18">
        <f t="shared" ref="F10:P10" si="27">+F17-F13-F14</f>
        <v>3310445.1666666665</v>
      </c>
      <c r="G10" s="18">
        <f t="shared" si="27"/>
        <v>3164981.75</v>
      </c>
      <c r="H10" s="18">
        <f t="shared" si="27"/>
        <v>2987325.833333334</v>
      </c>
      <c r="I10" s="18">
        <f t="shared" si="27"/>
        <v>2722856.9166666665</v>
      </c>
      <c r="J10" s="18">
        <f t="shared" si="27"/>
        <v>2557201</v>
      </c>
      <c r="K10" s="18">
        <f t="shared" si="27"/>
        <v>2355319.3333333335</v>
      </c>
      <c r="L10" s="18">
        <f t="shared" si="27"/>
        <v>2149112.666666667</v>
      </c>
      <c r="M10" s="18">
        <f t="shared" si="27"/>
        <v>1931823.5</v>
      </c>
      <c r="N10" s="18">
        <f t="shared" si="27"/>
        <v>1694926.8333333333</v>
      </c>
      <c r="O10" s="18">
        <f t="shared" si="27"/>
        <v>1538520.1666666667</v>
      </c>
      <c r="P10" s="18">
        <f t="shared" si="27"/>
        <v>1465286.8333333335</v>
      </c>
      <c r="R10" s="18">
        <f t="shared" ref="R10:AC10" si="28">+R17-R13-R14</f>
        <v>1098575.583333334</v>
      </c>
      <c r="S10" s="18">
        <f t="shared" si="28"/>
        <v>874667.66666666721</v>
      </c>
      <c r="T10" s="18">
        <f t="shared" si="28"/>
        <v>691972.25000000047</v>
      </c>
      <c r="U10" s="18">
        <f t="shared" si="28"/>
        <v>494276.97895776061</v>
      </c>
      <c r="V10" s="18">
        <f t="shared" si="28"/>
        <v>2815592.0827762499</v>
      </c>
      <c r="W10" s="18">
        <f t="shared" si="28"/>
        <v>2739573.1738493014</v>
      </c>
      <c r="X10" s="18">
        <f t="shared" si="28"/>
        <v>2217827.8108542054</v>
      </c>
      <c r="Y10" s="18">
        <f t="shared" si="28"/>
        <v>2188959.6092740037</v>
      </c>
      <c r="Z10" s="18">
        <f t="shared" si="28"/>
        <v>1744132.0407411219</v>
      </c>
      <c r="AA10" s="18">
        <f t="shared" si="28"/>
        <v>1574294.4894383017</v>
      </c>
      <c r="AB10" s="18">
        <f t="shared" si="28"/>
        <v>1557164.2293048813</v>
      </c>
      <c r="AC10" s="18">
        <f t="shared" si="28"/>
        <v>1172048.2858235254</v>
      </c>
      <c r="AE10" s="18">
        <f t="shared" ref="AE10:AP10" si="29">+AE17-AE13-AE14</f>
        <v>3524201.7291710866</v>
      </c>
      <c r="AF10" s="18">
        <f t="shared" si="29"/>
        <v>3465911.0388433668</v>
      </c>
      <c r="AG10" s="18">
        <f t="shared" si="29"/>
        <v>2990137.6870561331</v>
      </c>
      <c r="AH10" s="18">
        <f t="shared" si="29"/>
        <v>3005550.2616127552</v>
      </c>
      <c r="AI10" s="18">
        <f t="shared" si="29"/>
        <v>3478071.852235375</v>
      </c>
      <c r="AJ10" s="18">
        <f t="shared" si="29"/>
        <v>2805384.3308374798</v>
      </c>
      <c r="AK10" s="18">
        <f t="shared" si="29"/>
        <v>2732667.4412255217</v>
      </c>
      <c r="AL10" s="18">
        <f t="shared" si="29"/>
        <v>3433113.705547872</v>
      </c>
      <c r="AM10" s="18">
        <f t="shared" si="29"/>
        <v>2981483.7558455276</v>
      </c>
      <c r="AN10" s="18">
        <f t="shared" si="29"/>
        <v>3337880.5753526278</v>
      </c>
      <c r="AO10" s="18">
        <f t="shared" si="29"/>
        <v>3550777.0198154859</v>
      </c>
      <c r="AP10" s="18">
        <f t="shared" si="29"/>
        <v>3950118.8513971339</v>
      </c>
      <c r="AR10" s="18">
        <f t="shared" ref="AR10:AU10" si="30">+AR17-AR13-AR14</f>
        <v>5819582.7410782035</v>
      </c>
      <c r="AS10" s="18">
        <f t="shared" si="30"/>
        <v>6418895.7434458435</v>
      </c>
      <c r="AT10" s="18">
        <f t="shared" si="30"/>
        <v>8110234.5607561292</v>
      </c>
      <c r="AU10" s="18">
        <f t="shared" si="30"/>
        <v>10150923.32410028</v>
      </c>
      <c r="AW10" s="18">
        <f t="shared" ref="AW10:AZ10" si="31">+AW17-AW13-AW14</f>
        <v>12499800.070772149</v>
      </c>
      <c r="AX10" s="18">
        <f t="shared" si="31"/>
        <v>14137299.009476248</v>
      </c>
      <c r="AY10" s="18">
        <f t="shared" si="31"/>
        <v>16562066.259100495</v>
      </c>
      <c r="AZ10" s="18">
        <f t="shared" si="31"/>
        <v>19144971.201329321</v>
      </c>
      <c r="BB10" s="18">
        <f t="shared" ref="BB10:BE10" si="32">+BB17-BB13-BB14</f>
        <v>22845091.362229474</v>
      </c>
      <c r="BC10" s="18">
        <f t="shared" si="32"/>
        <v>26387951.75494618</v>
      </c>
      <c r="BD10" s="18">
        <f t="shared" si="32"/>
        <v>30840952.018812057</v>
      </c>
      <c r="BE10" s="18">
        <f t="shared" si="32"/>
        <v>35721739.138970055</v>
      </c>
    </row>
    <row r="11" spans="1:57" s="16" customFormat="1" x14ac:dyDescent="0.25"/>
    <row r="12" spans="1:57" s="16" customFormat="1" x14ac:dyDescent="0.25">
      <c r="A12" s="16" t="s">
        <v>251</v>
      </c>
      <c r="AP12" s="65"/>
    </row>
    <row r="13" spans="1:57" s="16" customFormat="1" x14ac:dyDescent="0.25">
      <c r="B13" s="16" t="s">
        <v>256</v>
      </c>
      <c r="E13" s="16">
        <f>+CAPEX!E59-CAPEX!E72</f>
        <v>216141</v>
      </c>
      <c r="F13" s="16">
        <f>+CAPEX!F59-CAPEX!F72+E13</f>
        <v>212342</v>
      </c>
      <c r="G13" s="16">
        <f>+CAPEX!G59-CAPEX!G72+F13</f>
        <v>208543</v>
      </c>
      <c r="H13" s="16">
        <f>+CAPEX!H59-CAPEX!H72+G13</f>
        <v>283669.99747474748</v>
      </c>
      <c r="I13" s="16">
        <f>+CAPEX!I59-CAPEX!I72+H13</f>
        <v>278371.99494949495</v>
      </c>
      <c r="J13" s="16">
        <f>+CAPEX!J59-CAPEX!J72+I13</f>
        <v>273073.99242424243</v>
      </c>
      <c r="K13" s="16">
        <f>+CAPEX!K59-CAPEX!K72+J13</f>
        <v>267775.98989898991</v>
      </c>
      <c r="L13" s="16">
        <f>+CAPEX!L59-CAPEX!L72+K13</f>
        <v>262477.98737373739</v>
      </c>
      <c r="M13" s="16">
        <f>+CAPEX!M59-CAPEX!M72+L13</f>
        <v>257179.98484848486</v>
      </c>
      <c r="N13" s="16">
        <f>+CAPEX!N59-CAPEX!N72+M13</f>
        <v>251881.98232323234</v>
      </c>
      <c r="O13" s="16">
        <f>+CAPEX!O59-CAPEX!O72+N13</f>
        <v>246583.97979797982</v>
      </c>
      <c r="P13" s="16">
        <f>+CAPEX!P59-CAPEX!P72+O13</f>
        <v>241285.97727272729</v>
      </c>
      <c r="R13" s="16">
        <f>+CAPEX!R59-CAPEX!R72+P13</f>
        <v>242826.86363636365</v>
      </c>
      <c r="S13" s="16">
        <f>+CAPEX!S59-CAPEX!S72+R13</f>
        <v>237367.75</v>
      </c>
      <c r="T13" s="16">
        <f>+CAPEX!T59-CAPEX!T72+S13</f>
        <v>231908.63636363635</v>
      </c>
      <c r="U13" s="16">
        <f>+CAPEX!U59-CAPEX!U72+T13</f>
        <v>226449.52272727271</v>
      </c>
      <c r="V13" s="16">
        <f>+CAPEX!V59-CAPEX!V72+U13</f>
        <v>220990.40909090906</v>
      </c>
      <c r="W13" s="16">
        <f>+CAPEX!W59-CAPEX!W72+V13</f>
        <v>215531.29545454541</v>
      </c>
      <c r="X13" s="16">
        <f>+CAPEX!X59-CAPEX!X72+W13</f>
        <v>210072.18181818177</v>
      </c>
      <c r="Y13" s="16">
        <f>+CAPEX!Y59-CAPEX!Y72+X13</f>
        <v>204613.06818181812</v>
      </c>
      <c r="Z13" s="16">
        <f>+CAPEX!Z59-CAPEX!Z72+Y13</f>
        <v>199153.95454545447</v>
      </c>
      <c r="AA13" s="16">
        <f>+CAPEX!AA59-CAPEX!AA72+Z13</f>
        <v>193694.84090909082</v>
      </c>
      <c r="AB13" s="16">
        <f>+CAPEX!AB59-CAPEX!AB72+AA13</f>
        <v>188235.72727272718</v>
      </c>
      <c r="AC13" s="16">
        <f>+CAPEX!AC59-CAPEX!AC72+AB13</f>
        <v>182776.61363636353</v>
      </c>
      <c r="AE13" s="16">
        <f>+CAPEX!AE59-CAPEX!AE72+AC13</f>
        <v>177317.49999999988</v>
      </c>
      <c r="AF13" s="16">
        <f>+CAPEX!AF59-CAPEX!AF72+AE13</f>
        <v>171858.38636363624</v>
      </c>
      <c r="AG13" s="16">
        <f>+CAPEX!AG59-CAPEX!AG72+AF13</f>
        <v>166399.27272727259</v>
      </c>
      <c r="AH13" s="16">
        <f>+CAPEX!AH59-CAPEX!AH72+AG13</f>
        <v>160940.15909090894</v>
      </c>
      <c r="AI13" s="16">
        <f>+CAPEX!AI59-CAPEX!AI72+AH13</f>
        <v>155481.0454545453</v>
      </c>
      <c r="AJ13" s="16">
        <f>+CAPEX!AJ59-CAPEX!AJ72+AI13</f>
        <v>494188.59848484833</v>
      </c>
      <c r="AK13" s="16">
        <f>+CAPEX!AK59-CAPEX!AK72+AJ13</f>
        <v>482896.15151515137</v>
      </c>
      <c r="AL13" s="16">
        <f>+CAPEX!AL59-CAPEX!AL72+AK13</f>
        <v>471603.70454545441</v>
      </c>
      <c r="AM13" s="16">
        <f>+CAPEX!AM59-CAPEX!AM72+AL13</f>
        <v>460311.25757575745</v>
      </c>
      <c r="AN13" s="16">
        <f>+CAPEX!AN59-CAPEX!AN72+AM13</f>
        <v>449018.81060606049</v>
      </c>
      <c r="AO13" s="16">
        <f>+CAPEX!AO59-CAPEX!AO72+AN13</f>
        <v>437726.36363636353</v>
      </c>
      <c r="AP13" s="16">
        <f>+CAPEX!AP59-CAPEX!AP72+AO13</f>
        <v>426433.91666666657</v>
      </c>
      <c r="AR13" s="16">
        <f>+CAPEX!BK59-CAPEX!BK72+AP13</f>
        <v>393465.66666666657</v>
      </c>
      <c r="AS13" s="16">
        <f>+CAPEX!BL59-CAPEX!BL72+AR13</f>
        <v>360497.41666666657</v>
      </c>
      <c r="AT13" s="16">
        <f>+CAPEX!BM59-CAPEX!BM72+AS13</f>
        <v>327529.16666666657</v>
      </c>
      <c r="AU13" s="16">
        <f>+CAPEX!BN59-CAPEX!BN72+AT13</f>
        <v>294560.91666666657</v>
      </c>
      <c r="AW13" s="16">
        <f>+CAPEX!BQ59-CAPEX!BQ72+AU13</f>
        <v>261592.66666666657</v>
      </c>
      <c r="AX13" s="16">
        <f>+CAPEX!BR59-CAPEX!BR72+AW13</f>
        <v>228624.41666666657</v>
      </c>
      <c r="AY13" s="16">
        <f>+CAPEX!BS59-CAPEX!BS72+AX13</f>
        <v>195656.16666666657</v>
      </c>
      <c r="AZ13" s="16">
        <f>+CAPEX!BT59-CAPEX!BT72+AY13</f>
        <v>162687.91666666657</v>
      </c>
      <c r="BB13" s="16">
        <f>+CAPEX!BW59-CAPEX!BW72+AZ13</f>
        <v>138076.66666666657</v>
      </c>
      <c r="BC13" s="16">
        <f>+CAPEX!BX59-CAPEX!BX72+BB13</f>
        <v>113465.41666666657</v>
      </c>
      <c r="BD13" s="16">
        <f>+CAPEX!BY59-CAPEX!BY72+BC13</f>
        <v>88854.16666666657</v>
      </c>
      <c r="BE13" s="16">
        <f>+CAPEX!BZ59-CAPEX!BZ72+BD13</f>
        <v>64242.91666666657</v>
      </c>
    </row>
    <row r="14" spans="1:57" s="16" customFormat="1" x14ac:dyDescent="0.25">
      <c r="B14" s="16" t="s">
        <v>252</v>
      </c>
      <c r="C14" s="16" t="s">
        <v>268</v>
      </c>
      <c r="E14" s="16">
        <v>25000</v>
      </c>
      <c r="F14" s="16">
        <f>+E14</f>
        <v>25000</v>
      </c>
      <c r="G14" s="16">
        <f t="shared" ref="G14:P14" si="33">+F14</f>
        <v>25000</v>
      </c>
      <c r="H14" s="16">
        <f t="shared" si="33"/>
        <v>25000</v>
      </c>
      <c r="I14" s="16">
        <f t="shared" si="33"/>
        <v>25000</v>
      </c>
      <c r="J14" s="16">
        <f t="shared" si="33"/>
        <v>25000</v>
      </c>
      <c r="K14" s="16">
        <f t="shared" si="33"/>
        <v>25000</v>
      </c>
      <c r="L14" s="16">
        <f t="shared" si="33"/>
        <v>25000</v>
      </c>
      <c r="M14" s="16">
        <f t="shared" si="33"/>
        <v>25000</v>
      </c>
      <c r="N14" s="16">
        <f t="shared" si="33"/>
        <v>25000</v>
      </c>
      <c r="O14" s="16">
        <f t="shared" si="33"/>
        <v>25000</v>
      </c>
      <c r="P14" s="16">
        <f t="shared" si="33"/>
        <v>25000</v>
      </c>
      <c r="R14" s="16">
        <f>+P14</f>
        <v>25000</v>
      </c>
      <c r="S14" s="16">
        <f t="shared" ref="S14:AP14" si="34">+R14</f>
        <v>25000</v>
      </c>
      <c r="T14" s="16">
        <f t="shared" si="34"/>
        <v>25000</v>
      </c>
      <c r="U14" s="16">
        <f t="shared" si="34"/>
        <v>25000</v>
      </c>
      <c r="V14" s="16">
        <f t="shared" si="34"/>
        <v>25000</v>
      </c>
      <c r="W14" s="16">
        <f t="shared" si="34"/>
        <v>25000</v>
      </c>
      <c r="X14" s="16">
        <f t="shared" si="34"/>
        <v>25000</v>
      </c>
      <c r="Y14" s="16">
        <f t="shared" si="34"/>
        <v>25000</v>
      </c>
      <c r="Z14" s="16">
        <f t="shared" si="34"/>
        <v>25000</v>
      </c>
      <c r="AA14" s="16">
        <f t="shared" si="34"/>
        <v>25000</v>
      </c>
      <c r="AB14" s="16">
        <f t="shared" si="34"/>
        <v>25000</v>
      </c>
      <c r="AC14" s="16">
        <f t="shared" si="34"/>
        <v>25000</v>
      </c>
      <c r="AE14" s="16">
        <f>+AC14</f>
        <v>25000</v>
      </c>
      <c r="AF14" s="16">
        <f t="shared" si="34"/>
        <v>25000</v>
      </c>
      <c r="AG14" s="16">
        <f t="shared" si="34"/>
        <v>25000</v>
      </c>
      <c r="AH14" s="16">
        <f t="shared" si="34"/>
        <v>25000</v>
      </c>
      <c r="AI14" s="16">
        <f t="shared" si="34"/>
        <v>25000</v>
      </c>
      <c r="AJ14" s="16">
        <f t="shared" si="34"/>
        <v>25000</v>
      </c>
      <c r="AK14" s="16">
        <f t="shared" si="34"/>
        <v>25000</v>
      </c>
      <c r="AL14" s="16">
        <f t="shared" si="34"/>
        <v>25000</v>
      </c>
      <c r="AM14" s="16">
        <f t="shared" si="34"/>
        <v>25000</v>
      </c>
      <c r="AN14" s="16">
        <f t="shared" si="34"/>
        <v>25000</v>
      </c>
      <c r="AO14" s="16">
        <f t="shared" si="34"/>
        <v>25000</v>
      </c>
      <c r="AP14" s="16">
        <f t="shared" si="34"/>
        <v>25000</v>
      </c>
      <c r="AR14" s="16">
        <f>+AP14</f>
        <v>25000</v>
      </c>
      <c r="AS14" s="16">
        <f t="shared" ref="AS14" si="35">+AR14</f>
        <v>25000</v>
      </c>
      <c r="AT14" s="16">
        <f t="shared" ref="AT14" si="36">+AS14</f>
        <v>25000</v>
      </c>
      <c r="AU14" s="16">
        <f t="shared" ref="AU14" si="37">+AT14</f>
        <v>25000</v>
      </c>
      <c r="AW14" s="16">
        <f>+AU14</f>
        <v>25000</v>
      </c>
      <c r="AX14" s="16">
        <f t="shared" ref="AX14" si="38">+AW14</f>
        <v>25000</v>
      </c>
      <c r="AY14" s="16">
        <f t="shared" ref="AY14" si="39">+AX14</f>
        <v>25000</v>
      </c>
      <c r="AZ14" s="16">
        <f t="shared" ref="AZ14" si="40">+AY14</f>
        <v>25000</v>
      </c>
      <c r="BB14" s="16">
        <f>+AZ14</f>
        <v>25000</v>
      </c>
      <c r="BC14" s="16">
        <f t="shared" ref="BC14" si="41">+BB14</f>
        <v>25000</v>
      </c>
      <c r="BD14" s="16">
        <f t="shared" ref="BD14" si="42">+BC14</f>
        <v>25000</v>
      </c>
      <c r="BE14" s="16">
        <f t="shared" ref="BE14" si="43">+BD14</f>
        <v>25000</v>
      </c>
    </row>
    <row r="15" spans="1:57" s="16" customFormat="1" x14ac:dyDescent="0.25"/>
    <row r="16" spans="1:57" s="16" customFormat="1" x14ac:dyDescent="0.25">
      <c r="B16" s="16" t="s">
        <v>259</v>
      </c>
    </row>
    <row r="17" spans="1:57" s="16" customFormat="1" ht="16.5" thickBot="1" x14ac:dyDescent="0.3">
      <c r="B17" s="16" t="s">
        <v>253</v>
      </c>
      <c r="D17" s="43">
        <f>+D30</f>
        <v>0</v>
      </c>
      <c r="E17" s="43">
        <f t="shared" ref="E17:O17" si="44">+E30</f>
        <v>4090960.5833333335</v>
      </c>
      <c r="F17" s="43">
        <f t="shared" si="44"/>
        <v>3547787.1666666665</v>
      </c>
      <c r="G17" s="43">
        <f t="shared" si="44"/>
        <v>3398524.75</v>
      </c>
      <c r="H17" s="43">
        <f t="shared" si="44"/>
        <v>3295995.8308080812</v>
      </c>
      <c r="I17" s="43">
        <f t="shared" si="44"/>
        <v>3026228.9116161615</v>
      </c>
      <c r="J17" s="43">
        <f t="shared" si="44"/>
        <v>2855274.9924242422</v>
      </c>
      <c r="K17" s="43">
        <f t="shared" si="44"/>
        <v>2648095.3232323234</v>
      </c>
      <c r="L17" s="43">
        <f t="shared" si="44"/>
        <v>2436590.6540404041</v>
      </c>
      <c r="M17" s="43">
        <f t="shared" si="44"/>
        <v>2214003.4848484849</v>
      </c>
      <c r="N17" s="43">
        <f t="shared" si="44"/>
        <v>1971808.8156565656</v>
      </c>
      <c r="O17" s="43">
        <f t="shared" si="44"/>
        <v>1810104.1464646466</v>
      </c>
      <c r="P17" s="43">
        <f t="shared" ref="P17" si="45">+P30</f>
        <v>1731572.8106060608</v>
      </c>
      <c r="R17" s="43">
        <f t="shared" ref="R17:AC17" si="46">+R30</f>
        <v>1366402.4469696975</v>
      </c>
      <c r="S17" s="43">
        <f t="shared" si="46"/>
        <v>1137035.4166666672</v>
      </c>
      <c r="T17" s="43">
        <f t="shared" si="46"/>
        <v>948880.88636363682</v>
      </c>
      <c r="U17" s="43">
        <f t="shared" si="46"/>
        <v>745726.50168503332</v>
      </c>
      <c r="V17" s="43">
        <f t="shared" si="46"/>
        <v>3061582.491867159</v>
      </c>
      <c r="W17" s="43">
        <f t="shared" si="46"/>
        <v>2980104.4693038468</v>
      </c>
      <c r="X17" s="43">
        <f t="shared" si="46"/>
        <v>2452899.992672387</v>
      </c>
      <c r="Y17" s="43">
        <f t="shared" si="46"/>
        <v>2418572.6774558215</v>
      </c>
      <c r="Z17" s="43">
        <f t="shared" si="46"/>
        <v>1968285.9952865764</v>
      </c>
      <c r="AA17" s="43">
        <f t="shared" si="46"/>
        <v>1792989.3303473925</v>
      </c>
      <c r="AB17" s="43">
        <f t="shared" si="46"/>
        <v>1770399.9565776084</v>
      </c>
      <c r="AC17" s="43">
        <f t="shared" si="46"/>
        <v>1379824.8994598889</v>
      </c>
      <c r="AE17" s="43">
        <f t="shared" ref="AE17:AP17" si="47">+AE30</f>
        <v>3726519.2291710866</v>
      </c>
      <c r="AF17" s="43">
        <f t="shared" si="47"/>
        <v>3662769.425207003</v>
      </c>
      <c r="AG17" s="43">
        <f t="shared" si="47"/>
        <v>3181536.9597834055</v>
      </c>
      <c r="AH17" s="43">
        <f t="shared" si="47"/>
        <v>3191490.420703664</v>
      </c>
      <c r="AI17" s="43">
        <f t="shared" si="47"/>
        <v>3658552.8976899204</v>
      </c>
      <c r="AJ17" s="43">
        <f t="shared" si="47"/>
        <v>3324572.929322328</v>
      </c>
      <c r="AK17" s="43">
        <f t="shared" si="47"/>
        <v>3240563.5927406731</v>
      </c>
      <c r="AL17" s="43">
        <f t="shared" si="47"/>
        <v>3929717.4100933266</v>
      </c>
      <c r="AM17" s="43">
        <f t="shared" si="47"/>
        <v>3466795.013421285</v>
      </c>
      <c r="AN17" s="43">
        <f t="shared" si="47"/>
        <v>3811899.3859586883</v>
      </c>
      <c r="AO17" s="43">
        <f t="shared" si="47"/>
        <v>4013503.3834518497</v>
      </c>
      <c r="AP17" s="43">
        <f t="shared" si="47"/>
        <v>4401552.7680638004</v>
      </c>
      <c r="AR17" s="43">
        <f t="shared" ref="AR17:AU17" si="48">+AR30</f>
        <v>6238048.4077448705</v>
      </c>
      <c r="AS17" s="43">
        <f t="shared" si="48"/>
        <v>6804393.1601125104</v>
      </c>
      <c r="AT17" s="43">
        <f t="shared" si="48"/>
        <v>8462763.7274227962</v>
      </c>
      <c r="AU17" s="43">
        <f t="shared" si="48"/>
        <v>10470484.240766946</v>
      </c>
      <c r="AW17" s="43">
        <f t="shared" ref="AW17:AZ17" si="49">+AW30</f>
        <v>12786392.737438815</v>
      </c>
      <c r="AX17" s="43">
        <f t="shared" si="49"/>
        <v>14390923.426142914</v>
      </c>
      <c r="AY17" s="43">
        <f t="shared" si="49"/>
        <v>16782722.425767161</v>
      </c>
      <c r="AZ17" s="43">
        <f t="shared" si="49"/>
        <v>19332659.117995989</v>
      </c>
      <c r="BB17" s="43">
        <f t="shared" ref="BB17:BE17" si="50">+BB30</f>
        <v>23008168.028896142</v>
      </c>
      <c r="BC17" s="43">
        <f t="shared" si="50"/>
        <v>26526417.171612848</v>
      </c>
      <c r="BD17" s="43">
        <f t="shared" si="50"/>
        <v>30954806.185478725</v>
      </c>
      <c r="BE17" s="43">
        <f t="shared" si="50"/>
        <v>35810982.055636719</v>
      </c>
    </row>
    <row r="18" spans="1:57" s="16" customFormat="1" ht="16.5" thickTop="1" x14ac:dyDescent="0.25"/>
    <row r="19" spans="1:57" s="16" customFormat="1" x14ac:dyDescent="0.25">
      <c r="A19" s="16" t="s">
        <v>254</v>
      </c>
    </row>
    <row r="20" spans="1:57" s="16" customFormat="1" x14ac:dyDescent="0.25">
      <c r="B20" s="16" t="s">
        <v>255</v>
      </c>
      <c r="E20" s="16">
        <f>+'BS Support'!E24</f>
        <v>414194</v>
      </c>
      <c r="F20" s="16">
        <f>+'BS Support'!F24</f>
        <v>20283.000000000015</v>
      </c>
      <c r="G20" s="16">
        <f>+'BS Support'!G24</f>
        <v>45283.000000000015</v>
      </c>
      <c r="H20" s="16">
        <f>+'BS Support'!H24</f>
        <v>132096</v>
      </c>
      <c r="I20" s="16">
        <f>+'BS Support'!I24</f>
        <v>33282.999999999985</v>
      </c>
      <c r="J20" s="16">
        <f>+'BS Support'!J24</f>
        <v>64884.999999999985</v>
      </c>
      <c r="K20" s="16">
        <f>+'BS Support'!K24</f>
        <v>69210</v>
      </c>
      <c r="L20" s="16">
        <f>+'BS Support'!L24</f>
        <v>80292.5</v>
      </c>
      <c r="M20" s="16">
        <f>+'BS Support'!M24</f>
        <v>99900</v>
      </c>
      <c r="N20" s="16">
        <f>+'BS Support'!N24</f>
        <v>19409.999999999996</v>
      </c>
      <c r="O20" s="16">
        <f>+'BS Support'!O24</f>
        <v>64700</v>
      </c>
      <c r="P20" s="16">
        <f>+'BS Support'!P24</f>
        <v>215063.33333333334</v>
      </c>
      <c r="R20" s="16">
        <f>+'BS Support'!R24</f>
        <v>72260</v>
      </c>
      <c r="S20" s="16">
        <f>+'BS Support'!S24</f>
        <v>35350.000000000007</v>
      </c>
      <c r="T20" s="16">
        <f>+'BS Support'!T24</f>
        <v>62370.000000000007</v>
      </c>
      <c r="U20" s="16">
        <f>+'BS Support'!U24</f>
        <v>68593.333333333358</v>
      </c>
      <c r="V20" s="16">
        <f>+'BS Support'!V24</f>
        <v>169316.66666666674</v>
      </c>
      <c r="W20" s="16">
        <f>+'BS Support'!W24</f>
        <v>339517.55010273983</v>
      </c>
      <c r="X20" s="16">
        <f>+'BS Support'!X24</f>
        <v>112002.6971010518</v>
      </c>
      <c r="Y20" s="16">
        <f>+'BS Support'!Y24</f>
        <v>323845.17708968685</v>
      </c>
      <c r="Z20" s="16">
        <f>+'BS Support'!Z24</f>
        <v>104411.88649903302</v>
      </c>
      <c r="AA20" s="16">
        <f>+'BS Support'!AA24</f>
        <v>130014.05910159563</v>
      </c>
      <c r="AB20" s="16">
        <f>+'BS Support'!AB24</f>
        <v>310823.69215904747</v>
      </c>
      <c r="AC20" s="16">
        <f>+'BS Support'!AC24</f>
        <v>119001.66914999427</v>
      </c>
      <c r="AE20" s="16">
        <f>+'BS Support'!AE24</f>
        <v>160801.53291263912</v>
      </c>
      <c r="AF20" s="16">
        <f>+'BS Support'!AF24</f>
        <v>316608.43588421249</v>
      </c>
      <c r="AG20" s="16">
        <f>+'BS Support'!AG24</f>
        <v>56602.500000000007</v>
      </c>
      <c r="AH20" s="16">
        <f>+'BS Support'!AH24</f>
        <v>203625.50000000003</v>
      </c>
      <c r="AI20" s="16">
        <f>+'BS Support'!AI24</f>
        <v>789365.50000000023</v>
      </c>
      <c r="AJ20" s="16">
        <f>+'BS Support'!AJ24</f>
        <v>569065.5</v>
      </c>
      <c r="AK20" s="16">
        <f>+'BS Support'!AK24</f>
        <v>226987.50000000003</v>
      </c>
      <c r="AL20" s="16">
        <f>+'BS Support'!AL24</f>
        <v>809383.66666666698</v>
      </c>
      <c r="AM20" s="16">
        <f>+'BS Support'!AM24</f>
        <v>232833.66666666672</v>
      </c>
      <c r="AN20" s="16">
        <f>+'BS Support'!AN24</f>
        <v>218349.16666666666</v>
      </c>
      <c r="AO20" s="16">
        <f>+'BS Support'!AO24</f>
        <v>230002.50000000003</v>
      </c>
      <c r="AP20" s="16">
        <f>+'BS Support'!AP24</f>
        <v>436952.50000000023</v>
      </c>
      <c r="AR20" s="16">
        <f>+AR8/3+'P&amp;L'!BL23-175000</f>
        <v>2214340.9929826469</v>
      </c>
      <c r="AS20" s="16">
        <f>+AS8/3+'P&amp;L'!BM23-175000</f>
        <v>2567107.1110982257</v>
      </c>
      <c r="AT20" s="16">
        <f>+AT8/3+'P&amp;L'!BN23-175000</f>
        <v>2646567.4636453218</v>
      </c>
      <c r="AU20" s="16">
        <f>+AU8/3+'P&amp;L'!BO23-175000</f>
        <v>2841983.9878297118</v>
      </c>
      <c r="AW20" s="16">
        <f>+AW8/3+'P&amp;L'!BT23-175000</f>
        <v>4028597.2837598184</v>
      </c>
      <c r="AX20" s="16">
        <f>+AX8/3+'P&amp;L'!BU23-175000</f>
        <v>4680609.1141919279</v>
      </c>
      <c r="AY20" s="16">
        <f>+AY8/3+'P&amp;L'!BV23-175000</f>
        <v>4684416.0177965201</v>
      </c>
      <c r="AZ20" s="16">
        <f>+AZ8/3+'P&amp;L'!BW23-175000</f>
        <v>4980227.1210677177</v>
      </c>
      <c r="BB20" s="16">
        <f>+BB8/3+'P&amp;L'!CB23-175000</f>
        <v>6010484.7837426178</v>
      </c>
      <c r="BC20" s="16">
        <f>+BC8/3+'P&amp;L'!CC23-175000</f>
        <v>6569331.4731991924</v>
      </c>
      <c r="BD20" s="16">
        <f>+BD8/3+'P&amp;L'!CD23-175000</f>
        <v>6747100.5199216995</v>
      </c>
      <c r="BE20" s="16">
        <f>+BE8/3+'P&amp;L'!CE23-175000</f>
        <v>6790253.5408401228</v>
      </c>
    </row>
    <row r="21" spans="1:57" s="16" customFormat="1" x14ac:dyDescent="0.25">
      <c r="B21" s="16" t="s">
        <v>390</v>
      </c>
      <c r="E21" s="16">
        <f>+'All Spend'!E11</f>
        <v>3350</v>
      </c>
      <c r="F21" s="16">
        <f>+'All Spend'!F11+E21</f>
        <v>6700</v>
      </c>
      <c r="G21" s="16">
        <f>+'All Spend'!G11+F21</f>
        <v>10050</v>
      </c>
      <c r="H21" s="16">
        <f>+'All Spend'!H11+G21</f>
        <v>13633.333333333334</v>
      </c>
      <c r="I21" s="16">
        <f>+'All Spend'!I11+H21</f>
        <v>17216.666666666668</v>
      </c>
      <c r="J21" s="16">
        <f>+'All Spend'!J11+I21</f>
        <v>20800</v>
      </c>
      <c r="K21" s="16">
        <f>+'All Spend'!K11+J21</f>
        <v>24533.333333333332</v>
      </c>
      <c r="L21" s="16">
        <f>+'All Spend'!L11+K21</f>
        <v>28266.666666666664</v>
      </c>
      <c r="M21" s="16">
        <f>+'All Spend'!M11+L21</f>
        <v>31999.999999999996</v>
      </c>
      <c r="N21" s="16">
        <f>+'All Spend'!N11+M21</f>
        <v>35733.333333333328</v>
      </c>
      <c r="O21" s="16">
        <f>+'All Spend'!O11+N21</f>
        <v>39466.666666666664</v>
      </c>
      <c r="P21" s="16">
        <f>+'All Spend'!P11+O21</f>
        <v>43200</v>
      </c>
      <c r="R21" s="16">
        <f>+'All Spend'!R11+P21</f>
        <v>47116.666666666664</v>
      </c>
      <c r="S21" s="16">
        <f>+'All Spend'!S11+R21</f>
        <v>51033.333333333328</v>
      </c>
      <c r="T21" s="16">
        <f>+'All Spend'!T11+S21</f>
        <v>55516.666666666664</v>
      </c>
      <c r="U21" s="16">
        <f>+'All Spend'!U11+T21</f>
        <v>61083.333333333328</v>
      </c>
      <c r="V21" s="16">
        <f>+'All Spend'!V11+U21</f>
        <v>67316.666666666657</v>
      </c>
      <c r="W21" s="16">
        <f>+'All Spend'!W11+V21</f>
        <v>75383.333333333328</v>
      </c>
      <c r="X21" s="16">
        <f>+'All Spend'!X11+W21</f>
        <v>84516.666666666657</v>
      </c>
      <c r="Y21" s="16">
        <f>+'All Spend'!Y11+X21</f>
        <v>93650</v>
      </c>
      <c r="Z21" s="16">
        <f>+'All Spend'!Z11+Y21</f>
        <v>102783.33333333334</v>
      </c>
      <c r="AA21" s="16">
        <f>+'All Spend'!AA11+Z21</f>
        <v>111916.66666666669</v>
      </c>
      <c r="AB21" s="16">
        <f>+'All Spend'!AB11+AA21</f>
        <v>121050.00000000003</v>
      </c>
      <c r="AC21" s="16">
        <f>+'All Spend'!AC11+AB21</f>
        <v>130183.33333333337</v>
      </c>
      <c r="AE21" s="16">
        <f>+'All Spend'!AE11+AC21</f>
        <v>139783.33333333337</v>
      </c>
      <c r="AF21" s="16">
        <f>+'All Spend'!AF11+AE21</f>
        <v>149383.33333333337</v>
      </c>
      <c r="AG21" s="16">
        <f>+'All Spend'!AG11+AF21</f>
        <v>158983.33333333337</v>
      </c>
      <c r="AH21" s="16">
        <f>+'All Spend'!AH11+AG21</f>
        <v>164883.33333333337</v>
      </c>
      <c r="AI21" s="16">
        <f>+'All Spend'!AI11+AH21</f>
        <v>170783.33333333337</v>
      </c>
      <c r="AJ21" s="16">
        <f>+'All Spend'!AJ11+AI21</f>
        <v>176683.33333333337</v>
      </c>
      <c r="AK21" s="16">
        <f>+'All Spend'!AK11+AJ21</f>
        <v>183783.33333333337</v>
      </c>
      <c r="AL21" s="16">
        <f>+'All Spend'!AL11+AK21</f>
        <v>190883.33333333337</v>
      </c>
      <c r="AM21" s="16">
        <f>+'All Spend'!AM11+AL21</f>
        <v>197983.33333333337</v>
      </c>
      <c r="AN21" s="16">
        <f>+'All Spend'!AN11+AM21</f>
        <v>205083.33333333337</v>
      </c>
      <c r="AO21" s="16">
        <f>+'All Spend'!AO11+AN21</f>
        <v>212183.33333333337</v>
      </c>
      <c r="AP21" s="16">
        <f>+'All Spend'!AP11+AO21</f>
        <v>219466.66666666672</v>
      </c>
      <c r="AR21" s="16">
        <f>+AP21+10000</f>
        <v>229466.66666666672</v>
      </c>
      <c r="AS21" s="16">
        <f>+AR21+5000</f>
        <v>234466.66666666672</v>
      </c>
      <c r="AT21" s="16">
        <f t="shared" ref="AT21:AU21" si="51">+AS21+5000</f>
        <v>239466.66666666672</v>
      </c>
      <c r="AU21" s="16">
        <f t="shared" si="51"/>
        <v>244466.66666666672</v>
      </c>
      <c r="AW21" s="16">
        <f>+AU21</f>
        <v>244466.66666666672</v>
      </c>
      <c r="AX21" s="16">
        <f>+AW21</f>
        <v>244466.66666666672</v>
      </c>
      <c r="AY21" s="16">
        <f t="shared" ref="AY21:AZ21" si="52">+AX21</f>
        <v>244466.66666666672</v>
      </c>
      <c r="AZ21" s="16">
        <f t="shared" si="52"/>
        <v>244466.66666666672</v>
      </c>
      <c r="BB21" s="16">
        <f>+AZ21</f>
        <v>244466.66666666672</v>
      </c>
      <c r="BC21" s="16">
        <f>+BB21</f>
        <v>244466.66666666672</v>
      </c>
      <c r="BD21" s="16">
        <f t="shared" ref="BD21:BE21" si="53">+BC21</f>
        <v>244466.66666666672</v>
      </c>
      <c r="BE21" s="16">
        <f t="shared" si="53"/>
        <v>244466.66666666672</v>
      </c>
    </row>
    <row r="22" spans="1:57" s="16" customFormat="1" x14ac:dyDescent="0.25">
      <c r="B22" s="16" t="s">
        <v>269</v>
      </c>
      <c r="E22" s="16">
        <f>+'Rev &amp; COGS'!E76</f>
        <v>0</v>
      </c>
      <c r="F22" s="16">
        <f>+'Rev &amp; COGS'!F76+E22</f>
        <v>0</v>
      </c>
      <c r="G22" s="16">
        <f>+'Rev &amp; COGS'!G76+F22</f>
        <v>0</v>
      </c>
      <c r="H22" s="16">
        <f>+'Rev &amp; COGS'!H76+G22</f>
        <v>0</v>
      </c>
      <c r="I22" s="16">
        <f>+'Rev &amp; COGS'!I76+H22</f>
        <v>0</v>
      </c>
      <c r="J22" s="16">
        <f>+'Rev &amp; COGS'!J76+I22</f>
        <v>0</v>
      </c>
      <c r="K22" s="16">
        <f>+'Rev &amp; COGS'!K76+J22</f>
        <v>0</v>
      </c>
      <c r="L22" s="16">
        <f>+'Rev &amp; COGS'!L76+K22</f>
        <v>0</v>
      </c>
      <c r="M22" s="16">
        <f>+'Rev &amp; COGS'!M76+L22</f>
        <v>0</v>
      </c>
      <c r="N22" s="16">
        <f>+'Rev &amp; COGS'!N76+M22</f>
        <v>0</v>
      </c>
      <c r="O22" s="16">
        <f>+'Rev &amp; COGS'!O76+N22</f>
        <v>0</v>
      </c>
      <c r="P22" s="16">
        <f>+'Rev &amp; COGS'!P76+O22</f>
        <v>0</v>
      </c>
      <c r="R22" s="16">
        <f>+'Rev &amp; COGS'!R76+P22</f>
        <v>0</v>
      </c>
      <c r="S22" s="16">
        <f>+'Rev &amp; COGS'!S76+R22</f>
        <v>0</v>
      </c>
      <c r="T22" s="16">
        <f>+'Rev &amp; COGS'!T76+S22</f>
        <v>0</v>
      </c>
      <c r="U22" s="16">
        <f>+'Rev &amp; COGS'!U76+T22</f>
        <v>0</v>
      </c>
      <c r="V22" s="16">
        <f>+'Rev &amp; COGS'!V76+U22</f>
        <v>0</v>
      </c>
      <c r="W22" s="16">
        <f>+'Rev &amp; COGS'!W76+V22</f>
        <v>0</v>
      </c>
      <c r="X22" s="16">
        <f>+'Rev &amp; COGS'!X76+W22</f>
        <v>0</v>
      </c>
      <c r="Y22" s="16">
        <f>+'Rev &amp; COGS'!Y76+X22</f>
        <v>0</v>
      </c>
      <c r="Z22" s="16">
        <f>+'Rev &amp; COGS'!Z76+Y22</f>
        <v>0</v>
      </c>
      <c r="AA22" s="16">
        <f>+'Rev &amp; COGS'!AA76+Z22</f>
        <v>0</v>
      </c>
      <c r="AB22" s="16">
        <f>+'Rev &amp; COGS'!AB76+AA22</f>
        <v>0</v>
      </c>
      <c r="AC22" s="16">
        <f>+'Rev &amp; COGS'!AC76+AB22</f>
        <v>0</v>
      </c>
      <c r="AE22" s="16">
        <f>+'Rev &amp; COGS'!AE76+AC22</f>
        <v>0</v>
      </c>
      <c r="AF22" s="16">
        <f>+'Rev &amp; COGS'!AF76+AE22</f>
        <v>0</v>
      </c>
      <c r="AG22" s="16">
        <f>+'Rev &amp; COGS'!AG76+AF22</f>
        <v>0</v>
      </c>
      <c r="AH22" s="16">
        <f>+'Rev &amp; COGS'!AH76+AG22</f>
        <v>0</v>
      </c>
      <c r="AI22" s="16">
        <f>+'Rev &amp; COGS'!AI76+AH22</f>
        <v>0</v>
      </c>
      <c r="AJ22" s="16">
        <f>+'Rev &amp; COGS'!AJ76+AI22</f>
        <v>0</v>
      </c>
      <c r="AK22" s="16">
        <f>+'Rev &amp; COGS'!AK76+AJ22</f>
        <v>0</v>
      </c>
      <c r="AL22" s="16">
        <f>+'Rev &amp; COGS'!AL76+AK22</f>
        <v>0</v>
      </c>
      <c r="AM22" s="16">
        <f>+'Rev &amp; COGS'!AM76+AL22</f>
        <v>0</v>
      </c>
      <c r="AN22" s="16">
        <f>+'Rev &amp; COGS'!AN76+AM22</f>
        <v>0</v>
      </c>
      <c r="AO22" s="16">
        <f>+'Rev &amp; COGS'!AO76+AN22</f>
        <v>0</v>
      </c>
      <c r="AP22" s="16">
        <f>+'Rev &amp; COGS'!AP76+AO22</f>
        <v>0</v>
      </c>
      <c r="AR22" s="16">
        <f>+'Rev &amp; COGS'!AR76+AQ22</f>
        <v>0</v>
      </c>
      <c r="AS22" s="16">
        <f>+'Rev &amp; COGS'!AS76+AR22</f>
        <v>0</v>
      </c>
      <c r="AT22" s="16">
        <f>+'Rev &amp; COGS'!AT76+AS22</f>
        <v>0</v>
      </c>
      <c r="AU22" s="16">
        <f>+'Rev &amp; COGS'!AU76+AT22</f>
        <v>0</v>
      </c>
      <c r="AW22" s="16">
        <f>+AU22</f>
        <v>0</v>
      </c>
      <c r="AX22" s="16">
        <f>+'Rev &amp; COGS'!AX76+AW22</f>
        <v>0</v>
      </c>
      <c r="AY22" s="16">
        <f>+'Rev &amp; COGS'!AY76+AX22</f>
        <v>0</v>
      </c>
      <c r="AZ22" s="16">
        <f>+'Rev &amp; COGS'!AZ76+AY22</f>
        <v>0</v>
      </c>
      <c r="BB22" s="16">
        <f>+AZ22</f>
        <v>0</v>
      </c>
      <c r="BC22" s="16">
        <f>+'Rev &amp; COGS'!BC76+BB22</f>
        <v>0</v>
      </c>
      <c r="BD22" s="16">
        <f>+'Rev &amp; COGS'!BD76+BC22</f>
        <v>0</v>
      </c>
      <c r="BE22" s="16">
        <f>+'Rev &amp; COGS'!BE76+BD22</f>
        <v>0</v>
      </c>
    </row>
    <row r="23" spans="1:57" s="16" customFormat="1" x14ac:dyDescent="0.25"/>
    <row r="24" spans="1:57" s="16" customFormat="1" x14ac:dyDescent="0.25">
      <c r="B24" s="16" t="s">
        <v>260</v>
      </c>
      <c r="D24" s="17">
        <f>SUM(D20:D23)</f>
        <v>0</v>
      </c>
      <c r="E24" s="17">
        <f t="shared" ref="E24:P24" si="54">SUM(E20:E23)</f>
        <v>417544</v>
      </c>
      <c r="F24" s="17">
        <f t="shared" si="54"/>
        <v>26983.000000000015</v>
      </c>
      <c r="G24" s="17">
        <f t="shared" si="54"/>
        <v>55333.000000000015</v>
      </c>
      <c r="H24" s="17">
        <f t="shared" si="54"/>
        <v>145729.33333333334</v>
      </c>
      <c r="I24" s="17">
        <f t="shared" si="54"/>
        <v>50499.666666666657</v>
      </c>
      <c r="J24" s="17">
        <f t="shared" si="54"/>
        <v>85684.999999999985</v>
      </c>
      <c r="K24" s="17">
        <f t="shared" si="54"/>
        <v>93743.333333333328</v>
      </c>
      <c r="L24" s="17">
        <f t="shared" si="54"/>
        <v>108559.16666666666</v>
      </c>
      <c r="M24" s="17">
        <f t="shared" si="54"/>
        <v>131900</v>
      </c>
      <c r="N24" s="17">
        <f t="shared" si="54"/>
        <v>55143.333333333328</v>
      </c>
      <c r="O24" s="17">
        <f t="shared" si="54"/>
        <v>104166.66666666666</v>
      </c>
      <c r="P24" s="17">
        <f t="shared" si="54"/>
        <v>258263.33333333334</v>
      </c>
      <c r="R24" s="17">
        <f t="shared" ref="R24" si="55">SUM(R20:R23)</f>
        <v>119376.66666666666</v>
      </c>
      <c r="S24" s="17">
        <f t="shared" ref="S24" si="56">SUM(S20:S23)</f>
        <v>86383.333333333343</v>
      </c>
      <c r="T24" s="17">
        <f t="shared" ref="T24" si="57">SUM(T20:T23)</f>
        <v>117886.66666666667</v>
      </c>
      <c r="U24" s="17">
        <f t="shared" ref="U24" si="58">SUM(U20:U23)</f>
        <v>129676.66666666669</v>
      </c>
      <c r="V24" s="17">
        <f t="shared" ref="V24" si="59">SUM(V20:V23)</f>
        <v>236633.3333333334</v>
      </c>
      <c r="W24" s="17">
        <f t="shared" ref="W24" si="60">SUM(W20:W23)</f>
        <v>414900.88343607314</v>
      </c>
      <c r="X24" s="17">
        <f t="shared" ref="X24" si="61">SUM(X20:X23)</f>
        <v>196519.36376771846</v>
      </c>
      <c r="Y24" s="17">
        <f t="shared" ref="Y24" si="62">SUM(Y20:Y23)</f>
        <v>417495.17708968685</v>
      </c>
      <c r="Z24" s="17">
        <f t="shared" ref="Z24" si="63">SUM(Z20:Z23)</f>
        <v>207195.21983236636</v>
      </c>
      <c r="AA24" s="17">
        <f t="shared" ref="AA24" si="64">SUM(AA20:AA23)</f>
        <v>241930.72576826232</v>
      </c>
      <c r="AB24" s="17">
        <f t="shared" ref="AB24" si="65">SUM(AB20:AB23)</f>
        <v>431873.69215904747</v>
      </c>
      <c r="AC24" s="17">
        <f t="shared" ref="AC24" si="66">SUM(AC20:AC23)</f>
        <v>249185.00248332764</v>
      </c>
      <c r="AE24" s="17">
        <f t="shared" ref="AE24" si="67">SUM(AE20:AE23)</f>
        <v>300584.86624597246</v>
      </c>
      <c r="AF24" s="17">
        <f t="shared" ref="AF24" si="68">SUM(AF20:AF23)</f>
        <v>465991.76921754587</v>
      </c>
      <c r="AG24" s="17">
        <f t="shared" ref="AG24" si="69">SUM(AG20:AG23)</f>
        <v>215585.83333333337</v>
      </c>
      <c r="AH24" s="17">
        <f t="shared" ref="AH24" si="70">SUM(AH20:AH23)</f>
        <v>368508.83333333337</v>
      </c>
      <c r="AI24" s="17">
        <f t="shared" ref="AI24" si="71">SUM(AI20:AI23)</f>
        <v>960148.8333333336</v>
      </c>
      <c r="AJ24" s="17">
        <f t="shared" ref="AJ24" si="72">SUM(AJ20:AJ23)</f>
        <v>745748.83333333337</v>
      </c>
      <c r="AK24" s="17">
        <f t="shared" ref="AK24" si="73">SUM(AK20:AK23)</f>
        <v>410770.83333333337</v>
      </c>
      <c r="AL24" s="17">
        <f t="shared" ref="AL24" si="74">SUM(AL20:AL23)</f>
        <v>1000267.0000000003</v>
      </c>
      <c r="AM24" s="17">
        <f t="shared" ref="AM24" si="75">SUM(AM20:AM23)</f>
        <v>430817.00000000012</v>
      </c>
      <c r="AN24" s="17">
        <f t="shared" ref="AN24" si="76">SUM(AN20:AN23)</f>
        <v>423432.5</v>
      </c>
      <c r="AO24" s="17">
        <f t="shared" ref="AO24" si="77">SUM(AO20:AO23)</f>
        <v>442185.83333333337</v>
      </c>
      <c r="AP24" s="17">
        <f t="shared" ref="AP24" si="78">SUM(AP20:AP23)</f>
        <v>656419.16666666698</v>
      </c>
      <c r="AR24" s="17">
        <f t="shared" ref="AR24:AU24" si="79">SUM(AR20:AR23)</f>
        <v>2443807.6596493134</v>
      </c>
      <c r="AS24" s="17">
        <f t="shared" si="79"/>
        <v>2801573.7777648922</v>
      </c>
      <c r="AT24" s="17">
        <f t="shared" si="79"/>
        <v>2886034.1303119883</v>
      </c>
      <c r="AU24" s="17">
        <f t="shared" si="79"/>
        <v>3086450.6544963783</v>
      </c>
      <c r="AW24" s="17">
        <f t="shared" ref="AW24:AZ24" si="80">SUM(AW20:AW23)</f>
        <v>4273063.9504264854</v>
      </c>
      <c r="AX24" s="17">
        <f t="shared" si="80"/>
        <v>4925075.7808585949</v>
      </c>
      <c r="AY24" s="17">
        <f t="shared" si="80"/>
        <v>4928882.6844631871</v>
      </c>
      <c r="AZ24" s="17">
        <f t="shared" si="80"/>
        <v>5224693.7877343846</v>
      </c>
      <c r="BB24" s="17">
        <f t="shared" ref="BB24:BE24" si="81">SUM(BB20:BB23)</f>
        <v>6254951.4504092848</v>
      </c>
      <c r="BC24" s="17">
        <f t="shared" si="81"/>
        <v>6813798.1398658594</v>
      </c>
      <c r="BD24" s="17">
        <f t="shared" si="81"/>
        <v>6991567.1865883665</v>
      </c>
      <c r="BE24" s="17">
        <f t="shared" si="81"/>
        <v>7034720.2075067898</v>
      </c>
    </row>
    <row r="25" spans="1:57" s="16" customFormat="1" x14ac:dyDescent="0.25"/>
    <row r="26" spans="1:57" s="16" customFormat="1" x14ac:dyDescent="0.25">
      <c r="A26" s="16" t="s">
        <v>261</v>
      </c>
    </row>
    <row r="27" spans="1:57" s="16" customFormat="1" x14ac:dyDescent="0.25">
      <c r="B27" s="16" t="s">
        <v>263</v>
      </c>
      <c r="E27" s="16">
        <v>4000000</v>
      </c>
      <c r="F27" s="16">
        <f>+E27</f>
        <v>4000000</v>
      </c>
      <c r="G27" s="16">
        <f t="shared" ref="G27:P27" si="82">+F27</f>
        <v>4000000</v>
      </c>
      <c r="H27" s="16">
        <f t="shared" si="82"/>
        <v>4000000</v>
      </c>
      <c r="I27" s="16">
        <f t="shared" si="82"/>
        <v>4000000</v>
      </c>
      <c r="J27" s="16">
        <f t="shared" si="82"/>
        <v>4000000</v>
      </c>
      <c r="K27" s="16">
        <f t="shared" si="82"/>
        <v>4000000</v>
      </c>
      <c r="L27" s="16">
        <f t="shared" si="82"/>
        <v>4000000</v>
      </c>
      <c r="M27" s="16">
        <f t="shared" si="82"/>
        <v>4000000</v>
      </c>
      <c r="N27" s="16">
        <f t="shared" si="82"/>
        <v>4000000</v>
      </c>
      <c r="O27" s="16">
        <f t="shared" si="82"/>
        <v>4000000</v>
      </c>
      <c r="P27" s="16">
        <f t="shared" si="82"/>
        <v>4000000</v>
      </c>
      <c r="R27" s="16">
        <f>+P27</f>
        <v>4000000</v>
      </c>
      <c r="S27" s="16">
        <f t="shared" ref="S27:AC27" si="83">+R27</f>
        <v>4000000</v>
      </c>
      <c r="T27" s="16">
        <f t="shared" si="83"/>
        <v>4000000</v>
      </c>
      <c r="U27" s="16">
        <f t="shared" si="83"/>
        <v>4000000</v>
      </c>
      <c r="V27" s="16">
        <f>+U27+2500000</f>
        <v>6500000</v>
      </c>
      <c r="W27" s="16">
        <f>+V27</f>
        <v>6500000</v>
      </c>
      <c r="X27" s="16">
        <f>+W27</f>
        <v>6500000</v>
      </c>
      <c r="Y27" s="16">
        <f>+X27</f>
        <v>6500000</v>
      </c>
      <c r="Z27" s="16">
        <f t="shared" si="83"/>
        <v>6500000</v>
      </c>
      <c r="AA27" s="16">
        <f t="shared" si="83"/>
        <v>6500000</v>
      </c>
      <c r="AB27" s="16">
        <f t="shared" si="83"/>
        <v>6500000</v>
      </c>
      <c r="AC27" s="16">
        <f t="shared" si="83"/>
        <v>6500000</v>
      </c>
      <c r="AE27" s="16">
        <f>+AC27+2500000</f>
        <v>9000000</v>
      </c>
      <c r="AF27" s="16">
        <f t="shared" ref="AF27:AP27" si="84">+AE27</f>
        <v>9000000</v>
      </c>
      <c r="AG27" s="16">
        <f>+AF27</f>
        <v>9000000</v>
      </c>
      <c r="AH27" s="16">
        <f t="shared" si="84"/>
        <v>9000000</v>
      </c>
      <c r="AI27" s="16">
        <f>+AH27</f>
        <v>9000000</v>
      </c>
      <c r="AJ27" s="16">
        <f>+AI27</f>
        <v>9000000</v>
      </c>
      <c r="AK27" s="16">
        <f t="shared" si="84"/>
        <v>9000000</v>
      </c>
      <c r="AL27" s="16">
        <f>+AK27</f>
        <v>9000000</v>
      </c>
      <c r="AM27" s="16">
        <f t="shared" si="84"/>
        <v>9000000</v>
      </c>
      <c r="AN27" s="16">
        <f t="shared" si="84"/>
        <v>9000000</v>
      </c>
      <c r="AO27" s="16">
        <f t="shared" si="84"/>
        <v>9000000</v>
      </c>
      <c r="AP27" s="16">
        <f t="shared" si="84"/>
        <v>9000000</v>
      </c>
      <c r="AR27" s="16">
        <f>+AP27</f>
        <v>9000000</v>
      </c>
      <c r="AS27" s="16">
        <f t="shared" ref="AS27" si="85">+AR27</f>
        <v>9000000</v>
      </c>
      <c r="AT27" s="16">
        <f>+AS27</f>
        <v>9000000</v>
      </c>
      <c r="AU27" s="16">
        <f t="shared" ref="AU27" si="86">+AT27</f>
        <v>9000000</v>
      </c>
      <c r="AW27" s="16">
        <f>+AU27</f>
        <v>9000000</v>
      </c>
      <c r="AX27" s="16">
        <f t="shared" ref="AX27" si="87">+AW27</f>
        <v>9000000</v>
      </c>
      <c r="AY27" s="16">
        <f t="shared" ref="AY27" si="88">+AX27</f>
        <v>9000000</v>
      </c>
      <c r="AZ27" s="16">
        <f t="shared" ref="AZ27" si="89">+AY27</f>
        <v>9000000</v>
      </c>
      <c r="BB27" s="16">
        <f>+AZ27</f>
        <v>9000000</v>
      </c>
      <c r="BC27" s="16">
        <f t="shared" ref="BC27" si="90">+BB27</f>
        <v>9000000</v>
      </c>
      <c r="BD27" s="16">
        <f t="shared" ref="BD27" si="91">+BC27</f>
        <v>9000000</v>
      </c>
      <c r="BE27" s="16">
        <f t="shared" ref="BE27" si="92">+BD27</f>
        <v>9000000</v>
      </c>
    </row>
    <row r="28" spans="1:57" s="16" customFormat="1" x14ac:dyDescent="0.25">
      <c r="B28" s="16" t="s">
        <v>262</v>
      </c>
      <c r="E28" s="16">
        <f>+'P&amp;L'!E33</f>
        <v>-326583.41666666669</v>
      </c>
      <c r="F28" s="16">
        <f>+'P&amp;L'!F33+E28</f>
        <v>-479195.83333333337</v>
      </c>
      <c r="G28" s="16">
        <f>+'P&amp;L'!G33+F28</f>
        <v>-656808.25</v>
      </c>
      <c r="H28" s="16">
        <f>+'P&amp;L'!H33+G28</f>
        <v>-849733.50252525252</v>
      </c>
      <c r="I28" s="16">
        <f>+'P&amp;L'!I33+H28</f>
        <v>-1024270.755050505</v>
      </c>
      <c r="J28" s="16">
        <f>+'P&amp;L'!J33+I28</f>
        <v>-1230410.0075757576</v>
      </c>
      <c r="K28" s="16">
        <f>+'P&amp;L'!K33+J28</f>
        <v>-1445648.0101010101</v>
      </c>
      <c r="L28" s="16">
        <f>+'P&amp;L'!L33+K28</f>
        <v>-1671968.5126262626</v>
      </c>
      <c r="M28" s="16">
        <f>+'P&amp;L'!M33+L28</f>
        <v>-1917896.5151515151</v>
      </c>
      <c r="N28" s="16">
        <f>+'P&amp;L'!N33+M28</f>
        <v>-2083334.5176767677</v>
      </c>
      <c r="O28" s="16">
        <f>+'P&amp;L'!O33+N28</f>
        <v>-2294062.5202020202</v>
      </c>
      <c r="P28" s="16">
        <f>+'P&amp;L'!P33+O28</f>
        <v>-2526690.5227272725</v>
      </c>
      <c r="R28" s="16">
        <f>+'P&amp;L'!R33+P28</f>
        <v>-2752974.2196969693</v>
      </c>
      <c r="S28" s="16">
        <f>+'P&amp;L'!S33+R28</f>
        <v>-2949347.916666666</v>
      </c>
      <c r="T28" s="16">
        <f>+'P&amp;L'!T33+S28</f>
        <v>-3169005.7803030298</v>
      </c>
      <c r="U28" s="16">
        <f>+'P&amp;L'!U33+T28</f>
        <v>-3383950.1649816334</v>
      </c>
      <c r="V28" s="16">
        <f>+'P&amp;L'!V33+U28</f>
        <v>-3675050.8414661745</v>
      </c>
      <c r="W28" s="16">
        <f>+'P&amp;L'!W33+V28</f>
        <v>-3934796.4141322263</v>
      </c>
      <c r="X28" s="16">
        <f>+'P&amp;L'!X33+W28</f>
        <v>-4243619.3710953314</v>
      </c>
      <c r="Y28" s="16">
        <f>+'P&amp;L'!Y33+X28</f>
        <v>-4498922.4996338654</v>
      </c>
      <c r="Z28" s="16">
        <f>+'P&amp;L'!Z33+Y28</f>
        <v>-4738909.2245457899</v>
      </c>
      <c r="AA28" s="16">
        <f>+'P&amp;L'!AA33+Z28</f>
        <v>-4948941.3954208698</v>
      </c>
      <c r="AB28" s="16">
        <f>+'P&amp;L'!AB33+AA28</f>
        <v>-5161473.735581439</v>
      </c>
      <c r="AC28" s="16">
        <f>+'P&amp;L'!AC33+AB28</f>
        <v>-5369360.1030234387</v>
      </c>
      <c r="AE28" s="16">
        <f>+'P&amp;L'!AE33+AC28</f>
        <v>-5574065.6370748859</v>
      </c>
      <c r="AF28" s="16">
        <f>+'P&amp;L'!AF33+AE28</f>
        <v>-5803222.3440105431</v>
      </c>
      <c r="AG28" s="16">
        <f>+'P&amp;L'!AG33+AF28</f>
        <v>-6034048.873549928</v>
      </c>
      <c r="AH28" s="16">
        <f>+'P&amp;L'!AH33+AG28</f>
        <v>-6177018.4126296695</v>
      </c>
      <c r="AI28" s="16">
        <f>+'P&amp;L'!AI33+AH28</f>
        <v>-6301595.9356434131</v>
      </c>
      <c r="AJ28" s="16">
        <f>+'P&amp;L'!AJ33+AI28</f>
        <v>-6421175.9040110055</v>
      </c>
      <c r="AK28" s="16">
        <f>+'P&amp;L'!AK33+AJ28</f>
        <v>-6170207.2405926604</v>
      </c>
      <c r="AL28" s="16">
        <f>+'P&amp;L'!AL33+AK28</f>
        <v>-6070549.5899066739</v>
      </c>
      <c r="AM28" s="16">
        <f>+'P&amp;L'!AM33+AL28</f>
        <v>-5964021.986578715</v>
      </c>
      <c r="AN28" s="16">
        <f>+'P&amp;L'!AN33+AM28</f>
        <v>-5611533.1140413117</v>
      </c>
      <c r="AO28" s="16">
        <f>+'P&amp;L'!AO33+AN28</f>
        <v>-5428682.4498814838</v>
      </c>
      <c r="AP28" s="16">
        <f>+'P&amp;L'!AP33+AO28</f>
        <v>-5254866.3986028666</v>
      </c>
      <c r="AR28" s="16">
        <f>+'P&amp;L'!BL33+AP28</f>
        <v>-5205759.2519044429</v>
      </c>
      <c r="AS28" s="16">
        <f>+'P&amp;L'!BM33+AR28</f>
        <v>-4997180.6176523818</v>
      </c>
      <c r="AT28" s="16">
        <f>+'P&amp;L'!BN33+AS28</f>
        <v>-3423270.402889193</v>
      </c>
      <c r="AU28" s="16">
        <f>+'P&amp;L'!BO33+AT28</f>
        <v>-1615966.4137294313</v>
      </c>
      <c r="AW28" s="16">
        <f>+'P&amp;L'!BT33+BS!AU28</f>
        <v>-486671.21298767114</v>
      </c>
      <c r="AX28" s="16">
        <f>+'P&amp;L'!BU33+BS!AW28</f>
        <v>465847.6452843186</v>
      </c>
      <c r="AY28" s="16">
        <f>+'P&amp;L'!BV33+BS!AX28</f>
        <v>2853839.7413039738</v>
      </c>
      <c r="AZ28" s="16">
        <f>+'P&amp;L'!BW33+BS!AY28</f>
        <v>5107965.3302616021</v>
      </c>
      <c r="BB28" s="16">
        <f>'P&amp;L'!CB33+BS!AZ28</f>
        <v>7753216.578486857</v>
      </c>
      <c r="BC28" s="16">
        <f>'P&amp;L'!CC33+BS!BB28</f>
        <v>10712619.031746987</v>
      </c>
      <c r="BD28" s="16">
        <f>'P&amp;L'!CD33+BS!BC28</f>
        <v>14963238.998890359</v>
      </c>
      <c r="BE28" s="16">
        <f>'P&amp;L'!CE33+BS!BD28</f>
        <v>19776261.848129928</v>
      </c>
    </row>
    <row r="29" spans="1:57" s="16" customFormat="1" x14ac:dyDescent="0.25">
      <c r="B29" s="16" t="s">
        <v>265</v>
      </c>
      <c r="D29" s="17">
        <f>+D28+D27</f>
        <v>0</v>
      </c>
      <c r="E29" s="17">
        <f t="shared" ref="E29:P29" si="93">+E28+E27</f>
        <v>3673416.5833333335</v>
      </c>
      <c r="F29" s="17">
        <f t="shared" si="93"/>
        <v>3520804.1666666665</v>
      </c>
      <c r="G29" s="17">
        <f t="shared" si="93"/>
        <v>3343191.75</v>
      </c>
      <c r="H29" s="17">
        <f t="shared" si="93"/>
        <v>3150266.4974747477</v>
      </c>
      <c r="I29" s="17">
        <f t="shared" si="93"/>
        <v>2975729.244949495</v>
      </c>
      <c r="J29" s="17">
        <f t="shared" si="93"/>
        <v>2769589.9924242422</v>
      </c>
      <c r="K29" s="17">
        <f t="shared" si="93"/>
        <v>2554351.9898989899</v>
      </c>
      <c r="L29" s="17">
        <f t="shared" si="93"/>
        <v>2328031.4873737376</v>
      </c>
      <c r="M29" s="17">
        <f t="shared" si="93"/>
        <v>2082103.4848484849</v>
      </c>
      <c r="N29" s="17">
        <f t="shared" si="93"/>
        <v>1916665.4823232323</v>
      </c>
      <c r="O29" s="17">
        <f t="shared" si="93"/>
        <v>1705937.4797979798</v>
      </c>
      <c r="P29" s="17">
        <f t="shared" si="93"/>
        <v>1473309.4772727275</v>
      </c>
      <c r="R29" s="17">
        <f t="shared" ref="R29" si="94">+R28+R27</f>
        <v>1247025.7803030307</v>
      </c>
      <c r="S29" s="17">
        <f t="shared" ref="S29" si="95">+S28+S27</f>
        <v>1050652.083333334</v>
      </c>
      <c r="T29" s="17">
        <f t="shared" ref="T29" si="96">+T28+T27</f>
        <v>830994.21969697019</v>
      </c>
      <c r="U29" s="17">
        <f t="shared" ref="U29" si="97">+U28+U27</f>
        <v>616049.83501836658</v>
      </c>
      <c r="V29" s="17">
        <f t="shared" ref="V29" si="98">+V28+V27</f>
        <v>2824949.1585338255</v>
      </c>
      <c r="W29" s="17">
        <f t="shared" ref="W29" si="99">+W28+W27</f>
        <v>2565203.5858677737</v>
      </c>
      <c r="X29" s="17">
        <f t="shared" ref="X29" si="100">+X28+X27</f>
        <v>2256380.6289046686</v>
      </c>
      <c r="Y29" s="17">
        <f t="shared" ref="Y29" si="101">+Y28+Y27</f>
        <v>2001077.5003661346</v>
      </c>
      <c r="Z29" s="17">
        <f t="shared" ref="Z29" si="102">+Z28+Z27</f>
        <v>1761090.7754542101</v>
      </c>
      <c r="AA29" s="17">
        <f t="shared" ref="AA29" si="103">+AA28+AA27</f>
        <v>1551058.6045791302</v>
      </c>
      <c r="AB29" s="17">
        <f t="shared" ref="AB29" si="104">+AB28+AB27</f>
        <v>1338526.264418561</v>
      </c>
      <c r="AC29" s="17">
        <f t="shared" ref="AC29" si="105">+AC28+AC27</f>
        <v>1130639.8969765613</v>
      </c>
      <c r="AE29" s="17">
        <f t="shared" ref="AE29" si="106">+AE28+AE27</f>
        <v>3425934.3629251141</v>
      </c>
      <c r="AF29" s="17">
        <f t="shared" ref="AF29" si="107">+AF28+AF27</f>
        <v>3196777.6559894569</v>
      </c>
      <c r="AG29" s="17">
        <f t="shared" ref="AG29" si="108">+AG28+AG27</f>
        <v>2965951.126450072</v>
      </c>
      <c r="AH29" s="17">
        <f t="shared" ref="AH29" si="109">+AH28+AH27</f>
        <v>2822981.5873703305</v>
      </c>
      <c r="AI29" s="17">
        <f t="shared" ref="AI29" si="110">+AI28+AI27</f>
        <v>2698404.0643565869</v>
      </c>
      <c r="AJ29" s="17">
        <f t="shared" ref="AJ29" si="111">+AJ28+AJ27</f>
        <v>2578824.0959889945</v>
      </c>
      <c r="AK29" s="17">
        <f t="shared" ref="AK29" si="112">+AK28+AK27</f>
        <v>2829792.7594073396</v>
      </c>
      <c r="AL29" s="17">
        <f t="shared" ref="AL29" si="113">+AL28+AL27</f>
        <v>2929450.4100933261</v>
      </c>
      <c r="AM29" s="17">
        <f t="shared" ref="AM29" si="114">+AM28+AM27</f>
        <v>3035978.013421285</v>
      </c>
      <c r="AN29" s="17">
        <f t="shared" ref="AN29" si="115">+AN28+AN27</f>
        <v>3388466.8859586883</v>
      </c>
      <c r="AO29" s="17">
        <f t="shared" ref="AO29" si="116">+AO28+AO27</f>
        <v>3571317.5501185162</v>
      </c>
      <c r="AP29" s="17">
        <f t="shared" ref="AP29" si="117">+AP28+AP27</f>
        <v>3745133.6013971334</v>
      </c>
      <c r="AR29" s="17">
        <f t="shared" ref="AR29:AU29" si="118">+AR28+AR27</f>
        <v>3794240.7480955571</v>
      </c>
      <c r="AS29" s="17">
        <f t="shared" si="118"/>
        <v>4002819.3823476182</v>
      </c>
      <c r="AT29" s="17">
        <f t="shared" si="118"/>
        <v>5576729.597110807</v>
      </c>
      <c r="AU29" s="17">
        <f t="shared" si="118"/>
        <v>7384033.5862705689</v>
      </c>
      <c r="AW29" s="17">
        <f t="shared" ref="AW29:AZ29" si="119">+AW28+AW27</f>
        <v>8513328.7870123293</v>
      </c>
      <c r="AX29" s="17">
        <f t="shared" si="119"/>
        <v>9465847.6452843193</v>
      </c>
      <c r="AY29" s="17">
        <f t="shared" si="119"/>
        <v>11853839.741303973</v>
      </c>
      <c r="AZ29" s="17">
        <f t="shared" si="119"/>
        <v>14107965.330261603</v>
      </c>
      <c r="BB29" s="17">
        <f t="shared" ref="BB29:BE29" si="120">+BB28+BB27</f>
        <v>16753216.578486856</v>
      </c>
      <c r="BC29" s="17">
        <f t="shared" si="120"/>
        <v>19712619.031746987</v>
      </c>
      <c r="BD29" s="17">
        <f t="shared" si="120"/>
        <v>23963238.998890359</v>
      </c>
      <c r="BE29" s="17">
        <f t="shared" si="120"/>
        <v>28776261.848129928</v>
      </c>
    </row>
    <row r="30" spans="1:57" s="16" customFormat="1" ht="16.5" thickBot="1" x14ac:dyDescent="0.3">
      <c r="B30" s="16" t="s">
        <v>266</v>
      </c>
      <c r="D30" s="43">
        <f>+D29+D24</f>
        <v>0</v>
      </c>
      <c r="E30" s="43">
        <f t="shared" ref="E30:P30" si="121">+E29+E24</f>
        <v>4090960.5833333335</v>
      </c>
      <c r="F30" s="43">
        <f t="shared" si="121"/>
        <v>3547787.1666666665</v>
      </c>
      <c r="G30" s="43">
        <f t="shared" si="121"/>
        <v>3398524.75</v>
      </c>
      <c r="H30" s="43">
        <f t="shared" si="121"/>
        <v>3295995.8308080812</v>
      </c>
      <c r="I30" s="43">
        <f t="shared" si="121"/>
        <v>3026228.9116161615</v>
      </c>
      <c r="J30" s="43">
        <f t="shared" si="121"/>
        <v>2855274.9924242422</v>
      </c>
      <c r="K30" s="43">
        <f t="shared" si="121"/>
        <v>2648095.3232323234</v>
      </c>
      <c r="L30" s="43">
        <f t="shared" si="121"/>
        <v>2436590.6540404041</v>
      </c>
      <c r="M30" s="43">
        <f t="shared" si="121"/>
        <v>2214003.4848484849</v>
      </c>
      <c r="N30" s="43">
        <f t="shared" si="121"/>
        <v>1971808.8156565656</v>
      </c>
      <c r="O30" s="43">
        <f t="shared" si="121"/>
        <v>1810104.1464646466</v>
      </c>
      <c r="P30" s="43">
        <f t="shared" si="121"/>
        <v>1731572.8106060608</v>
      </c>
      <c r="R30" s="43">
        <f t="shared" ref="R30" si="122">+R29+R24</f>
        <v>1366402.4469696975</v>
      </c>
      <c r="S30" s="43">
        <f t="shared" ref="S30" si="123">+S29+S24</f>
        <v>1137035.4166666672</v>
      </c>
      <c r="T30" s="43">
        <f t="shared" ref="T30" si="124">+T29+T24</f>
        <v>948880.88636363682</v>
      </c>
      <c r="U30" s="43">
        <f t="shared" ref="U30" si="125">+U29+U24</f>
        <v>745726.50168503332</v>
      </c>
      <c r="V30" s="43">
        <f t="shared" ref="V30" si="126">+V29+V24</f>
        <v>3061582.491867159</v>
      </c>
      <c r="W30" s="43">
        <f t="shared" ref="W30" si="127">+W29+W24</f>
        <v>2980104.4693038468</v>
      </c>
      <c r="X30" s="43">
        <f t="shared" ref="X30" si="128">+X29+X24</f>
        <v>2452899.992672387</v>
      </c>
      <c r="Y30" s="43">
        <f t="shared" ref="Y30" si="129">+Y29+Y24</f>
        <v>2418572.6774558215</v>
      </c>
      <c r="Z30" s="43">
        <f t="shared" ref="Z30" si="130">+Z29+Z24</f>
        <v>1968285.9952865764</v>
      </c>
      <c r="AA30" s="43">
        <f t="shared" ref="AA30" si="131">+AA29+AA24</f>
        <v>1792989.3303473925</v>
      </c>
      <c r="AB30" s="43">
        <f t="shared" ref="AB30" si="132">+AB29+AB24</f>
        <v>1770399.9565776084</v>
      </c>
      <c r="AC30" s="43">
        <f t="shared" ref="AC30" si="133">+AC29+AC24</f>
        <v>1379824.8994598889</v>
      </c>
      <c r="AE30" s="43">
        <f t="shared" ref="AE30" si="134">+AE29+AE24</f>
        <v>3726519.2291710866</v>
      </c>
      <c r="AF30" s="43">
        <f t="shared" ref="AF30" si="135">+AF29+AF24</f>
        <v>3662769.425207003</v>
      </c>
      <c r="AG30" s="43">
        <f t="shared" ref="AG30" si="136">+AG29+AG24</f>
        <v>3181536.9597834055</v>
      </c>
      <c r="AH30" s="43">
        <f t="shared" ref="AH30" si="137">+AH29+AH24</f>
        <v>3191490.420703664</v>
      </c>
      <c r="AI30" s="43">
        <f t="shared" ref="AI30" si="138">+AI29+AI24</f>
        <v>3658552.8976899204</v>
      </c>
      <c r="AJ30" s="43">
        <f t="shared" ref="AJ30" si="139">+AJ29+AJ24</f>
        <v>3324572.929322328</v>
      </c>
      <c r="AK30" s="43">
        <f t="shared" ref="AK30" si="140">+AK29+AK24</f>
        <v>3240563.5927406731</v>
      </c>
      <c r="AL30" s="43">
        <f t="shared" ref="AL30" si="141">+AL29+AL24</f>
        <v>3929717.4100933266</v>
      </c>
      <c r="AM30" s="43">
        <f t="shared" ref="AM30" si="142">+AM29+AM24</f>
        <v>3466795.013421285</v>
      </c>
      <c r="AN30" s="43">
        <f t="shared" ref="AN30" si="143">+AN29+AN24</f>
        <v>3811899.3859586883</v>
      </c>
      <c r="AO30" s="43">
        <f t="shared" ref="AO30" si="144">+AO29+AO24</f>
        <v>4013503.3834518497</v>
      </c>
      <c r="AP30" s="43">
        <f t="shared" ref="AP30" si="145">+AP29+AP24</f>
        <v>4401552.7680638004</v>
      </c>
      <c r="AR30" s="43">
        <f t="shared" ref="AR30:AU30" si="146">+AR29+AR24</f>
        <v>6238048.4077448705</v>
      </c>
      <c r="AS30" s="43">
        <f t="shared" si="146"/>
        <v>6804393.1601125104</v>
      </c>
      <c r="AT30" s="43">
        <f t="shared" si="146"/>
        <v>8462763.7274227962</v>
      </c>
      <c r="AU30" s="43">
        <f t="shared" si="146"/>
        <v>10470484.240766946</v>
      </c>
      <c r="AW30" s="43">
        <f t="shared" ref="AW30:AZ30" si="147">+AW29+AW24</f>
        <v>12786392.737438815</v>
      </c>
      <c r="AX30" s="43">
        <f t="shared" si="147"/>
        <v>14390923.426142914</v>
      </c>
      <c r="AY30" s="43">
        <f t="shared" si="147"/>
        <v>16782722.425767161</v>
      </c>
      <c r="AZ30" s="43">
        <f t="shared" si="147"/>
        <v>19332659.117995989</v>
      </c>
      <c r="BB30" s="43">
        <f t="shared" ref="BB30:BE30" si="148">+BB29+BB24</f>
        <v>23008168.028896142</v>
      </c>
      <c r="BC30" s="43">
        <f t="shared" si="148"/>
        <v>26526417.171612848</v>
      </c>
      <c r="BD30" s="43">
        <f t="shared" si="148"/>
        <v>30954806.185478725</v>
      </c>
      <c r="BE30" s="43">
        <f t="shared" si="148"/>
        <v>35810982.055636719</v>
      </c>
    </row>
    <row r="31" spans="1:57" s="16" customFormat="1" ht="16.5" thickTop="1" x14ac:dyDescent="0.25"/>
    <row r="32" spans="1:57" s="16" customFormat="1" x14ac:dyDescent="0.25"/>
    <row r="33" s="16" customFormat="1" x14ac:dyDescent="0.25"/>
    <row r="34" s="16" customFormat="1" x14ac:dyDescent="0.25"/>
    <row r="35" s="16" customFormat="1" x14ac:dyDescent="0.25"/>
    <row r="36" s="16" customFormat="1" x14ac:dyDescent="0.25"/>
    <row r="37" s="16" customFormat="1" x14ac:dyDescent="0.25"/>
    <row r="38" s="16" customFormat="1" x14ac:dyDescent="0.25"/>
    <row r="39" s="16" customFormat="1" x14ac:dyDescent="0.25"/>
    <row r="40" s="16" customFormat="1" x14ac:dyDescent="0.25"/>
    <row r="41" s="16" customFormat="1" x14ac:dyDescent="0.25"/>
    <row r="42" s="16" customFormat="1" x14ac:dyDescent="0.25"/>
    <row r="43" s="16" customFormat="1" x14ac:dyDescent="0.25"/>
    <row r="44" s="16" customFormat="1" x14ac:dyDescent="0.25"/>
    <row r="45" s="16" customFormat="1" x14ac:dyDescent="0.25"/>
    <row r="46" s="16" customFormat="1" x14ac:dyDescent="0.25"/>
    <row r="47" s="16" customFormat="1" x14ac:dyDescent="0.25"/>
    <row r="48" s="16" customFormat="1" x14ac:dyDescent="0.25"/>
    <row r="49" s="16" customFormat="1" x14ac:dyDescent="0.25"/>
    <row r="50" s="16" customFormat="1" x14ac:dyDescent="0.25"/>
    <row r="51" s="16" customFormat="1" x14ac:dyDescent="0.25"/>
    <row r="52" s="16" customFormat="1" x14ac:dyDescent="0.25"/>
    <row r="53" s="16" customFormat="1" x14ac:dyDescent="0.25"/>
    <row r="54" s="16" customFormat="1" x14ac:dyDescent="0.25"/>
    <row r="55" s="16" customFormat="1" x14ac:dyDescent="0.25"/>
    <row r="56" s="16" customFormat="1" x14ac:dyDescent="0.25"/>
    <row r="57" s="16" customFormat="1" x14ac:dyDescent="0.25"/>
    <row r="58" s="16" customFormat="1" x14ac:dyDescent="0.25"/>
    <row r="59" s="16" customFormat="1" x14ac:dyDescent="0.25"/>
    <row r="60" s="16" customFormat="1" x14ac:dyDescent="0.25"/>
    <row r="61" s="16" customFormat="1" x14ac:dyDescent="0.25"/>
    <row r="62" s="16" customFormat="1" x14ac:dyDescent="0.25"/>
    <row r="63" s="16" customFormat="1" x14ac:dyDescent="0.25"/>
    <row r="64" s="16" customFormat="1" x14ac:dyDescent="0.25"/>
    <row r="65" s="16" customFormat="1" x14ac:dyDescent="0.25"/>
    <row r="66" s="16" customFormat="1" x14ac:dyDescent="0.25"/>
    <row r="67" s="16" customFormat="1" x14ac:dyDescent="0.25"/>
    <row r="68" s="16" customFormat="1" x14ac:dyDescent="0.25"/>
    <row r="69" s="16" customFormat="1" x14ac:dyDescent="0.25"/>
    <row r="70" s="16" customFormat="1" x14ac:dyDescent="0.25"/>
    <row r="71" s="16" customFormat="1" x14ac:dyDescent="0.25"/>
    <row r="72" s="16" customFormat="1" x14ac:dyDescent="0.25"/>
    <row r="73" s="16" customFormat="1" x14ac:dyDescent="0.25"/>
    <row r="74" s="16" customFormat="1" x14ac:dyDescent="0.25"/>
    <row r="75" s="16" customFormat="1" x14ac:dyDescent="0.25"/>
    <row r="76" s="16" customFormat="1" x14ac:dyDescent="0.25"/>
    <row r="77" s="16" customFormat="1" x14ac:dyDescent="0.25"/>
    <row r="78" s="16" customFormat="1" x14ac:dyDescent="0.25"/>
    <row r="79" s="16" customFormat="1" x14ac:dyDescent="0.25"/>
    <row r="80" s="16" customFormat="1" x14ac:dyDescent="0.25"/>
    <row r="81" s="16" customFormat="1" x14ac:dyDescent="0.25"/>
    <row r="82" s="16" customFormat="1" x14ac:dyDescent="0.25"/>
    <row r="83" s="16" customFormat="1" x14ac:dyDescent="0.25"/>
    <row r="84" s="16" customFormat="1" x14ac:dyDescent="0.25"/>
    <row r="85" s="16" customFormat="1" x14ac:dyDescent="0.25"/>
    <row r="86" s="16" customFormat="1" x14ac:dyDescent="0.25"/>
    <row r="87" s="16" customFormat="1" x14ac:dyDescent="0.25"/>
    <row r="88" s="16" customFormat="1" x14ac:dyDescent="0.25"/>
    <row r="89" s="16" customFormat="1" x14ac:dyDescent="0.25"/>
    <row r="90" s="16" customFormat="1" x14ac:dyDescent="0.25"/>
    <row r="91" s="16" customFormat="1" x14ac:dyDescent="0.25"/>
    <row r="92" s="16" customFormat="1" x14ac:dyDescent="0.25"/>
    <row r="93" s="16" customFormat="1" x14ac:dyDescent="0.25"/>
    <row r="94" s="16" customFormat="1" x14ac:dyDescent="0.25"/>
    <row r="95" s="16" customFormat="1" x14ac:dyDescent="0.25"/>
    <row r="96" s="16" customFormat="1" x14ac:dyDescent="0.25"/>
    <row r="97" s="16" customFormat="1" x14ac:dyDescent="0.25"/>
    <row r="98" s="16" customFormat="1" x14ac:dyDescent="0.25"/>
    <row r="99" s="16" customFormat="1" x14ac:dyDescent="0.25"/>
    <row r="100" s="16" customFormat="1" x14ac:dyDescent="0.25"/>
    <row r="101" s="16" customFormat="1" x14ac:dyDescent="0.25"/>
    <row r="102" s="16" customFormat="1" x14ac:dyDescent="0.25"/>
    <row r="103" s="16" customFormat="1" x14ac:dyDescent="0.25"/>
    <row r="104" s="16" customFormat="1" x14ac:dyDescent="0.25"/>
    <row r="105" s="16" customFormat="1" x14ac:dyDescent="0.25"/>
    <row r="106" s="16" customFormat="1" x14ac:dyDescent="0.25"/>
    <row r="107" s="16" customFormat="1" x14ac:dyDescent="0.25"/>
    <row r="108" s="16" customFormat="1" x14ac:dyDescent="0.25"/>
    <row r="109" s="16" customFormat="1" x14ac:dyDescent="0.25"/>
    <row r="110" s="16" customFormat="1" x14ac:dyDescent="0.25"/>
    <row r="111" s="16" customFormat="1" x14ac:dyDescent="0.25"/>
    <row r="112"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row r="150" s="16" customFormat="1" x14ac:dyDescent="0.25"/>
    <row r="151" s="16" customFormat="1" x14ac:dyDescent="0.25"/>
    <row r="152" s="16" customFormat="1" x14ac:dyDescent="0.25"/>
    <row r="153" s="16" customFormat="1" x14ac:dyDescent="0.25"/>
    <row r="154" s="16" customFormat="1" x14ac:dyDescent="0.25"/>
    <row r="155" s="16" customFormat="1" x14ac:dyDescent="0.25"/>
    <row r="156" s="16" customFormat="1" x14ac:dyDescent="0.25"/>
    <row r="157" s="16" customFormat="1" x14ac:dyDescent="0.25"/>
    <row r="158" s="16" customFormat="1" x14ac:dyDescent="0.25"/>
    <row r="159" s="16" customFormat="1" x14ac:dyDescent="0.25"/>
    <row r="160" s="16" customFormat="1" x14ac:dyDescent="0.25"/>
    <row r="161" s="16" customFormat="1" x14ac:dyDescent="0.25"/>
    <row r="162" s="16" customFormat="1" x14ac:dyDescent="0.25"/>
    <row r="163" s="16" customFormat="1" x14ac:dyDescent="0.25"/>
    <row r="164" s="16" customFormat="1" x14ac:dyDescent="0.25"/>
    <row r="165" s="16" customFormat="1" x14ac:dyDescent="0.25"/>
    <row r="166" s="16" customFormat="1" x14ac:dyDescent="0.25"/>
    <row r="167" s="16" customFormat="1" x14ac:dyDescent="0.25"/>
    <row r="168" s="16" customFormat="1" x14ac:dyDescent="0.25"/>
    <row r="169" s="16" customFormat="1" x14ac:dyDescent="0.25"/>
    <row r="170" s="16" customFormat="1" x14ac:dyDescent="0.25"/>
    <row r="171" s="16" customFormat="1" x14ac:dyDescent="0.25"/>
    <row r="172" s="16" customFormat="1" x14ac:dyDescent="0.25"/>
    <row r="173" s="16" customFormat="1" x14ac:dyDescent="0.25"/>
    <row r="174" s="16" customFormat="1" x14ac:dyDescent="0.25"/>
    <row r="175" s="16" customFormat="1" x14ac:dyDescent="0.25"/>
    <row r="176" s="16" customFormat="1" x14ac:dyDescent="0.25"/>
    <row r="177" s="16" customFormat="1" x14ac:dyDescent="0.25"/>
    <row r="178" s="16" customFormat="1" x14ac:dyDescent="0.25"/>
    <row r="179" s="16" customFormat="1" x14ac:dyDescent="0.25"/>
    <row r="180" s="16" customFormat="1" x14ac:dyDescent="0.25"/>
    <row r="181" s="16" customFormat="1" x14ac:dyDescent="0.25"/>
    <row r="182" s="16" customFormat="1" x14ac:dyDescent="0.25"/>
    <row r="183" s="16" customFormat="1" x14ac:dyDescent="0.25"/>
    <row r="184" s="16" customFormat="1" x14ac:dyDescent="0.25"/>
    <row r="185" s="16" customFormat="1" x14ac:dyDescent="0.25"/>
    <row r="186" s="16" customFormat="1" x14ac:dyDescent="0.25"/>
    <row r="187" s="16" customFormat="1" x14ac:dyDescent="0.25"/>
    <row r="188" s="16" customFormat="1" x14ac:dyDescent="0.25"/>
    <row r="189" s="16" customFormat="1" x14ac:dyDescent="0.25"/>
    <row r="190" s="16" customFormat="1" x14ac:dyDescent="0.25"/>
    <row r="191" s="16" customFormat="1" x14ac:dyDescent="0.25"/>
    <row r="19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row r="363" s="16" customFormat="1" x14ac:dyDescent="0.25"/>
  </sheetData>
  <mergeCells count="6">
    <mergeCell ref="BB3:BE3"/>
    <mergeCell ref="E3:P3"/>
    <mergeCell ref="R3:AC3"/>
    <mergeCell ref="AE3:AP3"/>
    <mergeCell ref="AR3:AU3"/>
    <mergeCell ref="AW3:AZ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364"/>
  <sheetViews>
    <sheetView workbookViewId="0">
      <pane xSplit="2" ySplit="4" topLeftCell="C61" activePane="bottomRight" state="frozen"/>
      <selection activeCell="A5" sqref="A5:XFD363"/>
      <selection pane="topRight" activeCell="A5" sqref="A5:XFD363"/>
      <selection pane="bottomLeft" activeCell="A5" sqref="A5:XFD363"/>
      <selection pane="bottomRight" activeCell="B51" sqref="B51"/>
    </sheetView>
  </sheetViews>
  <sheetFormatPr defaultColWidth="10.25" defaultRowHeight="15.75" outlineLevelCol="1" x14ac:dyDescent="0.25"/>
  <cols>
    <col min="1" max="1" width="3.375" style="7" customWidth="1"/>
    <col min="2" max="2" width="20.625" style="7" customWidth="1"/>
    <col min="3" max="3" width="10.25" style="7"/>
    <col min="4" max="4" width="9.75" style="7" customWidth="1"/>
    <col min="5" max="16" width="10.25" style="7" hidden="1" customWidth="1" outlineLevel="1"/>
    <col min="17" max="17" width="2" style="7" customWidth="1" collapsed="1"/>
    <col min="18" max="29" width="10.25" style="7" customWidth="1" outlineLevel="1"/>
    <col min="30" max="30" width="1.625" style="7" customWidth="1"/>
    <col min="31" max="42" width="10.25" style="7" customWidth="1" outlineLevel="1"/>
    <col min="43" max="43" width="1.625" style="7" customWidth="1"/>
    <col min="44" max="48" width="10.25" style="7" hidden="1" customWidth="1" outlineLevel="1"/>
    <col min="49" max="49" width="1.625" style="7" customWidth="1" collapsed="1"/>
    <col min="50" max="54" width="10.25" style="7" hidden="1" customWidth="1" outlineLevel="1"/>
    <col min="55" max="55" width="1.625" style="7" customWidth="1" collapsed="1"/>
    <col min="56" max="60" width="10.25" style="7" hidden="1" customWidth="1" outlineLevel="1"/>
    <col min="61" max="61" width="1.625" style="7" customWidth="1" collapsed="1"/>
    <col min="62" max="66" width="10.25" style="7"/>
    <col min="67" max="67" width="1.625" style="7" customWidth="1"/>
    <col min="68" max="72" width="10.25" style="7"/>
    <col min="73" max="73" width="1.625" style="7" customWidth="1"/>
    <col min="74" max="16384" width="10.25" style="7"/>
  </cols>
  <sheetData>
    <row r="1" spans="1:78" customFormat="1" x14ac:dyDescent="0.25">
      <c r="B1" s="4" t="s">
        <v>36</v>
      </c>
    </row>
    <row r="2" spans="1:78" customFormat="1" x14ac:dyDescent="0.25">
      <c r="B2" s="4" t="s">
        <v>243</v>
      </c>
    </row>
    <row r="3" spans="1:78"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32" t="s">
        <v>12</v>
      </c>
      <c r="AS3" s="432"/>
      <c r="AT3" s="432"/>
      <c r="AU3" s="432"/>
      <c r="AV3" s="432"/>
      <c r="AX3" s="433" t="s">
        <v>13</v>
      </c>
      <c r="AY3" s="433"/>
      <c r="AZ3" s="433"/>
      <c r="BA3" s="433"/>
      <c r="BB3" s="433"/>
      <c r="BD3" s="431" t="s">
        <v>166</v>
      </c>
      <c r="BE3" s="431"/>
      <c r="BF3" s="431"/>
      <c r="BG3" s="431"/>
      <c r="BH3" s="431"/>
      <c r="BJ3" s="435" t="s">
        <v>383</v>
      </c>
      <c r="BK3" s="435"/>
      <c r="BL3" s="435"/>
      <c r="BM3" s="435"/>
      <c r="BN3" s="435"/>
      <c r="BP3" s="436" t="s">
        <v>388</v>
      </c>
      <c r="BQ3" s="436"/>
      <c r="BR3" s="436"/>
      <c r="BS3" s="436"/>
      <c r="BT3" s="436"/>
      <c r="BV3" s="434" t="s">
        <v>389</v>
      </c>
      <c r="BW3" s="434"/>
      <c r="BX3" s="434"/>
      <c r="BY3" s="434"/>
      <c r="BZ3" s="434"/>
    </row>
    <row r="4" spans="1:78" customFormat="1" ht="16.5" thickBot="1" x14ac:dyDescent="0.3">
      <c r="A4" s="1"/>
      <c r="B4" s="3"/>
      <c r="C4" s="6"/>
      <c r="D4" s="6"/>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c r="AR4" s="10" t="s">
        <v>167</v>
      </c>
      <c r="AS4" s="10" t="s">
        <v>168</v>
      </c>
      <c r="AT4" s="10" t="s">
        <v>169</v>
      </c>
      <c r="AU4" s="10" t="s">
        <v>170</v>
      </c>
      <c r="AV4" s="10" t="s">
        <v>171</v>
      </c>
      <c r="AX4" s="10" t="s">
        <v>167</v>
      </c>
      <c r="AY4" s="10" t="s">
        <v>168</v>
      </c>
      <c r="AZ4" s="10" t="s">
        <v>169</v>
      </c>
      <c r="BA4" s="10" t="s">
        <v>170</v>
      </c>
      <c r="BB4" s="10" t="s">
        <v>171</v>
      </c>
      <c r="BD4" s="10" t="s">
        <v>167</v>
      </c>
      <c r="BE4" s="10" t="s">
        <v>168</v>
      </c>
      <c r="BF4" s="10" t="s">
        <v>169</v>
      </c>
      <c r="BG4" s="10" t="s">
        <v>170</v>
      </c>
      <c r="BH4" s="10" t="s">
        <v>171</v>
      </c>
      <c r="BJ4" s="10" t="s">
        <v>167</v>
      </c>
      <c r="BK4" s="10" t="s">
        <v>168</v>
      </c>
      <c r="BL4" s="10" t="s">
        <v>169</v>
      </c>
      <c r="BM4" s="10" t="s">
        <v>170</v>
      </c>
      <c r="BN4" s="10" t="s">
        <v>171</v>
      </c>
      <c r="BP4" s="10" t="s">
        <v>167</v>
      </c>
      <c r="BQ4" s="10" t="s">
        <v>168</v>
      </c>
      <c r="BR4" s="10" t="s">
        <v>169</v>
      </c>
      <c r="BS4" s="10" t="s">
        <v>170</v>
      </c>
      <c r="BT4" s="10" t="s">
        <v>171</v>
      </c>
      <c r="BV4" s="10" t="s">
        <v>167</v>
      </c>
      <c r="BW4" s="10" t="s">
        <v>168</v>
      </c>
      <c r="BX4" s="10" t="s">
        <v>169</v>
      </c>
      <c r="BY4" s="10" t="s">
        <v>170</v>
      </c>
      <c r="BZ4" s="10" t="s">
        <v>171</v>
      </c>
    </row>
    <row r="5" spans="1:78" s="16" customFormat="1" x14ac:dyDescent="0.25">
      <c r="A5" s="19" t="s">
        <v>181</v>
      </c>
    </row>
    <row r="6" spans="1:78" s="16" customFormat="1" x14ac:dyDescent="0.25">
      <c r="B6" s="19" t="s">
        <v>219</v>
      </c>
    </row>
    <row r="7" spans="1:78" s="16" customFormat="1" x14ac:dyDescent="0.25">
      <c r="B7" s="47" t="s">
        <v>514</v>
      </c>
      <c r="E7" s="44"/>
      <c r="F7" s="44"/>
      <c r="G7" s="44"/>
      <c r="H7" s="44"/>
      <c r="I7" s="44"/>
      <c r="J7" s="44"/>
      <c r="K7" s="44"/>
      <c r="L7" s="44"/>
      <c r="M7" s="44"/>
      <c r="N7" s="44"/>
      <c r="O7" s="44"/>
      <c r="P7" s="44"/>
      <c r="R7" s="44"/>
      <c r="S7" s="44"/>
      <c r="T7" s="44"/>
      <c r="U7" s="44"/>
      <c r="V7" s="44"/>
      <c r="W7" s="44"/>
      <c r="X7" s="44">
        <f>ROUND(0.5*('Sales Projections'!$B$4*'Sales Projections'!$I$11),0)</f>
        <v>188</v>
      </c>
      <c r="Y7" s="44"/>
      <c r="Z7" s="44"/>
      <c r="AA7" s="44">
        <f>'Sales Projections'!$B$4*'Sales Projections'!$I$11-X7</f>
        <v>187</v>
      </c>
      <c r="AB7" s="44"/>
      <c r="AC7" s="44"/>
      <c r="AE7" s="44"/>
      <c r="AF7" s="44"/>
      <c r="AG7" s="44"/>
      <c r="AH7" s="44"/>
      <c r="AI7" s="44"/>
      <c r="AJ7" s="44"/>
      <c r="AK7" s="44">
        <f>ROUND(0.5*('Sales Projections'!$C$4*'Sales Projections'!$I$11) * (1+'Sales Projections'!$I$8/100),0)</f>
        <v>413</v>
      </c>
      <c r="AL7" s="44"/>
      <c r="AM7" s="44"/>
      <c r="AN7" s="44">
        <f>('Sales Projections'!$C$4*'Sales Projections'!$I$11) * (1+'Sales Projections'!$I$8/100)-AK7</f>
        <v>412.00000000000011</v>
      </c>
      <c r="AO7" s="44"/>
      <c r="AP7" s="44"/>
      <c r="AR7" s="16">
        <f>SUM(E7:P7)</f>
        <v>0</v>
      </c>
      <c r="AS7" s="16">
        <f>SUM(E7:G7)</f>
        <v>0</v>
      </c>
      <c r="AT7" s="16">
        <f>SUM(H7:J7)</f>
        <v>0</v>
      </c>
      <c r="AU7" s="16">
        <f>SUM(K7:M7)</f>
        <v>0</v>
      </c>
      <c r="AV7" s="16">
        <f>SUM(N7:P7)</f>
        <v>0</v>
      </c>
      <c r="AX7" s="16">
        <f>SUM(R7:AC7)</f>
        <v>375</v>
      </c>
      <c r="AY7" s="16">
        <f>SUM(R7:T7)</f>
        <v>0</v>
      </c>
      <c r="AZ7" s="16">
        <f>SUM(U7:W7)</f>
        <v>0</v>
      </c>
      <c r="BA7" s="16">
        <f>SUM(X7:Z7)</f>
        <v>188</v>
      </c>
      <c r="BB7" s="16">
        <f>SUM(AA7:AC7)</f>
        <v>187</v>
      </c>
      <c r="BD7" s="16">
        <f>SUM(AE7:AP7)</f>
        <v>825.00000000000011</v>
      </c>
      <c r="BE7" s="16">
        <f>SUM(AE7:AG7)</f>
        <v>0</v>
      </c>
      <c r="BF7" s="16">
        <f>SUM(AH7:AJ7)</f>
        <v>0</v>
      </c>
      <c r="BG7" s="16">
        <f>SUM(AK7:AM7)</f>
        <v>413</v>
      </c>
      <c r="BH7" s="16">
        <f>SUM(AN7:AP7)</f>
        <v>412.00000000000011</v>
      </c>
      <c r="BJ7" s="16">
        <f>SUM(BK7:BN7)</f>
        <v>1364.5775000000001</v>
      </c>
      <c r="BK7" s="44"/>
      <c r="BL7" s="44"/>
      <c r="BM7" s="44">
        <f>ROUND(0.5*('Sales Projections'!$D$4*'Sales Projections'!$I$11) * ((1+'Sales Projections'!$I$8/100)^2),0)</f>
        <v>682</v>
      </c>
      <c r="BN7" s="44">
        <f>('Sales Projections'!$D$4*'Sales Projections'!$I$11) * ((1+'Sales Projections'!$I$8/100)^2)-BM7</f>
        <v>682.5775000000001</v>
      </c>
      <c r="BP7" s="16">
        <f>SUM(BQ7:BT7)</f>
        <v>2029.7750000000005</v>
      </c>
      <c r="BQ7" s="44"/>
      <c r="BR7" s="44"/>
      <c r="BS7" s="44">
        <f>ROUND(0.5*('Sales Projections'!$E$4*'Sales Projections'!$I$11) * ((1+'Sales Projections'!$I$8/100)^3),0)</f>
        <v>1015</v>
      </c>
      <c r="BT7" s="44">
        <f>('Sales Projections'!$E$4*'Sales Projections'!$I$11) * ((1+'Sales Projections'!$I$8/100)^3)-BS7</f>
        <v>1014.7750000000005</v>
      </c>
      <c r="BV7" s="16">
        <f>SUM(BW7:BZ7)</f>
        <v>2261.302450000001</v>
      </c>
      <c r="BW7" s="44"/>
      <c r="BX7" s="44"/>
      <c r="BY7" s="44">
        <f>ROUND(0.5*('Sales Projections'!$F$4*'Sales Projections'!$I$11) * ((1+'Sales Projections'!$I$8/100)^4),0)</f>
        <v>1131</v>
      </c>
      <c r="BZ7" s="44">
        <f>('Sales Projections'!$F$4*'Sales Projections'!$I$11) * ((1+'Sales Projections'!$I$8/100)^4)-BY7</f>
        <v>1130.302450000001</v>
      </c>
    </row>
    <row r="8" spans="1:78" s="16" customFormat="1" x14ac:dyDescent="0.25">
      <c r="B8" s="47" t="s">
        <v>519</v>
      </c>
      <c r="E8" s="44"/>
      <c r="F8" s="44"/>
      <c r="G8" s="44"/>
      <c r="H8" s="44"/>
      <c r="I8" s="44"/>
      <c r="J8" s="44"/>
      <c r="K8" s="44"/>
      <c r="L8" s="44"/>
      <c r="M8" s="44"/>
      <c r="N8" s="44"/>
      <c r="O8" s="44"/>
      <c r="P8" s="44"/>
      <c r="R8" s="44"/>
      <c r="S8" s="44"/>
      <c r="T8" s="44"/>
      <c r="U8" s="44"/>
      <c r="V8" s="44"/>
      <c r="W8" s="44"/>
      <c r="X8" s="44">
        <f>'Sales Projections'!$B$4*'Sales Projections'!$I$7*('Sales Projections'!$I$10*1)</f>
        <v>1050.0000000000002</v>
      </c>
      <c r="Y8" s="44"/>
      <c r="Z8" s="44"/>
      <c r="AA8" s="44">
        <f>'Sales Projections'!$B$4*'Sales Projections'!$I$7*('Sales Projections'!$I$10*1)</f>
        <v>1050.0000000000002</v>
      </c>
      <c r="AB8" s="44"/>
      <c r="AC8" s="44"/>
      <c r="AE8" s="44">
        <f>('Sales Projections'!$B$4*'Sales Projections'!$I$7*('Sales Projections'!$I$10*1)) * (1+'Sales Projections'!$I$8/100)</f>
        <v>1155.0000000000005</v>
      </c>
      <c r="AF8" s="44"/>
      <c r="AG8" s="44"/>
      <c r="AH8" s="44">
        <f>('Sales Projections'!$B$4*'Sales Projections'!$I$7*('Sales Projections'!$I$10*1))  * (1+'Sales Projections'!$I$8/100)</f>
        <v>1155.0000000000005</v>
      </c>
      <c r="AI8" s="44"/>
      <c r="AJ8" s="44"/>
      <c r="AK8" s="44">
        <f>('Sales Projections'!$B$4*'Sales Projections'!$I$7*('Sales Projections'!$I$10*1)  + 'Sales Projections'!$C$4*'Sales Projections'!$I$7*('Sales Projections'!$I$10*1))  * (1+'Sales Projections'!$I$8/100)</f>
        <v>3465.0000000000014</v>
      </c>
      <c r="AL8" s="44"/>
      <c r="AM8" s="44"/>
      <c r="AN8" s="44">
        <f>('Sales Projections'!$B$4*'Sales Projections'!$I$7*('Sales Projections'!$I$10*1)  + 'Sales Projections'!$C$4*'Sales Projections'!$I$7*('Sales Projections'!$I$10*1)) * (1+'Sales Projections'!$I$8/100)</f>
        <v>3465.0000000000014</v>
      </c>
      <c r="AO8" s="44"/>
      <c r="AP8" s="44"/>
      <c r="AR8" s="16">
        <f t="shared" ref="AR8:AR16" si="0">SUM(E8:P8)</f>
        <v>0</v>
      </c>
      <c r="AS8" s="16">
        <f t="shared" ref="AS8:AS16" si="1">SUM(E8:G8)</f>
        <v>0</v>
      </c>
      <c r="AT8" s="16">
        <f t="shared" ref="AT8:AT16" si="2">SUM(H8:J8)</f>
        <v>0</v>
      </c>
      <c r="AU8" s="16">
        <f t="shared" ref="AU8:AU16" si="3">SUM(K8:M8)</f>
        <v>0</v>
      </c>
      <c r="AV8" s="16">
        <f t="shared" ref="AV8:AV16" si="4">SUM(N8:P8)</f>
        <v>0</v>
      </c>
      <c r="AX8" s="16">
        <f t="shared" ref="AX8:AX16" si="5">SUM(R8:AC8)</f>
        <v>2100.0000000000005</v>
      </c>
      <c r="AY8" s="16">
        <f t="shared" ref="AY8:AY16" si="6">SUM(R8:T8)</f>
        <v>0</v>
      </c>
      <c r="AZ8" s="16">
        <f t="shared" ref="AZ8:AZ16" si="7">SUM(U8:W8)</f>
        <v>0</v>
      </c>
      <c r="BA8" s="16">
        <f>SUM(X8:Z8)</f>
        <v>1050.0000000000002</v>
      </c>
      <c r="BB8" s="16">
        <f t="shared" ref="BB8:BB16" si="8">SUM(AA8:AC8)</f>
        <v>1050.0000000000002</v>
      </c>
      <c r="BD8" s="16">
        <f t="shared" ref="BD8:BD16" si="9">SUM(AE8:AP8)</f>
        <v>9240.0000000000036</v>
      </c>
      <c r="BE8" s="16">
        <f t="shared" ref="BE8:BE16" si="10">SUM(AE8:AG8)</f>
        <v>1155.0000000000005</v>
      </c>
      <c r="BF8" s="16">
        <f t="shared" ref="BF8:BF16" si="11">SUM(AH8:AJ8)</f>
        <v>1155.0000000000005</v>
      </c>
      <c r="BG8" s="16">
        <f t="shared" ref="BG8:BG16" si="12">SUM(AK8:AM8)</f>
        <v>3465.0000000000014</v>
      </c>
      <c r="BH8" s="16">
        <f t="shared" ref="BH8:BH16" si="13">SUM(AN8:AP8)</f>
        <v>3465.0000000000014</v>
      </c>
      <c r="BJ8" s="16">
        <f t="shared" ref="BJ8:BJ16" si="14">SUM(BK8:BN8)</f>
        <v>20346.634000000009</v>
      </c>
      <c r="BK8" s="44">
        <f>('Sales Projections'!$B$4*'Sales Projections'!$I$7*('Sales Projections'!$I$10*1) +'Sales Projections'!$C$4*'Sales Projections'!$I$7*('Sales Projections'!$I$10*1) ) * ((1+'Sales Projections'!$I$8/100)^2)</f>
        <v>3811.5000000000018</v>
      </c>
      <c r="BL8" s="44">
        <f>('Sales Projections'!$B$4*'Sales Projections'!$I$7*('Sales Projections'!$I$10*1) +'Sales Projections'!$C$4*'Sales Projections'!$I$7*('Sales Projections'!$I$10*1) ) * ((1+'Sales Projections'!$I$8/100)^2)</f>
        <v>3811.5000000000018</v>
      </c>
      <c r="BM8" s="44">
        <f>('Sales Projections'!$D$4*'Sales Projections'!$I$7*('Sales Projections'!$I$10*1) +'Sales Projections'!$C$4*'Sales Projections'!$I$7*('Sales Projections'!$I$10*1) ) * ((1+'Sales Projections'!$I$8/100)^2)</f>
        <v>6361.8170000000018</v>
      </c>
      <c r="BN8" s="44">
        <f>('Sales Projections'!$D$4*'Sales Projections'!$I$7*('Sales Projections'!$I$10*1) +'Sales Projections'!$C$4*'Sales Projections'!$I$7*('Sales Projections'!$I$10*1) ) * ((1+'Sales Projections'!$I$8/100)^2)</f>
        <v>6361.8170000000018</v>
      </c>
      <c r="BP8" s="16">
        <f t="shared" ref="BP8:BP16" si="15">SUM(BQ8:BT8)</f>
        <v>33768.534800000016</v>
      </c>
      <c r="BQ8" s="44">
        <f>('Sales Projections'!$C$4*'Sales Projections'!$I$7*('Sales Projections'!$I$10*1) +'Sales Projections'!$D$4*'Sales Projections'!$I$7*('Sales Projections'!$I$10*1) ) * ((1+'Sales Projections'!$I$8/100)^3)</f>
        <v>6997.9987000000028</v>
      </c>
      <c r="BR8" s="44">
        <f>('Sales Projections'!$C$4*'Sales Projections'!$I$7*('Sales Projections'!$I$10*1) +'Sales Projections'!$D$4*'Sales Projections'!$I$7*('Sales Projections'!$I$10*1) ) * ((1+'Sales Projections'!$I$8/100)^3)</f>
        <v>6997.9987000000028</v>
      </c>
      <c r="BS8" s="44">
        <f>('Sales Projections'!$E$4*'Sales Projections'!$I$7*('Sales Projections'!$I$10*1) +'Sales Projections'!$D$4*'Sales Projections'!$I$7*('Sales Projections'!$I$10*1) ) * ((1+'Sales Projections'!$I$8/100)^3)</f>
        <v>9886.268700000006</v>
      </c>
      <c r="BT8" s="44">
        <f>('Sales Projections'!$E$4*'Sales Projections'!$I$7*('Sales Projections'!$I$10*1) +'Sales Projections'!$D$4*'Sales Projections'!$I$7*('Sales Projections'!$I$10*1) ) * ((1+'Sales Projections'!$I$8/100)^3)</f>
        <v>9886.268700000006</v>
      </c>
      <c r="BV8" s="16">
        <f t="shared" ref="BV8:BV16" si="16">SUM(BW8:BZ8)</f>
        <v>46916.498860000022</v>
      </c>
      <c r="BW8" s="44">
        <f>('Sales Projections'!$D$4*'Sales Projections'!$I$7*('Sales Projections'!$I$10*1) +'Sales Projections'!$E$4*'Sales Projections'!$I$7*('Sales Projections'!$I$10*1) ) * ((1+'Sales Projections'!$I$8/100)^4)</f>
        <v>10874.895570000006</v>
      </c>
      <c r="BX8" s="44">
        <f>('Sales Projections'!$D$4*'Sales Projections'!$I$7*('Sales Projections'!$I$10*1) +'Sales Projections'!$E$4*'Sales Projections'!$I$7*('Sales Projections'!$I$10*1) ) * ((1+'Sales Projections'!$I$8/100)^4)</f>
        <v>10874.895570000006</v>
      </c>
      <c r="BY8" s="44">
        <f>('Sales Projections'!$F$4*'Sales Projections'!$I$7*('Sales Projections'!$I$10*1) +'Sales Projections'!$E$4*'Sales Projections'!$I$7*('Sales Projections'!$I$10*1) ) * ((1+'Sales Projections'!$I$8/100)^4)</f>
        <v>12583.353860000007</v>
      </c>
      <c r="BZ8" s="44">
        <f>('Sales Projections'!$F$4*'Sales Projections'!$I$7*('Sales Projections'!$I$10*1) +'Sales Projections'!$E$4*'Sales Projections'!$I$7*('Sales Projections'!$I$10*1) ) * ((1+'Sales Projections'!$I$8/100)^4)</f>
        <v>12583.353860000007</v>
      </c>
    </row>
    <row r="9" spans="1:78" s="16" customFormat="1" x14ac:dyDescent="0.25">
      <c r="B9" s="47" t="s">
        <v>572</v>
      </c>
      <c r="E9" s="44"/>
      <c r="F9" s="44"/>
      <c r="G9" s="44"/>
      <c r="H9" s="44"/>
      <c r="I9" s="44"/>
      <c r="J9" s="44"/>
      <c r="K9" s="44"/>
      <c r="L9" s="44"/>
      <c r="M9" s="44"/>
      <c r="N9" s="44"/>
      <c r="O9" s="44"/>
      <c r="P9" s="44"/>
      <c r="R9" s="44"/>
      <c r="S9" s="44"/>
      <c r="T9" s="44"/>
      <c r="U9" s="44"/>
      <c r="V9" s="44"/>
      <c r="W9" s="44"/>
      <c r="X9" s="44"/>
      <c r="Y9" s="44"/>
      <c r="Z9" s="44"/>
      <c r="AA9" s="44"/>
      <c r="AB9" s="44"/>
      <c r="AC9" s="44"/>
      <c r="AE9" s="44"/>
      <c r="AF9" s="44"/>
      <c r="AG9" s="44"/>
      <c r="AH9" s="44"/>
      <c r="AI9" s="44"/>
      <c r="AJ9" s="44"/>
      <c r="AK9" s="44"/>
      <c r="AL9" s="44"/>
      <c r="AM9" s="44"/>
      <c r="AN9" s="44"/>
      <c r="AO9" s="44"/>
      <c r="AP9" s="44"/>
      <c r="AR9" s="16">
        <f t="shared" si="0"/>
        <v>0</v>
      </c>
      <c r="AS9" s="16">
        <f t="shared" si="1"/>
        <v>0</v>
      </c>
      <c r="AT9" s="16">
        <f t="shared" si="2"/>
        <v>0</v>
      </c>
      <c r="AU9" s="16">
        <f t="shared" si="3"/>
        <v>0</v>
      </c>
      <c r="AV9" s="16">
        <f t="shared" si="4"/>
        <v>0</v>
      </c>
      <c r="AX9" s="16">
        <f t="shared" si="5"/>
        <v>0</v>
      </c>
      <c r="AY9" s="16">
        <f t="shared" si="6"/>
        <v>0</v>
      </c>
      <c r="AZ9" s="16">
        <f t="shared" si="7"/>
        <v>0</v>
      </c>
      <c r="BA9" s="16">
        <f t="shared" ref="BA9:BA16" si="17">SUM(X9:Z9)</f>
        <v>0</v>
      </c>
      <c r="BB9" s="16">
        <f t="shared" si="8"/>
        <v>0</v>
      </c>
      <c r="BD9" s="16">
        <f t="shared" si="9"/>
        <v>0</v>
      </c>
      <c r="BE9" s="16">
        <f t="shared" si="10"/>
        <v>0</v>
      </c>
      <c r="BF9" s="16">
        <f t="shared" si="11"/>
        <v>0</v>
      </c>
      <c r="BG9" s="16">
        <f t="shared" si="12"/>
        <v>0</v>
      </c>
      <c r="BH9" s="16">
        <f t="shared" si="13"/>
        <v>0</v>
      </c>
      <c r="BJ9" s="16">
        <f t="shared" si="14"/>
        <v>0</v>
      </c>
      <c r="BK9" s="44"/>
      <c r="BL9" s="44"/>
      <c r="BM9" s="44"/>
      <c r="BN9" s="44"/>
      <c r="BP9" s="16">
        <f t="shared" si="15"/>
        <v>0</v>
      </c>
      <c r="BQ9" s="44"/>
      <c r="BR9" s="44"/>
      <c r="BS9" s="44"/>
      <c r="BT9" s="44"/>
      <c r="BV9" s="16">
        <f t="shared" si="16"/>
        <v>0</v>
      </c>
      <c r="BW9" s="44"/>
      <c r="BX9" s="44"/>
      <c r="BY9" s="44"/>
      <c r="BZ9" s="44"/>
    </row>
    <row r="10" spans="1:78" s="16" customFormat="1" x14ac:dyDescent="0.25">
      <c r="B10" s="47" t="s">
        <v>549</v>
      </c>
      <c r="E10" s="44"/>
      <c r="F10" s="44"/>
      <c r="G10" s="44"/>
      <c r="H10" s="44"/>
      <c r="I10" s="44"/>
      <c r="J10" s="44"/>
      <c r="K10" s="44"/>
      <c r="L10" s="44"/>
      <c r="M10" s="44"/>
      <c r="N10" s="44"/>
      <c r="O10" s="44"/>
      <c r="P10" s="44"/>
      <c r="R10" s="44"/>
      <c r="S10" s="44"/>
      <c r="T10" s="44"/>
      <c r="U10" s="44"/>
      <c r="V10" s="44"/>
      <c r="W10" s="44"/>
      <c r="X10" s="44"/>
      <c r="Y10" s="44"/>
      <c r="Z10" s="44"/>
      <c r="AA10" s="44"/>
      <c r="AB10" s="44"/>
      <c r="AC10" s="44"/>
      <c r="AE10" s="44"/>
      <c r="AF10" s="44"/>
      <c r="AG10" s="44"/>
      <c r="AH10" s="44"/>
      <c r="AI10" s="44"/>
      <c r="AJ10" s="44"/>
      <c r="AK10" s="44"/>
      <c r="AL10" s="44"/>
      <c r="AM10" s="44"/>
      <c r="AN10" s="44"/>
      <c r="AO10" s="44"/>
      <c r="AP10" s="44"/>
      <c r="AR10" s="16">
        <f t="shared" si="0"/>
        <v>0</v>
      </c>
      <c r="AS10" s="16">
        <f t="shared" si="1"/>
        <v>0</v>
      </c>
      <c r="AT10" s="16">
        <f t="shared" si="2"/>
        <v>0</v>
      </c>
      <c r="AU10" s="16">
        <f t="shared" si="3"/>
        <v>0</v>
      </c>
      <c r="AV10" s="16">
        <f t="shared" si="4"/>
        <v>0</v>
      </c>
      <c r="AX10" s="16">
        <f t="shared" si="5"/>
        <v>0</v>
      </c>
      <c r="AY10" s="16">
        <f t="shared" si="6"/>
        <v>0</v>
      </c>
      <c r="AZ10" s="16">
        <f t="shared" si="7"/>
        <v>0</v>
      </c>
      <c r="BA10" s="16">
        <f t="shared" si="17"/>
        <v>0</v>
      </c>
      <c r="BB10" s="16">
        <f t="shared" si="8"/>
        <v>0</v>
      </c>
      <c r="BD10" s="16">
        <f t="shared" si="9"/>
        <v>0</v>
      </c>
      <c r="BE10" s="16">
        <f t="shared" si="10"/>
        <v>0</v>
      </c>
      <c r="BF10" s="16">
        <f t="shared" si="11"/>
        <v>0</v>
      </c>
      <c r="BG10" s="16">
        <f t="shared" si="12"/>
        <v>0</v>
      </c>
      <c r="BH10" s="16">
        <f t="shared" si="13"/>
        <v>0</v>
      </c>
      <c r="BJ10" s="16">
        <f t="shared" si="14"/>
        <v>0</v>
      </c>
      <c r="BK10" s="44"/>
      <c r="BL10" s="44"/>
      <c r="BM10" s="44"/>
      <c r="BN10" s="44"/>
      <c r="BP10" s="16">
        <f t="shared" si="15"/>
        <v>0</v>
      </c>
      <c r="BQ10" s="44"/>
      <c r="BR10" s="44"/>
      <c r="BS10" s="44"/>
      <c r="BT10" s="44"/>
      <c r="BV10" s="16">
        <f t="shared" si="16"/>
        <v>0</v>
      </c>
      <c r="BW10" s="44"/>
      <c r="BX10" s="44"/>
      <c r="BY10" s="44"/>
      <c r="BZ10" s="44"/>
    </row>
    <row r="11" spans="1:78" s="16" customFormat="1" x14ac:dyDescent="0.25">
      <c r="B11" s="47" t="s">
        <v>213</v>
      </c>
      <c r="E11" s="44"/>
      <c r="F11" s="44"/>
      <c r="G11" s="44"/>
      <c r="H11" s="44"/>
      <c r="I11" s="44"/>
      <c r="J11" s="44"/>
      <c r="K11" s="44"/>
      <c r="L11" s="44"/>
      <c r="M11" s="44"/>
      <c r="N11" s="44"/>
      <c r="O11" s="44"/>
      <c r="P11" s="44"/>
      <c r="R11" s="44"/>
      <c r="S11" s="44"/>
      <c r="T11" s="44"/>
      <c r="U11" s="44"/>
      <c r="V11" s="44"/>
      <c r="W11" s="44"/>
      <c r="X11" s="44"/>
      <c r="Y11" s="44"/>
      <c r="Z11" s="44"/>
      <c r="AA11" s="44"/>
      <c r="AB11" s="44"/>
      <c r="AC11" s="44"/>
      <c r="AE11" s="44"/>
      <c r="AF11" s="44"/>
      <c r="AG11" s="44"/>
      <c r="AH11" s="44"/>
      <c r="AI11" s="44"/>
      <c r="AJ11" s="44"/>
      <c r="AK11" s="44"/>
      <c r="AL11" s="44"/>
      <c r="AM11" s="44"/>
      <c r="AN11" s="44"/>
      <c r="AO11" s="44"/>
      <c r="AP11" s="44"/>
      <c r="AR11" s="16">
        <f t="shared" si="0"/>
        <v>0</v>
      </c>
      <c r="AS11" s="16">
        <f t="shared" si="1"/>
        <v>0</v>
      </c>
      <c r="AT11" s="16">
        <f t="shared" si="2"/>
        <v>0</v>
      </c>
      <c r="AU11" s="16">
        <f t="shared" si="3"/>
        <v>0</v>
      </c>
      <c r="AV11" s="16">
        <f t="shared" si="4"/>
        <v>0</v>
      </c>
      <c r="AX11" s="16">
        <f t="shared" si="5"/>
        <v>0</v>
      </c>
      <c r="AY11" s="16">
        <f t="shared" si="6"/>
        <v>0</v>
      </c>
      <c r="AZ11" s="16">
        <f t="shared" si="7"/>
        <v>0</v>
      </c>
      <c r="BA11" s="16">
        <f t="shared" si="17"/>
        <v>0</v>
      </c>
      <c r="BB11" s="16">
        <f t="shared" si="8"/>
        <v>0</v>
      </c>
      <c r="BD11" s="16">
        <f t="shared" si="9"/>
        <v>0</v>
      </c>
      <c r="BE11" s="16">
        <f t="shared" si="10"/>
        <v>0</v>
      </c>
      <c r="BF11" s="16">
        <f t="shared" si="11"/>
        <v>0</v>
      </c>
      <c r="BG11" s="16">
        <f t="shared" si="12"/>
        <v>0</v>
      </c>
      <c r="BH11" s="16">
        <f t="shared" si="13"/>
        <v>0</v>
      </c>
      <c r="BJ11" s="16">
        <f t="shared" si="14"/>
        <v>0</v>
      </c>
      <c r="BK11" s="44"/>
      <c r="BL11" s="44"/>
      <c r="BM11" s="44"/>
      <c r="BN11" s="44"/>
      <c r="BP11" s="16">
        <f t="shared" si="15"/>
        <v>0</v>
      </c>
      <c r="BQ11" s="44"/>
      <c r="BR11" s="44"/>
      <c r="BS11" s="44"/>
      <c r="BT11" s="44"/>
      <c r="BV11" s="16">
        <f t="shared" si="16"/>
        <v>0</v>
      </c>
      <c r="BW11" s="44"/>
      <c r="BX11" s="44"/>
      <c r="BY11" s="44"/>
      <c r="BZ11" s="44"/>
    </row>
    <row r="12" spans="1:78" s="16" customFormat="1" x14ac:dyDescent="0.25">
      <c r="B12" s="47" t="s">
        <v>214</v>
      </c>
      <c r="E12" s="44"/>
      <c r="F12" s="44"/>
      <c r="G12" s="44"/>
      <c r="H12" s="44"/>
      <c r="I12" s="44"/>
      <c r="J12" s="44"/>
      <c r="K12" s="44"/>
      <c r="L12" s="44"/>
      <c r="M12" s="44"/>
      <c r="N12" s="44"/>
      <c r="O12" s="44"/>
      <c r="P12" s="44"/>
      <c r="R12" s="44"/>
      <c r="S12" s="44"/>
      <c r="T12" s="44"/>
      <c r="U12" s="44"/>
      <c r="V12" s="44"/>
      <c r="W12" s="44"/>
      <c r="X12" s="44"/>
      <c r="Y12" s="44"/>
      <c r="Z12" s="44"/>
      <c r="AA12" s="44"/>
      <c r="AB12" s="44"/>
      <c r="AC12" s="44"/>
      <c r="AE12" s="44"/>
      <c r="AF12" s="44"/>
      <c r="AG12" s="44"/>
      <c r="AH12" s="44"/>
      <c r="AI12" s="44"/>
      <c r="AJ12" s="44"/>
      <c r="AK12" s="44"/>
      <c r="AL12" s="44"/>
      <c r="AM12" s="44"/>
      <c r="AN12" s="44"/>
      <c r="AO12" s="44"/>
      <c r="AP12" s="44"/>
      <c r="AR12" s="16">
        <f t="shared" si="0"/>
        <v>0</v>
      </c>
      <c r="AS12" s="16">
        <f t="shared" si="1"/>
        <v>0</v>
      </c>
      <c r="AT12" s="16">
        <f t="shared" si="2"/>
        <v>0</v>
      </c>
      <c r="AU12" s="16">
        <f t="shared" si="3"/>
        <v>0</v>
      </c>
      <c r="AV12" s="16">
        <f t="shared" si="4"/>
        <v>0</v>
      </c>
      <c r="AX12" s="16">
        <f t="shared" si="5"/>
        <v>0</v>
      </c>
      <c r="AY12" s="16">
        <f t="shared" si="6"/>
        <v>0</v>
      </c>
      <c r="AZ12" s="16">
        <f t="shared" si="7"/>
        <v>0</v>
      </c>
      <c r="BA12" s="16">
        <f t="shared" si="17"/>
        <v>0</v>
      </c>
      <c r="BB12" s="16">
        <f t="shared" si="8"/>
        <v>0</v>
      </c>
      <c r="BD12" s="16">
        <f t="shared" si="9"/>
        <v>0</v>
      </c>
      <c r="BE12" s="16">
        <f t="shared" si="10"/>
        <v>0</v>
      </c>
      <c r="BF12" s="16">
        <f t="shared" si="11"/>
        <v>0</v>
      </c>
      <c r="BG12" s="16">
        <f t="shared" si="12"/>
        <v>0</v>
      </c>
      <c r="BH12" s="16">
        <f t="shared" si="13"/>
        <v>0</v>
      </c>
      <c r="BJ12" s="16">
        <f t="shared" si="14"/>
        <v>0</v>
      </c>
      <c r="BK12" s="44"/>
      <c r="BL12" s="44"/>
      <c r="BM12" s="44"/>
      <c r="BN12" s="44"/>
      <c r="BP12" s="16">
        <f t="shared" si="15"/>
        <v>0</v>
      </c>
      <c r="BQ12" s="44"/>
      <c r="BR12" s="44"/>
      <c r="BS12" s="44"/>
      <c r="BT12" s="44"/>
      <c r="BV12" s="16">
        <f t="shared" si="16"/>
        <v>0</v>
      </c>
      <c r="BW12" s="44"/>
      <c r="BX12" s="44"/>
      <c r="BY12" s="44"/>
      <c r="BZ12" s="44"/>
    </row>
    <row r="13" spans="1:78" s="16" customFormat="1" x14ac:dyDescent="0.25">
      <c r="B13" s="47" t="s">
        <v>215</v>
      </c>
      <c r="E13" s="44"/>
      <c r="F13" s="44"/>
      <c r="G13" s="44"/>
      <c r="H13" s="44"/>
      <c r="I13" s="44"/>
      <c r="J13" s="44"/>
      <c r="K13" s="44"/>
      <c r="L13" s="44"/>
      <c r="M13" s="44"/>
      <c r="N13" s="44"/>
      <c r="O13" s="44"/>
      <c r="P13" s="44"/>
      <c r="R13" s="44"/>
      <c r="S13" s="44"/>
      <c r="T13" s="44"/>
      <c r="U13" s="44"/>
      <c r="V13" s="44"/>
      <c r="W13" s="44"/>
      <c r="X13" s="44"/>
      <c r="Y13" s="44"/>
      <c r="Z13" s="44"/>
      <c r="AA13" s="44"/>
      <c r="AB13" s="44"/>
      <c r="AC13" s="44"/>
      <c r="AE13" s="44"/>
      <c r="AF13" s="44"/>
      <c r="AG13" s="44"/>
      <c r="AH13" s="44"/>
      <c r="AI13" s="44"/>
      <c r="AJ13" s="44"/>
      <c r="AK13" s="44"/>
      <c r="AL13" s="44"/>
      <c r="AM13" s="44"/>
      <c r="AN13" s="44"/>
      <c r="AO13" s="44"/>
      <c r="AP13" s="44"/>
      <c r="AR13" s="16">
        <f t="shared" si="0"/>
        <v>0</v>
      </c>
      <c r="AS13" s="16">
        <f t="shared" si="1"/>
        <v>0</v>
      </c>
      <c r="AT13" s="16">
        <f t="shared" si="2"/>
        <v>0</v>
      </c>
      <c r="AU13" s="16">
        <f t="shared" si="3"/>
        <v>0</v>
      </c>
      <c r="AV13" s="16">
        <f t="shared" si="4"/>
        <v>0</v>
      </c>
      <c r="AX13" s="16">
        <f t="shared" si="5"/>
        <v>0</v>
      </c>
      <c r="AY13" s="16">
        <f t="shared" si="6"/>
        <v>0</v>
      </c>
      <c r="AZ13" s="16">
        <f t="shared" si="7"/>
        <v>0</v>
      </c>
      <c r="BA13" s="16">
        <f t="shared" si="17"/>
        <v>0</v>
      </c>
      <c r="BB13" s="16">
        <f t="shared" si="8"/>
        <v>0</v>
      </c>
      <c r="BD13" s="16">
        <f t="shared" si="9"/>
        <v>0</v>
      </c>
      <c r="BE13" s="16">
        <f t="shared" si="10"/>
        <v>0</v>
      </c>
      <c r="BF13" s="16">
        <f t="shared" si="11"/>
        <v>0</v>
      </c>
      <c r="BG13" s="16">
        <f t="shared" si="12"/>
        <v>0</v>
      </c>
      <c r="BH13" s="16">
        <f t="shared" si="13"/>
        <v>0</v>
      </c>
      <c r="BJ13" s="16">
        <f t="shared" si="14"/>
        <v>0</v>
      </c>
      <c r="BK13" s="44"/>
      <c r="BL13" s="44"/>
      <c r="BM13" s="44"/>
      <c r="BN13" s="44"/>
      <c r="BP13" s="16">
        <f t="shared" si="15"/>
        <v>0</v>
      </c>
      <c r="BQ13" s="44"/>
      <c r="BR13" s="44"/>
      <c r="BS13" s="44"/>
      <c r="BT13" s="44"/>
      <c r="BV13" s="16">
        <f t="shared" si="16"/>
        <v>0</v>
      </c>
      <c r="BW13" s="44"/>
      <c r="BX13" s="44"/>
      <c r="BY13" s="44"/>
      <c r="BZ13" s="44"/>
    </row>
    <row r="14" spans="1:78" s="16" customFormat="1" x14ac:dyDescent="0.25">
      <c r="B14" s="47" t="s">
        <v>216</v>
      </c>
      <c r="E14" s="44"/>
      <c r="F14" s="44"/>
      <c r="G14" s="44"/>
      <c r="H14" s="44"/>
      <c r="I14" s="44"/>
      <c r="J14" s="44"/>
      <c r="K14" s="44"/>
      <c r="L14" s="44"/>
      <c r="M14" s="44"/>
      <c r="N14" s="44"/>
      <c r="O14" s="44"/>
      <c r="P14" s="44"/>
      <c r="R14" s="44"/>
      <c r="S14" s="44"/>
      <c r="T14" s="44"/>
      <c r="U14" s="44"/>
      <c r="V14" s="44"/>
      <c r="W14" s="44"/>
      <c r="X14" s="44"/>
      <c r="Y14" s="44"/>
      <c r="Z14" s="44"/>
      <c r="AA14" s="44"/>
      <c r="AB14" s="44"/>
      <c r="AC14" s="44"/>
      <c r="AE14" s="44"/>
      <c r="AF14" s="44"/>
      <c r="AG14" s="44"/>
      <c r="AH14" s="44"/>
      <c r="AI14" s="44"/>
      <c r="AJ14" s="44"/>
      <c r="AK14" s="44"/>
      <c r="AL14" s="44"/>
      <c r="AM14" s="44"/>
      <c r="AN14" s="44"/>
      <c r="AO14" s="44"/>
      <c r="AP14" s="44"/>
      <c r="AR14" s="16">
        <f t="shared" si="0"/>
        <v>0</v>
      </c>
      <c r="AS14" s="16">
        <f t="shared" si="1"/>
        <v>0</v>
      </c>
      <c r="AT14" s="16">
        <f t="shared" si="2"/>
        <v>0</v>
      </c>
      <c r="AU14" s="16">
        <f t="shared" si="3"/>
        <v>0</v>
      </c>
      <c r="AV14" s="16">
        <f t="shared" si="4"/>
        <v>0</v>
      </c>
      <c r="AX14" s="16">
        <f t="shared" si="5"/>
        <v>0</v>
      </c>
      <c r="AY14" s="16">
        <f t="shared" si="6"/>
        <v>0</v>
      </c>
      <c r="AZ14" s="16">
        <f t="shared" si="7"/>
        <v>0</v>
      </c>
      <c r="BA14" s="16">
        <f t="shared" si="17"/>
        <v>0</v>
      </c>
      <c r="BB14" s="16">
        <f t="shared" si="8"/>
        <v>0</v>
      </c>
      <c r="BD14" s="16">
        <f t="shared" si="9"/>
        <v>0</v>
      </c>
      <c r="BE14" s="16">
        <f t="shared" si="10"/>
        <v>0</v>
      </c>
      <c r="BF14" s="16">
        <f t="shared" si="11"/>
        <v>0</v>
      </c>
      <c r="BG14" s="16">
        <f t="shared" si="12"/>
        <v>0</v>
      </c>
      <c r="BH14" s="16">
        <f t="shared" si="13"/>
        <v>0</v>
      </c>
      <c r="BJ14" s="16">
        <f t="shared" si="14"/>
        <v>0</v>
      </c>
      <c r="BK14" s="44"/>
      <c r="BL14" s="44"/>
      <c r="BM14" s="44"/>
      <c r="BN14" s="44"/>
      <c r="BP14" s="16">
        <f t="shared" si="15"/>
        <v>0</v>
      </c>
      <c r="BQ14" s="44"/>
      <c r="BR14" s="44"/>
      <c r="BS14" s="44"/>
      <c r="BT14" s="44"/>
      <c r="BV14" s="16">
        <f t="shared" si="16"/>
        <v>0</v>
      </c>
      <c r="BW14" s="44"/>
      <c r="BX14" s="44"/>
      <c r="BY14" s="44"/>
      <c r="BZ14" s="44"/>
    </row>
    <row r="15" spans="1:78" s="16" customFormat="1" x14ac:dyDescent="0.25">
      <c r="B15" s="47" t="s">
        <v>217</v>
      </c>
      <c r="E15" s="44"/>
      <c r="F15" s="44"/>
      <c r="G15" s="44"/>
      <c r="H15" s="44"/>
      <c r="I15" s="44"/>
      <c r="J15" s="44"/>
      <c r="K15" s="44"/>
      <c r="L15" s="44"/>
      <c r="M15" s="44"/>
      <c r="N15" s="44"/>
      <c r="O15" s="44"/>
      <c r="P15" s="44"/>
      <c r="R15" s="44"/>
      <c r="S15" s="44"/>
      <c r="T15" s="44"/>
      <c r="U15" s="44"/>
      <c r="V15" s="44"/>
      <c r="W15" s="44"/>
      <c r="X15" s="44"/>
      <c r="Y15" s="44"/>
      <c r="Z15" s="44"/>
      <c r="AA15" s="44"/>
      <c r="AB15" s="44"/>
      <c r="AC15" s="44"/>
      <c r="AE15" s="44"/>
      <c r="AF15" s="44"/>
      <c r="AG15" s="44"/>
      <c r="AH15" s="44"/>
      <c r="AI15" s="44"/>
      <c r="AJ15" s="44"/>
      <c r="AK15" s="44"/>
      <c r="AL15" s="44"/>
      <c r="AM15" s="44"/>
      <c r="AN15" s="44"/>
      <c r="AO15" s="44"/>
      <c r="AP15" s="44"/>
      <c r="AR15" s="16">
        <f t="shared" si="0"/>
        <v>0</v>
      </c>
      <c r="AS15" s="16">
        <f t="shared" si="1"/>
        <v>0</v>
      </c>
      <c r="AT15" s="16">
        <f t="shared" si="2"/>
        <v>0</v>
      </c>
      <c r="AU15" s="16">
        <f t="shared" si="3"/>
        <v>0</v>
      </c>
      <c r="AV15" s="16">
        <f t="shared" si="4"/>
        <v>0</v>
      </c>
      <c r="AX15" s="16">
        <f t="shared" si="5"/>
        <v>0</v>
      </c>
      <c r="AY15" s="16">
        <f t="shared" si="6"/>
        <v>0</v>
      </c>
      <c r="AZ15" s="16">
        <f t="shared" si="7"/>
        <v>0</v>
      </c>
      <c r="BA15" s="16">
        <f t="shared" si="17"/>
        <v>0</v>
      </c>
      <c r="BB15" s="16">
        <f t="shared" si="8"/>
        <v>0</v>
      </c>
      <c r="BD15" s="16">
        <f t="shared" si="9"/>
        <v>0</v>
      </c>
      <c r="BE15" s="16">
        <f t="shared" si="10"/>
        <v>0</v>
      </c>
      <c r="BF15" s="16">
        <f t="shared" si="11"/>
        <v>0</v>
      </c>
      <c r="BG15" s="16">
        <f t="shared" si="12"/>
        <v>0</v>
      </c>
      <c r="BH15" s="16">
        <f t="shared" si="13"/>
        <v>0</v>
      </c>
      <c r="BJ15" s="16">
        <f t="shared" si="14"/>
        <v>0</v>
      </c>
      <c r="BK15" s="44"/>
      <c r="BL15" s="44"/>
      <c r="BM15" s="44"/>
      <c r="BN15" s="44"/>
      <c r="BP15" s="16">
        <f t="shared" si="15"/>
        <v>0</v>
      </c>
      <c r="BQ15" s="44"/>
      <c r="BR15" s="44"/>
      <c r="BS15" s="44"/>
      <c r="BT15" s="44"/>
      <c r="BV15" s="16">
        <f t="shared" si="16"/>
        <v>0</v>
      </c>
      <c r="BW15" s="44"/>
      <c r="BX15" s="44"/>
      <c r="BY15" s="44"/>
      <c r="BZ15" s="44"/>
    </row>
    <row r="16" spans="1:78" s="16" customFormat="1" x14ac:dyDescent="0.25">
      <c r="B16" s="47" t="s">
        <v>218</v>
      </c>
      <c r="E16" s="44"/>
      <c r="F16" s="44"/>
      <c r="G16" s="44"/>
      <c r="H16" s="44"/>
      <c r="I16" s="44"/>
      <c r="J16" s="44"/>
      <c r="K16" s="44"/>
      <c r="L16" s="44"/>
      <c r="M16" s="44"/>
      <c r="N16" s="44"/>
      <c r="O16" s="44"/>
      <c r="P16" s="44"/>
      <c r="R16" s="44"/>
      <c r="S16" s="44"/>
      <c r="T16" s="44"/>
      <c r="U16" s="44"/>
      <c r="V16" s="44"/>
      <c r="W16" s="44"/>
      <c r="X16" s="44"/>
      <c r="Y16" s="44"/>
      <c r="Z16" s="44"/>
      <c r="AA16" s="44"/>
      <c r="AB16" s="44"/>
      <c r="AC16" s="44"/>
      <c r="AE16" s="44"/>
      <c r="AF16" s="44"/>
      <c r="AG16" s="44"/>
      <c r="AH16" s="44"/>
      <c r="AI16" s="44"/>
      <c r="AJ16" s="44"/>
      <c r="AK16" s="44"/>
      <c r="AL16" s="44"/>
      <c r="AM16" s="44"/>
      <c r="AN16" s="44"/>
      <c r="AO16" s="44"/>
      <c r="AP16" s="44"/>
      <c r="AR16" s="16">
        <f t="shared" si="0"/>
        <v>0</v>
      </c>
      <c r="AS16" s="16">
        <f t="shared" si="1"/>
        <v>0</v>
      </c>
      <c r="AT16" s="16">
        <f t="shared" si="2"/>
        <v>0</v>
      </c>
      <c r="AU16" s="16">
        <f t="shared" si="3"/>
        <v>0</v>
      </c>
      <c r="AV16" s="16">
        <f t="shared" si="4"/>
        <v>0</v>
      </c>
      <c r="AX16" s="16">
        <f t="shared" si="5"/>
        <v>0</v>
      </c>
      <c r="AY16" s="16">
        <f t="shared" si="6"/>
        <v>0</v>
      </c>
      <c r="AZ16" s="16">
        <f t="shared" si="7"/>
        <v>0</v>
      </c>
      <c r="BA16" s="16">
        <f t="shared" si="17"/>
        <v>0</v>
      </c>
      <c r="BB16" s="16">
        <f t="shared" si="8"/>
        <v>0</v>
      </c>
      <c r="BD16" s="16">
        <f t="shared" si="9"/>
        <v>0</v>
      </c>
      <c r="BE16" s="16">
        <f t="shared" si="10"/>
        <v>0</v>
      </c>
      <c r="BF16" s="16">
        <f t="shared" si="11"/>
        <v>0</v>
      </c>
      <c r="BG16" s="16">
        <f t="shared" si="12"/>
        <v>0</v>
      </c>
      <c r="BH16" s="16">
        <f t="shared" si="13"/>
        <v>0</v>
      </c>
      <c r="BJ16" s="16">
        <f t="shared" si="14"/>
        <v>0</v>
      </c>
      <c r="BK16" s="44"/>
      <c r="BL16" s="44"/>
      <c r="BM16" s="44"/>
      <c r="BN16" s="44"/>
      <c r="BP16" s="16">
        <f t="shared" si="15"/>
        <v>0</v>
      </c>
      <c r="BQ16" s="44"/>
      <c r="BR16" s="44"/>
      <c r="BS16" s="44"/>
      <c r="BT16" s="44"/>
      <c r="BV16" s="16">
        <f t="shared" si="16"/>
        <v>0</v>
      </c>
      <c r="BW16" s="44"/>
      <c r="BX16" s="44"/>
      <c r="BY16" s="44"/>
      <c r="BZ16" s="44"/>
    </row>
    <row r="17" spans="2:78" s="16" customFormat="1" x14ac:dyDescent="0.25"/>
    <row r="18" spans="2:78" s="16" customFormat="1" x14ac:dyDescent="0.25">
      <c r="B18" s="16" t="s">
        <v>220</v>
      </c>
      <c r="E18" s="17">
        <f>SUM(E7:E16)</f>
        <v>0</v>
      </c>
      <c r="F18" s="17">
        <f t="shared" ref="F18:P18" si="18">SUM(F7:F16)</f>
        <v>0</v>
      </c>
      <c r="G18" s="17">
        <f t="shared" si="18"/>
        <v>0</v>
      </c>
      <c r="H18" s="17">
        <f t="shared" si="18"/>
        <v>0</v>
      </c>
      <c r="I18" s="17">
        <f t="shared" si="18"/>
        <v>0</v>
      </c>
      <c r="J18" s="17">
        <f t="shared" si="18"/>
        <v>0</v>
      </c>
      <c r="K18" s="17">
        <f t="shared" si="18"/>
        <v>0</v>
      </c>
      <c r="L18" s="17">
        <f t="shared" si="18"/>
        <v>0</v>
      </c>
      <c r="M18" s="17">
        <f t="shared" si="18"/>
        <v>0</v>
      </c>
      <c r="N18" s="17">
        <f t="shared" si="18"/>
        <v>0</v>
      </c>
      <c r="O18" s="17">
        <f t="shared" si="18"/>
        <v>0</v>
      </c>
      <c r="P18" s="17">
        <f t="shared" si="18"/>
        <v>0</v>
      </c>
      <c r="R18" s="17">
        <f>SUM(R7:R16)</f>
        <v>0</v>
      </c>
      <c r="S18" s="17">
        <f t="shared" ref="S18:AC18" si="19">SUM(S7:S16)</f>
        <v>0</v>
      </c>
      <c r="T18" s="17">
        <f t="shared" si="19"/>
        <v>0</v>
      </c>
      <c r="U18" s="17">
        <f t="shared" si="19"/>
        <v>0</v>
      </c>
      <c r="V18" s="17">
        <f t="shared" si="19"/>
        <v>0</v>
      </c>
      <c r="W18" s="17">
        <f t="shared" si="19"/>
        <v>0</v>
      </c>
      <c r="X18" s="17">
        <f>SUM(X7:X16)</f>
        <v>1238.0000000000002</v>
      </c>
      <c r="Y18" s="17">
        <f t="shared" si="19"/>
        <v>0</v>
      </c>
      <c r="Z18" s="17">
        <f t="shared" si="19"/>
        <v>0</v>
      </c>
      <c r="AA18" s="17">
        <f t="shared" si="19"/>
        <v>1237.0000000000002</v>
      </c>
      <c r="AB18" s="17">
        <f t="shared" si="19"/>
        <v>0</v>
      </c>
      <c r="AC18" s="17">
        <f t="shared" si="19"/>
        <v>0</v>
      </c>
      <c r="AE18" s="17">
        <f t="shared" ref="AE18:BH18" si="20">SUM(AE7:AE16)</f>
        <v>1155.0000000000005</v>
      </c>
      <c r="AF18" s="17">
        <f t="shared" si="20"/>
        <v>0</v>
      </c>
      <c r="AG18" s="17">
        <f t="shared" si="20"/>
        <v>0</v>
      </c>
      <c r="AH18" s="17">
        <f t="shared" si="20"/>
        <v>1155.0000000000005</v>
      </c>
      <c r="AI18" s="17">
        <f t="shared" si="20"/>
        <v>0</v>
      </c>
      <c r="AJ18" s="17">
        <f t="shared" si="20"/>
        <v>0</v>
      </c>
      <c r="AK18" s="17">
        <f t="shared" si="20"/>
        <v>3878.0000000000014</v>
      </c>
      <c r="AL18" s="17">
        <f t="shared" si="20"/>
        <v>0</v>
      </c>
      <c r="AM18" s="17">
        <f t="shared" si="20"/>
        <v>0</v>
      </c>
      <c r="AN18" s="17">
        <f t="shared" si="20"/>
        <v>3877.0000000000014</v>
      </c>
      <c r="AO18" s="17">
        <f>SUM(AO7:AO16)</f>
        <v>0</v>
      </c>
      <c r="AP18" s="17">
        <f t="shared" si="20"/>
        <v>0</v>
      </c>
      <c r="AR18" s="17">
        <f t="shared" si="20"/>
        <v>0</v>
      </c>
      <c r="AS18" s="17">
        <f t="shared" si="20"/>
        <v>0</v>
      </c>
      <c r="AT18" s="17">
        <f t="shared" si="20"/>
        <v>0</v>
      </c>
      <c r="AU18" s="17">
        <f t="shared" si="20"/>
        <v>0</v>
      </c>
      <c r="AV18" s="17">
        <f t="shared" si="20"/>
        <v>0</v>
      </c>
      <c r="AX18" s="17">
        <f t="shared" si="20"/>
        <v>2475.0000000000005</v>
      </c>
      <c r="AY18" s="17">
        <f t="shared" si="20"/>
        <v>0</v>
      </c>
      <c r="AZ18" s="17">
        <f t="shared" si="20"/>
        <v>0</v>
      </c>
      <c r="BA18" s="17">
        <f t="shared" si="20"/>
        <v>1238.0000000000002</v>
      </c>
      <c r="BB18" s="17">
        <f t="shared" si="20"/>
        <v>1237.0000000000002</v>
      </c>
      <c r="BD18" s="17">
        <f t="shared" si="20"/>
        <v>10065.000000000004</v>
      </c>
      <c r="BE18" s="17">
        <f t="shared" si="20"/>
        <v>1155.0000000000005</v>
      </c>
      <c r="BF18" s="17">
        <f t="shared" si="20"/>
        <v>1155.0000000000005</v>
      </c>
      <c r="BG18" s="17">
        <f t="shared" si="20"/>
        <v>3878.0000000000014</v>
      </c>
      <c r="BH18" s="17">
        <f t="shared" si="20"/>
        <v>3877.0000000000014</v>
      </c>
      <c r="BJ18" s="17">
        <f t="shared" ref="BJ18:BN18" si="21">SUM(BJ7:BJ16)</f>
        <v>21711.211500000009</v>
      </c>
      <c r="BK18" s="17">
        <f t="shared" si="21"/>
        <v>3811.5000000000018</v>
      </c>
      <c r="BL18" s="17">
        <f t="shared" si="21"/>
        <v>3811.5000000000018</v>
      </c>
      <c r="BM18" s="17">
        <f t="shared" si="21"/>
        <v>7043.8170000000018</v>
      </c>
      <c r="BN18" s="17">
        <f t="shared" si="21"/>
        <v>7044.3945000000022</v>
      </c>
      <c r="BP18" s="17">
        <f t="shared" ref="BP18:BT18" si="22">SUM(BP7:BP16)</f>
        <v>35798.309800000017</v>
      </c>
      <c r="BQ18" s="17">
        <f t="shared" si="22"/>
        <v>6997.9987000000028</v>
      </c>
      <c r="BR18" s="17">
        <f t="shared" si="22"/>
        <v>6997.9987000000028</v>
      </c>
      <c r="BS18" s="17">
        <f t="shared" si="22"/>
        <v>10901.268700000006</v>
      </c>
      <c r="BT18" s="17">
        <f t="shared" si="22"/>
        <v>10901.043700000006</v>
      </c>
      <c r="BV18" s="17">
        <f t="shared" ref="BV18:BZ18" si="23">SUM(BV7:BV16)</f>
        <v>49177.801310000024</v>
      </c>
      <c r="BW18" s="17">
        <f t="shared" si="23"/>
        <v>10874.895570000006</v>
      </c>
      <c r="BX18" s="17">
        <f t="shared" si="23"/>
        <v>10874.895570000006</v>
      </c>
      <c r="BY18" s="17">
        <f t="shared" si="23"/>
        <v>13714.353860000007</v>
      </c>
      <c r="BZ18" s="17">
        <f t="shared" si="23"/>
        <v>13713.656310000008</v>
      </c>
    </row>
    <row r="19" spans="2:78" s="16" customFormat="1" x14ac:dyDescent="0.25"/>
    <row r="20" spans="2:78" s="16" customFormat="1" x14ac:dyDescent="0.25">
      <c r="B20" s="19" t="s">
        <v>221</v>
      </c>
    </row>
    <row r="21" spans="2:78" s="16" customFormat="1" x14ac:dyDescent="0.25">
      <c r="B21" s="23" t="str">
        <f t="shared" ref="B21:B30" si="24">+B7</f>
        <v>Professional</v>
      </c>
      <c r="E21" s="44"/>
      <c r="F21" s="44"/>
      <c r="G21" s="44"/>
      <c r="H21" s="44"/>
      <c r="I21" s="44"/>
      <c r="J21" s="44"/>
      <c r="K21" s="44"/>
      <c r="L21" s="44"/>
      <c r="M21" s="44"/>
      <c r="N21" s="44"/>
      <c r="O21" s="44"/>
      <c r="P21" s="44"/>
      <c r="R21" s="44"/>
      <c r="S21" s="44"/>
      <c r="T21" s="44"/>
      <c r="U21" s="44"/>
      <c r="V21" s="44"/>
      <c r="W21" s="44"/>
      <c r="X21" s="44">
        <f>'Sales Projections'!$B$4*'Sales Projections'!$I$12*'Sales Projections'!$I$7*(1-'Sales Projections'!$I$10)/3</f>
        <v>39900.000000000007</v>
      </c>
      <c r="Y21" s="44">
        <f>'Sales Projections'!$B$4*'Sales Projections'!$I$12*'Sales Projections'!$I$7*(1-'Sales Projections'!$I$10)/3</f>
        <v>39900.000000000007</v>
      </c>
      <c r="Z21" s="44">
        <f>'Sales Projections'!$B$4*'Sales Projections'!$I$12*'Sales Projections'!$I$7*(1-'Sales Projections'!$I$10)/3</f>
        <v>39900.000000000007</v>
      </c>
      <c r="AA21" s="44">
        <f>'Sales Projections'!$B$4*'Sales Projections'!$I$12*'Sales Projections'!$I$7*(1-2*'Sales Projections'!$I$10)/3</f>
        <v>37800.000000000007</v>
      </c>
      <c r="AB21" s="44">
        <f>'Sales Projections'!$B$4*'Sales Projections'!$I$12*'Sales Projections'!$I$7*(1-2*'Sales Projections'!$I$10)/3</f>
        <v>37800.000000000007</v>
      </c>
      <c r="AC21" s="44">
        <f>'Sales Projections'!$B$4*'Sales Projections'!$I$12*'Sales Projections'!$I$7*(1-2*'Sales Projections'!$I$10)/3</f>
        <v>37800.000000000007</v>
      </c>
      <c r="AE21" s="44">
        <f>( 'Sales Projections'!$B$4*'Sales Projections'!$I$12*'Sales Projections'!$I$7*(1-3*'Sales Projections'!$I$10))*(1 + 'Sales Projections'!$I$8/100)/3</f>
        <v>39270.000000000015</v>
      </c>
      <c r="AF21" s="44">
        <f>( 'Sales Projections'!$B$4*'Sales Projections'!$I$12*'Sales Projections'!$I$7*(1-3*'Sales Projections'!$I$10))*(1 + 'Sales Projections'!$I$8/100)/3</f>
        <v>39270.000000000015</v>
      </c>
      <c r="AG21" s="44">
        <f>( 'Sales Projections'!$B$4*'Sales Projections'!$I$12*'Sales Projections'!$I$7*(1-3*'Sales Projections'!$I$10))*(1 + 'Sales Projections'!$I$8/100)/3</f>
        <v>39270.000000000015</v>
      </c>
      <c r="AH21" s="44">
        <f xml:space="preserve"> ('Sales Projections'!$B$4*'Sales Projections'!$I$12*'Sales Projections'!$I$7*(1-4*'Sales Projections'!$I$10))*(1 + 'Sales Projections'!$I$8/100)/3</f>
        <v>36960.000000000015</v>
      </c>
      <c r="AI21" s="44">
        <f xml:space="preserve"> ('Sales Projections'!$B$4*'Sales Projections'!$I$12*'Sales Projections'!$I$7*(1-4*'Sales Projections'!$I$10))*(1 + 'Sales Projections'!$I$8/100)/3</f>
        <v>36960.000000000015</v>
      </c>
      <c r="AJ21" s="44">
        <f xml:space="preserve"> ('Sales Projections'!$B$4*'Sales Projections'!$I$12*'Sales Projections'!$I$7*(1-4*'Sales Projections'!$I$10))*(1 + 'Sales Projections'!$I$8/100)/3</f>
        <v>36960.000000000015</v>
      </c>
      <c r="AK21" s="44">
        <f xml:space="preserve"> ('Sales Projections'!$B$4*'Sales Projections'!$I$12*'Sales Projections'!$I$7*(1-5*'Sales Projections'!$I$10))*(1 + 'Sales Projections'!$I$8/100)/3 + 'Sales Projections'!$C$4*'Sales Projections'!$I$12*'Sales Projections'!$I$7*(1-'Sales Projections'!$I$10)*(1 + 'Sales Projections'!$I$8/100)/3</f>
        <v>122430.00000000003</v>
      </c>
      <c r="AL21" s="44">
        <f xml:space="preserve"> ('Sales Projections'!$B$4*'Sales Projections'!$I$12*'Sales Projections'!$I$7*(1-5*'Sales Projections'!$I$10))*(1 + 'Sales Projections'!$I$8/100)/3 + 'Sales Projections'!$C$4*'Sales Projections'!$I$12*'Sales Projections'!$I$7*(1-'Sales Projections'!$I$10)*(1 + 'Sales Projections'!$I$8/100)/3</f>
        <v>122430.00000000003</v>
      </c>
      <c r="AM21" s="44">
        <f xml:space="preserve"> ('Sales Projections'!$B$4*'Sales Projections'!$I$12*'Sales Projections'!$I$7*(1-5*'Sales Projections'!$I$10))*(1 + 'Sales Projections'!$I$8/100)/3 + 'Sales Projections'!$C$4*'Sales Projections'!$I$12*'Sales Projections'!$I$7*(1-'Sales Projections'!$I$10)*(1 + 'Sales Projections'!$I$8/100)/3</f>
        <v>122430.00000000003</v>
      </c>
      <c r="AN21" s="44">
        <f xml:space="preserve"> ('Sales Projections'!$B$4*'Sales Projections'!$I$12*'Sales Projections'!$I$7*(1-6*'Sales Projections'!$I$10))*(1 + 'Sales Projections'!$I$8/100)/3 + 'Sales Projections'!$C$4*'Sales Projections'!$I$12*'Sales Projections'!$I$7*(1-2*'Sales Projections'!$I$10)*(1 + 'Sales Projections'!$I$8/100)/3</f>
        <v>115500.00000000004</v>
      </c>
      <c r="AO21" s="44">
        <f xml:space="preserve"> ('Sales Projections'!$B$4*'Sales Projections'!$I$12*'Sales Projections'!$I$7*(1-6*'Sales Projections'!$I$10))*(1 + 'Sales Projections'!$I$8/100)/3 + 'Sales Projections'!$C$4*'Sales Projections'!$I$12*'Sales Projections'!$I$7*(1-2*'Sales Projections'!$I$10)*(1 + 'Sales Projections'!$I$8/100)/3</f>
        <v>115500.00000000004</v>
      </c>
      <c r="AP21" s="44">
        <f xml:space="preserve"> ('Sales Projections'!$B$4*'Sales Projections'!$I$12*'Sales Projections'!$I$7*(1-6*'Sales Projections'!$I$10))*(1 + 'Sales Projections'!$I$8/100)/3 + 'Sales Projections'!$C$4*'Sales Projections'!$I$12*'Sales Projections'!$I$7*(1-2*'Sales Projections'!$I$10)*(1 + 'Sales Projections'!$I$8/100)/3</f>
        <v>115500.00000000004</v>
      </c>
      <c r="AR21" s="16">
        <f t="shared" ref="AR21:AR30" si="25">SUM(E21:P21)</f>
        <v>0</v>
      </c>
      <c r="AS21" s="16">
        <f t="shared" ref="AS21:AS30" si="26">SUM(E21:G21)</f>
        <v>0</v>
      </c>
      <c r="AT21" s="16">
        <f t="shared" ref="AT21:AT30" si="27">SUM(H21:J21)</f>
        <v>0</v>
      </c>
      <c r="AU21" s="16">
        <f t="shared" ref="AU21:AU30" si="28">SUM(K21:M21)</f>
        <v>0</v>
      </c>
      <c r="AV21" s="16">
        <f t="shared" ref="AV21:AV30" si="29">SUM(N21:P21)</f>
        <v>0</v>
      </c>
      <c r="AX21" s="16">
        <f t="shared" ref="AX21:AX30" si="30">SUM(R21:AC21)</f>
        <v>233100.00000000003</v>
      </c>
      <c r="AY21" s="16">
        <f t="shared" ref="AY21:AY30" si="31">SUM(R21:T21)</f>
        <v>0</v>
      </c>
      <c r="AZ21" s="16">
        <f t="shared" ref="AZ21:AZ30" si="32">SUM(U21:W21)</f>
        <v>0</v>
      </c>
      <c r="BA21" s="16">
        <f t="shared" ref="BA21:BA30" si="33">SUM(X21:Z21)</f>
        <v>119700.00000000003</v>
      </c>
      <c r="BB21" s="16">
        <f t="shared" ref="BB21:BB30" si="34">SUM(AA21:AC21)</f>
        <v>113400.00000000003</v>
      </c>
      <c r="BD21" s="16">
        <f t="shared" ref="BD21:BD30" si="35">SUM(AE21:AP21)</f>
        <v>942480.00000000012</v>
      </c>
      <c r="BE21" s="16">
        <f t="shared" ref="BE21:BE30" si="36">SUM(AE21:AG21)</f>
        <v>117810.00000000004</v>
      </c>
      <c r="BF21" s="16">
        <f t="shared" ref="BF21:BF30" si="37">SUM(AH21:AJ21)</f>
        <v>110880.00000000004</v>
      </c>
      <c r="BG21" s="16">
        <f t="shared" ref="BG21:BG30" si="38">SUM(AK21:AM21)</f>
        <v>367290.00000000012</v>
      </c>
      <c r="BH21" s="16">
        <f t="shared" ref="BH21:BH30" si="39">SUM(AN21:AP21)</f>
        <v>346500.00000000012</v>
      </c>
      <c r="BJ21" s="16">
        <f t="shared" ref="BJ21:BJ30" si="40">SUM(BK21:BN21)</f>
        <v>2167000.3740000008</v>
      </c>
      <c r="BK21" s="44">
        <f xml:space="preserve"> ( 'Sales Projections'!$B$4*'Sales Projections'!$I$12*'Sales Projections'!$I$7*(1-7*'Sales Projections'!$I$10) + 'Sales Projections'!$C$4*'Sales Projections'!$I$12*'Sales Projections'!$I$7*(1-3*'Sales Projections'!$I$10) ) * ((1+'Sales Projections'!$I$8/100)^2)</f>
        <v>358281.00000000012</v>
      </c>
      <c r="BL21" s="44">
        <f>( 'Sales Projections'!$B$4*'Sales Projections'!$I$12*'Sales Projections'!$I$7*(1-8*'Sales Projections'!$I$10) + 'Sales Projections'!$C$4*'Sales Projections'!$I$12*'Sales Projections'!$I$7*(1-4*'Sales Projections'!$I$10) )* ((1+'Sales Projections'!$I$8/100)^2)</f>
        <v>335412.00000000012</v>
      </c>
      <c r="BM21" s="44">
        <f xml:space="preserve"> ('Sales Projections'!$B$4*'Sales Projections'!$I$12*'Sales Projections'!$I$7*(1-8*'Sales Projections'!$I$10) + 'Sales Projections'!$C$4*'Sales Projections'!$I$12*'Sales Projections'!$I$7*(1-5*'Sales Projections'!$I$10) + 'Sales Projections'!$D$4*'Sales Projections'!$I$12*'Sales Projections'!$I$7*(1-'Sales Projections'!$I$10))* ((1+'Sales Projections'!$I$8/100)^2)</f>
        <v>755739.13800000015</v>
      </c>
      <c r="BN21" s="44">
        <f xml:space="preserve"> ('Sales Projections'!$B$4*'Sales Projections'!$I$12*'Sales Projections'!$I$7*(1-8*'Sales Projections'!$I$10) + 'Sales Projections'!$C$4*'Sales Projections'!$I$12*'Sales Projections'!$I$7*(1-6*'Sales Projections'!$I$10) + 'Sales Projections'!$D$4*'Sales Projections'!$I$12*'Sales Projections'!$I$7*(1-2*'Sales Projections'!$I$10))* ((1+'Sales Projections'!$I$8/100)^2)</f>
        <v>717568.23600000027</v>
      </c>
      <c r="BP21" s="16">
        <f t="shared" ref="BP21:BP30" si="41">SUM(BQ21:BT21)</f>
        <v>4049440.2564000022</v>
      </c>
      <c r="BQ21" s="44">
        <f xml:space="preserve"> ( 'Sales Projections'!$B$4*'Sales Projections'!$I$12*'Sales Projections'!$I$7*(1-8*'Sales Projections'!$I$10) + 'Sales Projections'!$C$4*'Sales Projections'!$I$12*'Sales Projections'!$I$7*(1-7*'Sales Projections'!$I$10) +  'Sales Projections'!$D$4*'Sales Projections'!$I$12*'Sales Projections'!$I$7*(1-3*'Sales Projections'!$I$10) ) * ((1+'Sales Projections'!$I$8/100)^3)</f>
        <v>747337.06740000041</v>
      </c>
      <c r="BR21" s="44">
        <f xml:space="preserve"> ( 'Sales Projections'!$B$4*'Sales Projections'!$I$12*'Sales Projections'!$I$7*(1-8*'Sales Projections'!$I$10) + 'Sales Projections'!$C$4*'Sales Projections'!$I$12*'Sales Projections'!$I$7*(1-8*'Sales Projections'!$I$10) +  'Sales Projections'!$D$4*'Sales Projections'!$I$12*'Sales Projections'!$I$7*(1-4*'Sales Projections'!$I$10) ) * ((1+'Sales Projections'!$I$8/100)^3)</f>
        <v>705349.07520000043</v>
      </c>
      <c r="BS21" s="44">
        <f xml:space="preserve"> ( 'Sales Projections'!$B$4*'Sales Projections'!$I$12*'Sales Projections'!$I$7*(1-8*'Sales Projections'!$I$10) + 'Sales Projections'!$C$4*'Sales Projections'!$I$12*'Sales Projections'!$I$7*(1-8*'Sales Projections'!$I$10) +  'Sales Projections'!$D$4*'Sales Projections'!$I$12*'Sales Projections'!$I$7*(1-5*'Sales Projections'!$I$10) +  'Sales Projections'!$E$4*'Sales Projections'!$I$12*'Sales Projections'!$I$7*(1-1*'Sales Projections'!$I$10) ) * ((1+'Sales Projections'!$I$8/100)^3)</f>
        <v>1328035.8630000008</v>
      </c>
      <c r="BT21" s="44">
        <f xml:space="preserve"> ( 'Sales Projections'!$B$4*'Sales Projections'!$I$12*'Sales Projections'!$I$7*(1-8*'Sales Projections'!$I$10) + 'Sales Projections'!$C$4*'Sales Projections'!$I$12*'Sales Projections'!$I$7*(1-8*'Sales Projections'!$I$10) +  'Sales Projections'!$D$4*'Sales Projections'!$I$12*'Sales Projections'!$I$7*(1-6*'Sales Projections'!$I$10)+ 'Sales Projections'!$E$4*'Sales Projections'!$I$12*'Sales Projections'!$I$7*(1-2*'Sales Projections'!$I$10) ) * ((1+'Sales Projections'!$I$8/100)^3)</f>
        <v>1268718.2508000007</v>
      </c>
      <c r="BV21" s="16">
        <f t="shared" ref="BV21:BV30" si="42">SUM(BW21:BZ21)</f>
        <v>6418709.5665000025</v>
      </c>
      <c r="BW21" s="44">
        <f xml:space="preserve"> ( 'Sales Projections'!$B$4*'Sales Projections'!$I$12*'Sales Projections'!$I$7*(1-8*'Sales Projections'!$I$10) + 'Sales Projections'!$C$4*'Sales Projections'!$I$12*'Sales Projections'!$I$7*(1-8*'Sales Projections'!$I$10) +  'Sales Projections'!$D$4*'Sales Projections'!$I$12*'Sales Projections'!$I$7*(1-7*'Sales Projections'!$I$10) +  'Sales Projections'!$E$4*'Sales Projections'!$I$12*'Sales Projections'!$I$7*(1-3*'Sales Projections'!$I$10) ) * ((1+'Sales Projections'!$I$8/100)^4)</f>
        <v>1330340.7024600008</v>
      </c>
      <c r="BX21" s="44">
        <f xml:space="preserve"> ( 'Sales Projections'!$B$4*'Sales Projections'!$I$12*'Sales Projections'!$I$7*(1-8*'Sales Projections'!$I$10) + 'Sales Projections'!$C$4*'Sales Projections'!$I$12*'Sales Projections'!$I$7*(1-8*'Sales Projections'!$I$10) +  'Sales Projections'!$D$4*'Sales Projections'!$I$12*'Sales Projections'!$I$7*(1-8*'Sales Projections'!$I$10) +  'Sales Projections'!$E$4*'Sales Projections'!$I$12*'Sales Projections'!$I$7*(1-4*'Sales Projections'!$I$10) ) * ((1+'Sales Projections'!$I$8/100)^4)</f>
        <v>1265091.3290400004</v>
      </c>
      <c r="BY21" s="44">
        <f xml:space="preserve"> ( 'Sales Projections'!$B$4*'Sales Projections'!$I$12*'Sales Projections'!$I$7*(1-8*'Sales Projections'!$I$10) + 'Sales Projections'!$C$4*'Sales Projections'!$I$12*'Sales Projections'!$I$7*(1-8*'Sales Projections'!$I$10) +  'Sales Projections'!$D$4*'Sales Projections'!$I$12*'Sales Projections'!$I$7*(1-8*'Sales Projections'!$I$10) +  'Sales Projections'!$E$4*'Sales Projections'!$I$12*'Sales Projections'!$I$7*(1-6*'Sales Projections'!$I$10) + 'Sales Projections'!$F$4*'Sales Projections'!$I$12*'Sales Projections'!$I$7*(1-2*'Sales Projections'!$I$10) ) * ((1+'Sales Projections'!$I$8/100)^4)</f>
        <v>1873888.7059200008</v>
      </c>
      <c r="BZ21" s="44">
        <f xml:space="preserve"> ( 'Sales Projections'!$B$4*'Sales Projections'!$I$12*'Sales Projections'!$I$7*(1-8*'Sales Projections'!$I$10) + 'Sales Projections'!$C$4*'Sales Projections'!$I$12*'Sales Projections'!$I$7*(1-8*'Sales Projections'!$I$10) +  'Sales Projections'!$D$4*'Sales Projections'!$I$12*'Sales Projections'!$I$7*(1-8*'Sales Projections'!$I$10) +  'Sales Projections'!$E$4*'Sales Projections'!$I$12*'Sales Projections'!$I$7*(1-5*'Sales Projections'!$I$10) + 'Sales Projections'!$F$4*'Sales Projections'!$I$12*'Sales Projections'!$I$7*(1-1*'Sales Projections'!$I$10) ) * ((1+'Sales Projections'!$I$8/100)^4)</f>
        <v>1949388.829080001</v>
      </c>
    </row>
    <row r="22" spans="2:78" s="16" customFormat="1" x14ac:dyDescent="0.25">
      <c r="B22" s="23" t="str">
        <f t="shared" si="24"/>
        <v>PST</v>
      </c>
      <c r="E22" s="44"/>
      <c r="F22" s="44"/>
      <c r="G22" s="44"/>
      <c r="H22" s="44"/>
      <c r="I22" s="44"/>
      <c r="J22" s="44"/>
      <c r="K22" s="44"/>
      <c r="L22" s="44"/>
      <c r="M22" s="44"/>
      <c r="N22" s="44"/>
      <c r="O22" s="44"/>
      <c r="P22" s="44"/>
      <c r="R22" s="44"/>
      <c r="S22" s="44"/>
      <c r="T22" s="44"/>
      <c r="U22" s="44"/>
      <c r="V22" s="44"/>
      <c r="W22" s="44"/>
      <c r="X22" s="44">
        <f>'Sales Projections'!$B$4*'Sales Projections'!$I$7*('Sales Projections'!$I$10*(1))*(6*3+1)/3</f>
        <v>6650.0000000000009</v>
      </c>
      <c r="Y22" s="44">
        <f>'Sales Projections'!$B$4*'Sales Projections'!$I$7*('Sales Projections'!$I$10*(1))*(6*3+1)/3</f>
        <v>6650.0000000000009</v>
      </c>
      <c r="Z22" s="44">
        <f>'Sales Projections'!$B$4*'Sales Projections'!$I$7*('Sales Projections'!$I$10*(1))*(6*3+1)/3</f>
        <v>6650.0000000000009</v>
      </c>
      <c r="AA22" s="44">
        <f>'Sales Projections'!$B$4*'Sales Projections'!$I$7*('Sales Projections'!$I$10*(2))*(6*3+1)/3</f>
        <v>13300.000000000002</v>
      </c>
      <c r="AB22" s="44">
        <f>'Sales Projections'!$B$4*'Sales Projections'!$I$7*('Sales Projections'!$I$10*(2))*(6*3+1)/3</f>
        <v>13300.000000000002</v>
      </c>
      <c r="AC22" s="44">
        <f>'Sales Projections'!$B$4*'Sales Projections'!$I$7*('Sales Projections'!$I$10*(2))*(6*3+1)/3</f>
        <v>13300.000000000002</v>
      </c>
      <c r="AE22" s="44">
        <f>'Sales Projections'!$B$4*'Sales Projections'!$I$7*('Sales Projections'!$I$10*3)*(6*3 + 1)*(1 + 'Sales Projections'!$I$8/100)/3</f>
        <v>21945.000000000004</v>
      </c>
      <c r="AF22" s="44">
        <f>'Sales Projections'!$B$4*'Sales Projections'!$I$7*('Sales Projections'!$I$10*3)*(6*3 + 1)*(1 + 'Sales Projections'!$I$8/100)/3</f>
        <v>21945.000000000004</v>
      </c>
      <c r="AG22" s="44">
        <f>'Sales Projections'!$B$4*'Sales Projections'!$I$7*('Sales Projections'!$I$10*3)*(6*3 + 1)*(1 + 'Sales Projections'!$I$8/100)/3</f>
        <v>21945.000000000004</v>
      </c>
      <c r="AH22" s="44">
        <f>'Sales Projections'!$B$4*'Sales Projections'!$I$7*('Sales Projections'!$I$10*4)*(6*3 + 1)*(1 + 'Sales Projections'!$I$8/100)/3</f>
        <v>29260.000000000011</v>
      </c>
      <c r="AI22" s="44">
        <f>'Sales Projections'!$B$4*'Sales Projections'!$I$7*('Sales Projections'!$I$10*4)*(6*3 + 1)*(1 + 'Sales Projections'!$I$8/100)/3</f>
        <v>29260.000000000011</v>
      </c>
      <c r="AJ22" s="44">
        <f>'Sales Projections'!$B$4*'Sales Projections'!$I$7*('Sales Projections'!$I$10*4)*(6*3 + 1)*(1 + 'Sales Projections'!$I$8/100)/3</f>
        <v>29260.000000000011</v>
      </c>
      <c r="AK22" s="44">
        <f>'Sales Projections'!$B$4*'Sales Projections'!$I$7*('Sales Projections'!$I$10*5)*(6*3 + 1)*(1 + 'Sales Projections'!$I$8/100)/3 + 'Sales Projections'!$C$4*'Sales Projections'!$I$7*('Sales Projections'!$I$10*1)*(6*3 + 1)*(1 + 'Sales Projections'!$I$8/100)/3</f>
        <v>51205.000000000015</v>
      </c>
      <c r="AL22" s="44">
        <f>'Sales Projections'!$B$4*'Sales Projections'!$I$7*('Sales Projections'!$I$10*5)*(6*3 + 1)*(1 + 'Sales Projections'!$I$8/100)/3 + 'Sales Projections'!$C$4*'Sales Projections'!$I$7*('Sales Projections'!$I$10*1)*(6*3 + 1)*(1 + 'Sales Projections'!$I$8/100)/3</f>
        <v>51205.000000000015</v>
      </c>
      <c r="AM22" s="44">
        <f>'Sales Projections'!$B$4*'Sales Projections'!$I$7*('Sales Projections'!$I$10*5)*(6*3 + 1)*(1 + 'Sales Projections'!$I$8/100)/3 + 'Sales Projections'!$C$4*'Sales Projections'!$I$7*('Sales Projections'!$I$10*1)*(6*3 + 1)*(1 + 'Sales Projections'!$I$8/100)/3</f>
        <v>51205.000000000015</v>
      </c>
      <c r="AN22" s="44">
        <f>'Sales Projections'!$B$4*'Sales Projections'!$I$7*('Sales Projections'!$I$10*6)*(6*3 + 1)*(1 + 'Sales Projections'!$I$8/100)/3 + 'Sales Projections'!$C$4*'Sales Projections'!$I$7*('Sales Projections'!$I$10*2)*(6*3 + 1)*(1 + 'Sales Projections'!$I$8/100)/3</f>
        <v>73150.000000000015</v>
      </c>
      <c r="AO22" s="44">
        <f>'Sales Projections'!$B$4*'Sales Projections'!$I$7*('Sales Projections'!$I$10*6)*(6*3 + 1)*(1 + 'Sales Projections'!$I$8/100)/3 + 'Sales Projections'!$C$4*'Sales Projections'!$I$7*('Sales Projections'!$I$10*2)*(6*3 + 1)*(1 + 'Sales Projections'!$I$8/100)/3</f>
        <v>73150.000000000015</v>
      </c>
      <c r="AP22" s="44">
        <f>'Sales Projections'!$B$4*'Sales Projections'!$I$7*('Sales Projections'!$I$10*6)*(6*3 + 1)*(1 + 'Sales Projections'!$I$8/100)/3 + 'Sales Projections'!$C$4*'Sales Projections'!$I$7*('Sales Projections'!$I$10*2)*(6*3 + 1)*(1 + 'Sales Projections'!$I$8/100)/3</f>
        <v>73150.000000000015</v>
      </c>
      <c r="AR22" s="16">
        <f t="shared" si="25"/>
        <v>0</v>
      </c>
      <c r="AS22" s="16">
        <f t="shared" si="26"/>
        <v>0</v>
      </c>
      <c r="AT22" s="16">
        <f t="shared" si="27"/>
        <v>0</v>
      </c>
      <c r="AU22" s="16">
        <f t="shared" si="28"/>
        <v>0</v>
      </c>
      <c r="AV22" s="16">
        <f t="shared" si="29"/>
        <v>0</v>
      </c>
      <c r="AX22" s="16">
        <f t="shared" si="30"/>
        <v>59850.000000000007</v>
      </c>
      <c r="AY22" s="16">
        <f t="shared" si="31"/>
        <v>0</v>
      </c>
      <c r="AZ22" s="16">
        <f t="shared" si="32"/>
        <v>0</v>
      </c>
      <c r="BA22" s="16">
        <f t="shared" si="33"/>
        <v>19950.000000000004</v>
      </c>
      <c r="BB22" s="16">
        <f t="shared" si="34"/>
        <v>39900.000000000007</v>
      </c>
      <c r="BD22" s="16">
        <f t="shared" si="35"/>
        <v>526680.00000000012</v>
      </c>
      <c r="BE22" s="16">
        <f t="shared" si="36"/>
        <v>65835.000000000015</v>
      </c>
      <c r="BF22" s="16">
        <f t="shared" si="37"/>
        <v>87780.000000000029</v>
      </c>
      <c r="BG22" s="16">
        <f t="shared" si="38"/>
        <v>153615.00000000006</v>
      </c>
      <c r="BH22" s="16">
        <f t="shared" si="39"/>
        <v>219450.00000000006</v>
      </c>
      <c r="BJ22" s="16">
        <f t="shared" si="40"/>
        <v>1835133.0690000008</v>
      </c>
      <c r="BK22" s="44">
        <f xml:space="preserve"> ( 'Sales Projections'!$B$4* 'Sales Projections'!$I$7*( 'Sales Projections'!$I$10*7)*(6*3 + 1) +   'Sales Projections'!$C$4* 'Sales Projections'!$I$7*( 'Sales Projections'!$I$10*3)*(6*3 + 1) ) *  ((1+'Sales Projections'!$I$8/100)^2)</f>
        <v>313813.50000000012</v>
      </c>
      <c r="BL22" s="44">
        <f xml:space="preserve"> ( 'Sales Projections'!$B$4* 'Sales Projections'!$I$7*( 'Sales Projections'!$I$10*8)*(6*3 + 1) +   'Sales Projections'!$C$4* 'Sales Projections'!$I$7*( 'Sales Projections'!$I$10*4)*(6*3 + 1)  ) *  ((1+'Sales Projections'!$I$8/100)^2)</f>
        <v>386232.00000000012</v>
      </c>
      <c r="BM22" s="44">
        <f xml:space="preserve"> ( 'Sales Projections'!$B$4* 'Sales Projections'!$I$7*( 'Sales Projections'!$I$10*8)*(6*3 + 1) +   'Sales Projections'!$C$4* 'Sales Projections'!$I$7*( 'Sales Projections'!$I$10*5)*(6*3 + 1) +'Sales Projections'!$D$4*'Sales Projections'!$I$7*('Sales Projections'!$I$10*1)*(6*3 + 1) ) *  ((1+'Sales Projections'!$I$8/100)^2)</f>
        <v>507106.52300000016</v>
      </c>
      <c r="BN22" s="44">
        <f xml:space="preserve"> ( 'Sales Projections'!$B$4* 'Sales Projections'!$I$7*( 'Sales Projections'!$I$10*8)*(6*3 + 1) +   'Sales Projections'!$C$4* 'Sales Projections'!$I$7*( 'Sales Projections'!$I$10*6)*(6*3 + 1) +'Sales Projections'!$D$4*'Sales Projections'!$I$7*('Sales Projections'!$I$10*2)*(6*3 + 1) ) *  ((1+'Sales Projections'!$I$8/100)^2)</f>
        <v>627981.04600000032</v>
      </c>
      <c r="BP22" s="16">
        <f t="shared" si="41"/>
        <v>4257367.7454000022</v>
      </c>
      <c r="BQ22" s="44">
        <f xml:space="preserve"> ( 'Sales Projections'!$B$4* 'Sales Projections'!$I$7*( 'Sales Projections'!$I$10*8)*(6*3 + 1) +   'Sales Projections'!$C$4* 'Sales Projections'!$I$7*( 'Sales Projections'!$I$10*7)*(6*3 + 1) +  'Sales Projections'!$D$4* 'Sales Projections'!$I$7*( 'Sales Projections'!$I$10*3)*(6*3 + 1) ) *  ((1+'Sales Projections'!$I$8/100)^3)</f>
        <v>823741.12590000045</v>
      </c>
      <c r="BR22" s="44">
        <f xml:space="preserve"> ( 'Sales Projections'!$B$4* 'Sales Projections'!$I$7*( 'Sales Projections'!$I$10*8)*(6*3 + 1) +   'Sales Projections'!$C$4* 'Sales Projections'!$I$7*( 'Sales Projections'!$I$10*8)*(6*3 + 1)  +  'Sales Projections'!$D$4* 'Sales Projections'!$I$7*( 'Sales Projections'!$I$10*4)*(6*3 + 1) ) *  ((1+'Sales Projections'!$I$8/100)^3)</f>
        <v>956703.1012000005</v>
      </c>
      <c r="BS22" s="44">
        <f xml:space="preserve"> ( 'Sales Projections'!$B$4* 'Sales Projections'!$I$7*( 'Sales Projections'!$I$10*8)*(6*3 + 1) +   'Sales Projections'!$C$4* 'Sales Projections'!$I$7*( 'Sales Projections'!$I$10*8)*(6*3 + 1) +  'Sales Projections'!$D$4* 'Sales Projections'!$I$7*( 'Sales Projections'!$I$10*5)*(6*3 + 1) +   'Sales Projections'!$E$4* 'Sales Projections'!$I$7*( 'Sales Projections'!$I$10*2)*(6*3 + 1) ) *  ((1+'Sales Projections'!$I$8/100)^3)</f>
        <v>1252526.2365000006</v>
      </c>
      <c r="BT22" s="44">
        <f xml:space="preserve"> ( 'Sales Projections'!$B$4* 'Sales Projections'!$I$7*( 'Sales Projections'!$I$10*8)*(6*3 + 1) +   'Sales Projections'!$C$4* 'Sales Projections'!$I$7*( 'Sales Projections'!$I$10*8)*(6*3 + 1)  +  'Sales Projections'!$D$4* 'Sales Projections'!$I$7*( 'Sales Projections'!$I$10*6)*(6*3 + 1) +   'Sales Projections'!$E$4* 'Sales Projections'!$I$7*( 'Sales Projections'!$I$10*1)*(6*3 + 1) ) *  ((1+'Sales Projections'!$I$8/100)^3)</f>
        <v>1224397.2818000007</v>
      </c>
      <c r="BV22" s="16">
        <f t="shared" si="42"/>
        <v>8026090.0527500045</v>
      </c>
      <c r="BW22" s="44">
        <f xml:space="preserve"> ( 'Sales Projections'!$B$4* 'Sales Projections'!$I$7*( 'Sales Projections'!$I$10*8)*(6*3 + 1) +   'Sales Projections'!$C$4* 'Sales Projections'!$I$7*( 'Sales Projections'!$I$10*8)*(6*3 + 1) +  'Sales Projections'!$D$4* 'Sales Projections'!$I$7*( 'Sales Projections'!$I$10*7)*(6*3 + 1) +  'Sales Projections'!$E$4* 'Sales Projections'!$I$7*( 'Sales Projections'!$I$10*3)*(6*3 + 1) ) *  ((1+'Sales Projections'!$I$8/100)^4)</f>
        <v>1672242.4588100009</v>
      </c>
      <c r="BX22" s="44">
        <f xml:space="preserve"> ( 'Sales Projections'!$B$4* 'Sales Projections'!$I$7*( 'Sales Projections'!$I$10*8)*(6*3 + 1) +   'Sales Projections'!$C$4* 'Sales Projections'!$I$7*( 'Sales Projections'!$I$10*8)*(6*3 + 1) +  'Sales Projections'!$D$4* 'Sales Projections'!$I$7*( 'Sales Projections'!$I$10*8)*(6*3 + 1) +  'Sales Projections'!$E$4* 'Sales Projections'!$I$7*( 'Sales Projections'!$I$10*4)*(6*3 + 1) ) *  ((1+'Sales Projections'!$I$8/100)^4)</f>
        <v>1878865.4746400011</v>
      </c>
      <c r="BY22" s="44">
        <f xml:space="preserve"> ( 'Sales Projections'!$B$4* 'Sales Projections'!$I$7*( 'Sales Projections'!$I$10*8)*(6*3 + 1) +   'Sales Projections'!$C$4* 'Sales Projections'!$I$7*( 'Sales Projections'!$I$10*8)*(6*3 + 1) +  'Sales Projections'!$D$4* 'Sales Projections'!$I$7*( 'Sales Projections'!$I$10*8)*(6*3 + 1) +  'Sales Projections'!$E$4* 'Sales Projections'!$I$7*( 'Sales Projections'!$I$10*5)*(6*3 + 1 )+  'Sales Projections'!$F$4* 'Sales Projections'!$I$7*( 'Sales Projections'!$I$10*1)*(6*3 + 1) ) *  ((1+'Sales Projections'!$I$8/100)^4)</f>
        <v>2117949.1979800011</v>
      </c>
      <c r="BZ22" s="44">
        <f xml:space="preserve"> ( 'Sales Projections'!$B$4* 'Sales Projections'!$I$7*( 'Sales Projections'!$I$10*8)*(6*3 + 1) +   'Sales Projections'!$C$4* 'Sales Projections'!$I$7*( 'Sales Projections'!$I$10*8)*(6*3 + 1) +  'Sales Projections'!$D$4* 'Sales Projections'!$I$7*( 'Sales Projections'!$I$10*8)*(6*3 + 1) +  'Sales Projections'!$E$4* 'Sales Projections'!$I$7*( 'Sales Projections'!$I$10*6)*(6*3 + 1 )+  'Sales Projections'!$F$4* 'Sales Projections'!$I$7*( 'Sales Projections'!$I$10*2)*(6*3 + 1) ) *  ((1+'Sales Projections'!$I$8/100)^4)</f>
        <v>2357032.9213200011</v>
      </c>
    </row>
    <row r="23" spans="2:78" s="16" customFormat="1" x14ac:dyDescent="0.25">
      <c r="B23" s="23" t="s">
        <v>890</v>
      </c>
      <c r="E23" s="44"/>
      <c r="F23" s="44"/>
      <c r="G23" s="44"/>
      <c r="H23" s="44"/>
      <c r="I23" s="44"/>
      <c r="J23" s="44"/>
      <c r="K23" s="44"/>
      <c r="L23" s="44"/>
      <c r="M23" s="44"/>
      <c r="N23" s="44"/>
      <c r="O23" s="44"/>
      <c r="P23" s="44"/>
      <c r="R23" s="44"/>
      <c r="S23" s="44"/>
      <c r="T23" s="44"/>
      <c r="U23" s="44"/>
      <c r="V23" s="44"/>
      <c r="W23" s="44"/>
      <c r="X23" s="44">
        <f>(250+100+200)</f>
        <v>550</v>
      </c>
      <c r="Y23" s="44">
        <f t="shared" ref="Y23:AC23" si="43">(250+100+200)</f>
        <v>550</v>
      </c>
      <c r="Z23" s="44">
        <f t="shared" si="43"/>
        <v>550</v>
      </c>
      <c r="AA23" s="44">
        <f t="shared" si="43"/>
        <v>550</v>
      </c>
      <c r="AB23" s="44">
        <f t="shared" si="43"/>
        <v>550</v>
      </c>
      <c r="AC23" s="44">
        <f t="shared" si="43"/>
        <v>550</v>
      </c>
      <c r="AE23" s="44">
        <f>(250+100+200)</f>
        <v>550</v>
      </c>
      <c r="AF23" s="44">
        <f t="shared" ref="AF23:AP23" si="44">(250+100+200)</f>
        <v>550</v>
      </c>
      <c r="AG23" s="44">
        <f t="shared" si="44"/>
        <v>550</v>
      </c>
      <c r="AH23" s="44">
        <f t="shared" si="44"/>
        <v>550</v>
      </c>
      <c r="AI23" s="44">
        <f t="shared" si="44"/>
        <v>550</v>
      </c>
      <c r="AJ23" s="44">
        <f t="shared" si="44"/>
        <v>550</v>
      </c>
      <c r="AK23" s="44">
        <f t="shared" si="44"/>
        <v>550</v>
      </c>
      <c r="AL23" s="44">
        <f t="shared" si="44"/>
        <v>550</v>
      </c>
      <c r="AM23" s="44">
        <f t="shared" si="44"/>
        <v>550</v>
      </c>
      <c r="AN23" s="44">
        <f t="shared" si="44"/>
        <v>550</v>
      </c>
      <c r="AO23" s="44">
        <f t="shared" si="44"/>
        <v>550</v>
      </c>
      <c r="AP23" s="44">
        <f t="shared" si="44"/>
        <v>550</v>
      </c>
      <c r="AR23" s="16">
        <f t="shared" si="25"/>
        <v>0</v>
      </c>
      <c r="AS23" s="16">
        <f t="shared" si="26"/>
        <v>0</v>
      </c>
      <c r="AT23" s="16">
        <f t="shared" si="27"/>
        <v>0</v>
      </c>
      <c r="AU23" s="16">
        <f t="shared" si="28"/>
        <v>0</v>
      </c>
      <c r="AV23" s="16">
        <f t="shared" si="29"/>
        <v>0</v>
      </c>
      <c r="AX23" s="16">
        <f t="shared" si="30"/>
        <v>3300</v>
      </c>
      <c r="AY23" s="16">
        <f t="shared" si="31"/>
        <v>0</v>
      </c>
      <c r="AZ23" s="16">
        <f t="shared" si="32"/>
        <v>0</v>
      </c>
      <c r="BA23" s="16">
        <f t="shared" si="33"/>
        <v>1650</v>
      </c>
      <c r="BB23" s="16">
        <f t="shared" si="34"/>
        <v>1650</v>
      </c>
      <c r="BD23" s="16">
        <f t="shared" si="35"/>
        <v>6600</v>
      </c>
      <c r="BE23" s="16">
        <f t="shared" si="36"/>
        <v>1650</v>
      </c>
      <c r="BF23" s="16">
        <f t="shared" si="37"/>
        <v>1650</v>
      </c>
      <c r="BG23" s="16">
        <f t="shared" si="38"/>
        <v>1650</v>
      </c>
      <c r="BH23" s="16">
        <f t="shared" si="39"/>
        <v>1650</v>
      </c>
      <c r="BJ23" s="16">
        <f t="shared" si="40"/>
        <v>6600</v>
      </c>
      <c r="BK23" s="44">
        <f xml:space="preserve"> (250+100+200)*3</f>
        <v>1650</v>
      </c>
      <c r="BL23" s="44">
        <f t="shared" ref="BL23:BN23" si="45" xml:space="preserve"> (250+100+200)*3</f>
        <v>1650</v>
      </c>
      <c r="BM23" s="44">
        <f t="shared" si="45"/>
        <v>1650</v>
      </c>
      <c r="BN23" s="44">
        <f t="shared" si="45"/>
        <v>1650</v>
      </c>
      <c r="BP23" s="16">
        <f t="shared" si="41"/>
        <v>6600</v>
      </c>
      <c r="BQ23" s="44">
        <f xml:space="preserve"> (250+100+200)*3</f>
        <v>1650</v>
      </c>
      <c r="BR23" s="44">
        <f t="shared" ref="BR23:BT23" si="46" xml:space="preserve"> (250+100+200)*3</f>
        <v>1650</v>
      </c>
      <c r="BS23" s="44">
        <f t="shared" si="46"/>
        <v>1650</v>
      </c>
      <c r="BT23" s="44">
        <f t="shared" si="46"/>
        <v>1650</v>
      </c>
      <c r="BV23" s="16">
        <f t="shared" si="42"/>
        <v>6600</v>
      </c>
      <c r="BW23" s="44">
        <f xml:space="preserve"> (250+100+200)*3</f>
        <v>1650</v>
      </c>
      <c r="BX23" s="44">
        <f t="shared" ref="BX23:BZ23" si="47" xml:space="preserve"> (250+100+200)*3</f>
        <v>1650</v>
      </c>
      <c r="BY23" s="44">
        <f t="shared" si="47"/>
        <v>1650</v>
      </c>
      <c r="BZ23" s="44">
        <f t="shared" si="47"/>
        <v>1650</v>
      </c>
    </row>
    <row r="24" spans="2:78" s="16" customFormat="1" x14ac:dyDescent="0.25">
      <c r="B24" s="23" t="str">
        <f t="shared" si="24"/>
        <v>Customer4</v>
      </c>
      <c r="E24" s="44"/>
      <c r="F24" s="44"/>
      <c r="G24" s="44"/>
      <c r="H24" s="44"/>
      <c r="I24" s="44"/>
      <c r="J24" s="44"/>
      <c r="K24" s="44"/>
      <c r="L24" s="44"/>
      <c r="M24" s="44"/>
      <c r="N24" s="44"/>
      <c r="O24" s="44"/>
      <c r="P24" s="44"/>
      <c r="R24" s="44"/>
      <c r="S24" s="44"/>
      <c r="T24" s="44"/>
      <c r="U24" s="44"/>
      <c r="V24" s="44"/>
      <c r="W24" s="44"/>
      <c r="X24" s="44"/>
      <c r="Y24" s="44"/>
      <c r="Z24" s="44"/>
      <c r="AA24" s="44"/>
      <c r="AB24" s="44"/>
      <c r="AC24" s="44"/>
      <c r="AE24" s="44"/>
      <c r="AF24" s="44"/>
      <c r="AG24" s="44"/>
      <c r="AH24" s="44"/>
      <c r="AI24" s="44"/>
      <c r="AJ24" s="44"/>
      <c r="AK24" s="44"/>
      <c r="AL24" s="44"/>
      <c r="AM24" s="44"/>
      <c r="AN24" s="44"/>
      <c r="AO24" s="44"/>
      <c r="AP24" s="44"/>
      <c r="AR24" s="16">
        <f t="shared" si="25"/>
        <v>0</v>
      </c>
      <c r="AS24" s="16">
        <f t="shared" si="26"/>
        <v>0</v>
      </c>
      <c r="AT24" s="16">
        <f t="shared" si="27"/>
        <v>0</v>
      </c>
      <c r="AU24" s="16">
        <f t="shared" si="28"/>
        <v>0</v>
      </c>
      <c r="AV24" s="16">
        <f t="shared" si="29"/>
        <v>0</v>
      </c>
      <c r="AX24" s="16">
        <f t="shared" si="30"/>
        <v>0</v>
      </c>
      <c r="AY24" s="16">
        <f t="shared" si="31"/>
        <v>0</v>
      </c>
      <c r="AZ24" s="16">
        <f t="shared" si="32"/>
        <v>0</v>
      </c>
      <c r="BA24" s="16">
        <f t="shared" si="33"/>
        <v>0</v>
      </c>
      <c r="BB24" s="16">
        <f t="shared" si="34"/>
        <v>0</v>
      </c>
      <c r="BD24" s="16">
        <f t="shared" si="35"/>
        <v>0</v>
      </c>
      <c r="BE24" s="16">
        <f t="shared" si="36"/>
        <v>0</v>
      </c>
      <c r="BF24" s="16">
        <f t="shared" si="37"/>
        <v>0</v>
      </c>
      <c r="BG24" s="16">
        <f t="shared" si="38"/>
        <v>0</v>
      </c>
      <c r="BH24" s="16">
        <f t="shared" si="39"/>
        <v>0</v>
      </c>
      <c r="BJ24" s="16">
        <f t="shared" si="40"/>
        <v>0</v>
      </c>
      <c r="BK24" s="44"/>
      <c r="BL24" s="44"/>
      <c r="BM24" s="44"/>
      <c r="BN24" s="44"/>
      <c r="BP24" s="16">
        <f t="shared" si="41"/>
        <v>0</v>
      </c>
      <c r="BQ24" s="44"/>
      <c r="BR24" s="44"/>
      <c r="BS24" s="44"/>
      <c r="BT24" s="44"/>
      <c r="BV24" s="16">
        <f t="shared" si="42"/>
        <v>0</v>
      </c>
      <c r="BW24" s="44"/>
      <c r="BX24" s="44"/>
      <c r="BY24" s="44"/>
      <c r="BZ24" s="44"/>
    </row>
    <row r="25" spans="2:78" s="16" customFormat="1" x14ac:dyDescent="0.25">
      <c r="B25" s="23" t="str">
        <f t="shared" si="24"/>
        <v>Customer5</v>
      </c>
      <c r="E25" s="44"/>
      <c r="F25" s="44"/>
      <c r="G25" s="44"/>
      <c r="H25" s="44"/>
      <c r="I25" s="44"/>
      <c r="J25" s="44"/>
      <c r="K25" s="44"/>
      <c r="L25" s="44"/>
      <c r="M25" s="44"/>
      <c r="N25" s="44"/>
      <c r="O25" s="44"/>
      <c r="P25" s="44"/>
      <c r="R25" s="44"/>
      <c r="S25" s="44"/>
      <c r="T25" s="44"/>
      <c r="U25" s="44"/>
      <c r="V25" s="44"/>
      <c r="W25" s="44"/>
      <c r="X25" s="44"/>
      <c r="Y25" s="44"/>
      <c r="Z25" s="44"/>
      <c r="AA25" s="44"/>
      <c r="AB25" s="44"/>
      <c r="AC25" s="44"/>
      <c r="AE25" s="44"/>
      <c r="AF25" s="44"/>
      <c r="AG25" s="44"/>
      <c r="AH25" s="44"/>
      <c r="AI25" s="44"/>
      <c r="AJ25" s="44"/>
      <c r="AK25" s="44"/>
      <c r="AL25" s="44"/>
      <c r="AM25" s="44"/>
      <c r="AN25" s="44"/>
      <c r="AO25" s="44"/>
      <c r="AP25" s="44"/>
      <c r="AR25" s="16">
        <f t="shared" si="25"/>
        <v>0</v>
      </c>
      <c r="AS25" s="16">
        <f t="shared" si="26"/>
        <v>0</v>
      </c>
      <c r="AT25" s="16">
        <f t="shared" si="27"/>
        <v>0</v>
      </c>
      <c r="AU25" s="16">
        <f t="shared" si="28"/>
        <v>0</v>
      </c>
      <c r="AV25" s="16">
        <f t="shared" si="29"/>
        <v>0</v>
      </c>
      <c r="AX25" s="16">
        <f t="shared" si="30"/>
        <v>0</v>
      </c>
      <c r="AY25" s="16">
        <f t="shared" si="31"/>
        <v>0</v>
      </c>
      <c r="AZ25" s="16">
        <f t="shared" si="32"/>
        <v>0</v>
      </c>
      <c r="BA25" s="16">
        <f t="shared" si="33"/>
        <v>0</v>
      </c>
      <c r="BB25" s="16">
        <f t="shared" si="34"/>
        <v>0</v>
      </c>
      <c r="BD25" s="16">
        <f t="shared" si="35"/>
        <v>0</v>
      </c>
      <c r="BE25" s="16">
        <f t="shared" si="36"/>
        <v>0</v>
      </c>
      <c r="BF25" s="16">
        <f t="shared" si="37"/>
        <v>0</v>
      </c>
      <c r="BG25" s="16">
        <f t="shared" si="38"/>
        <v>0</v>
      </c>
      <c r="BH25" s="16">
        <f t="shared" si="39"/>
        <v>0</v>
      </c>
      <c r="BJ25" s="16">
        <f t="shared" si="40"/>
        <v>0</v>
      </c>
      <c r="BK25" s="44"/>
      <c r="BL25" s="44"/>
      <c r="BM25" s="44"/>
      <c r="BN25" s="44"/>
      <c r="BP25" s="16">
        <f t="shared" si="41"/>
        <v>0</v>
      </c>
      <c r="BQ25" s="44"/>
      <c r="BR25" s="44"/>
      <c r="BS25" s="44"/>
      <c r="BT25" s="44"/>
      <c r="BV25" s="16">
        <f t="shared" si="42"/>
        <v>0</v>
      </c>
      <c r="BW25" s="44"/>
      <c r="BX25" s="44"/>
      <c r="BY25" s="44"/>
      <c r="BZ25" s="44"/>
    </row>
    <row r="26" spans="2:78" s="16" customFormat="1" x14ac:dyDescent="0.25">
      <c r="B26" s="23" t="str">
        <f t="shared" si="24"/>
        <v>Customer6</v>
      </c>
      <c r="E26" s="44"/>
      <c r="F26" s="44"/>
      <c r="G26" s="44"/>
      <c r="H26" s="44"/>
      <c r="I26" s="44"/>
      <c r="J26" s="44"/>
      <c r="K26" s="44"/>
      <c r="L26" s="44"/>
      <c r="M26" s="44"/>
      <c r="N26" s="44"/>
      <c r="O26" s="44"/>
      <c r="P26" s="44"/>
      <c r="R26" s="44"/>
      <c r="S26" s="44"/>
      <c r="T26" s="44"/>
      <c r="U26" s="44"/>
      <c r="V26" s="44"/>
      <c r="W26" s="44"/>
      <c r="X26" s="44"/>
      <c r="Y26" s="44"/>
      <c r="Z26" s="44"/>
      <c r="AA26" s="44"/>
      <c r="AB26" s="44"/>
      <c r="AC26" s="44"/>
      <c r="AE26" s="44"/>
      <c r="AF26" s="44"/>
      <c r="AG26" s="44"/>
      <c r="AH26" s="44"/>
      <c r="AI26" s="44"/>
      <c r="AJ26" s="44"/>
      <c r="AK26" s="44"/>
      <c r="AL26" s="44"/>
      <c r="AM26" s="44"/>
      <c r="AN26" s="44"/>
      <c r="AO26" s="44"/>
      <c r="AP26" s="44"/>
      <c r="AR26" s="16">
        <f t="shared" si="25"/>
        <v>0</v>
      </c>
      <c r="AS26" s="16">
        <f t="shared" si="26"/>
        <v>0</v>
      </c>
      <c r="AT26" s="16">
        <f t="shared" si="27"/>
        <v>0</v>
      </c>
      <c r="AU26" s="16">
        <f t="shared" si="28"/>
        <v>0</v>
      </c>
      <c r="AV26" s="16">
        <f t="shared" si="29"/>
        <v>0</v>
      </c>
      <c r="AX26" s="16">
        <f t="shared" si="30"/>
        <v>0</v>
      </c>
      <c r="AY26" s="16">
        <f t="shared" si="31"/>
        <v>0</v>
      </c>
      <c r="AZ26" s="16">
        <f t="shared" si="32"/>
        <v>0</v>
      </c>
      <c r="BA26" s="16">
        <f t="shared" si="33"/>
        <v>0</v>
      </c>
      <c r="BB26" s="16">
        <f t="shared" si="34"/>
        <v>0</v>
      </c>
      <c r="BD26" s="16">
        <f t="shared" si="35"/>
        <v>0</v>
      </c>
      <c r="BE26" s="16">
        <f t="shared" si="36"/>
        <v>0</v>
      </c>
      <c r="BF26" s="16">
        <f t="shared" si="37"/>
        <v>0</v>
      </c>
      <c r="BG26" s="16">
        <f t="shared" si="38"/>
        <v>0</v>
      </c>
      <c r="BH26" s="16">
        <f t="shared" si="39"/>
        <v>0</v>
      </c>
      <c r="BJ26" s="16">
        <f t="shared" si="40"/>
        <v>0</v>
      </c>
      <c r="BK26" s="44"/>
      <c r="BL26" s="44"/>
      <c r="BM26" s="44"/>
      <c r="BN26" s="44"/>
      <c r="BP26" s="16">
        <f t="shared" si="41"/>
        <v>0</v>
      </c>
      <c r="BQ26" s="44"/>
      <c r="BR26" s="44"/>
      <c r="BS26" s="44"/>
      <c r="BT26" s="44"/>
      <c r="BV26" s="16">
        <f t="shared" si="42"/>
        <v>0</v>
      </c>
      <c r="BW26" s="44"/>
      <c r="BX26" s="44"/>
      <c r="BY26" s="44"/>
      <c r="BZ26" s="44"/>
    </row>
    <row r="27" spans="2:78" s="16" customFormat="1" x14ac:dyDescent="0.25">
      <c r="B27" s="23" t="str">
        <f t="shared" si="24"/>
        <v>Customer7</v>
      </c>
      <c r="E27" s="44"/>
      <c r="F27" s="44"/>
      <c r="G27" s="44"/>
      <c r="H27" s="44"/>
      <c r="I27" s="44"/>
      <c r="J27" s="44"/>
      <c r="K27" s="44"/>
      <c r="L27" s="44"/>
      <c r="M27" s="44"/>
      <c r="N27" s="44"/>
      <c r="O27" s="44"/>
      <c r="P27" s="44"/>
      <c r="R27" s="44"/>
      <c r="S27" s="44"/>
      <c r="T27" s="44"/>
      <c r="U27" s="44"/>
      <c r="V27" s="44"/>
      <c r="W27" s="44"/>
      <c r="X27" s="44"/>
      <c r="Y27" s="44"/>
      <c r="Z27" s="44"/>
      <c r="AA27" s="44"/>
      <c r="AB27" s="44"/>
      <c r="AC27" s="44"/>
      <c r="AE27" s="44"/>
      <c r="AF27" s="44"/>
      <c r="AG27" s="44"/>
      <c r="AH27" s="44"/>
      <c r="AI27" s="44"/>
      <c r="AJ27" s="44"/>
      <c r="AK27" s="44"/>
      <c r="AL27" s="44"/>
      <c r="AM27" s="44"/>
      <c r="AN27" s="44"/>
      <c r="AO27" s="44"/>
      <c r="AP27" s="44"/>
      <c r="AR27" s="16">
        <f t="shared" si="25"/>
        <v>0</v>
      </c>
      <c r="AS27" s="16">
        <f t="shared" si="26"/>
        <v>0</v>
      </c>
      <c r="AT27" s="16">
        <f t="shared" si="27"/>
        <v>0</v>
      </c>
      <c r="AU27" s="16">
        <f t="shared" si="28"/>
        <v>0</v>
      </c>
      <c r="AV27" s="16">
        <f t="shared" si="29"/>
        <v>0</v>
      </c>
      <c r="AX27" s="16">
        <f t="shared" si="30"/>
        <v>0</v>
      </c>
      <c r="AY27" s="16">
        <f t="shared" si="31"/>
        <v>0</v>
      </c>
      <c r="AZ27" s="16">
        <f t="shared" si="32"/>
        <v>0</v>
      </c>
      <c r="BA27" s="16">
        <f t="shared" si="33"/>
        <v>0</v>
      </c>
      <c r="BB27" s="16">
        <f t="shared" si="34"/>
        <v>0</v>
      </c>
      <c r="BD27" s="16">
        <f t="shared" si="35"/>
        <v>0</v>
      </c>
      <c r="BE27" s="16">
        <f t="shared" si="36"/>
        <v>0</v>
      </c>
      <c r="BF27" s="16">
        <f t="shared" si="37"/>
        <v>0</v>
      </c>
      <c r="BG27" s="16">
        <f t="shared" si="38"/>
        <v>0</v>
      </c>
      <c r="BH27" s="16">
        <f t="shared" si="39"/>
        <v>0</v>
      </c>
      <c r="BJ27" s="16">
        <f t="shared" si="40"/>
        <v>0</v>
      </c>
      <c r="BK27" s="44"/>
      <c r="BL27" s="44"/>
      <c r="BM27" s="44"/>
      <c r="BN27" s="44"/>
      <c r="BP27" s="16">
        <f t="shared" si="41"/>
        <v>0</v>
      </c>
      <c r="BQ27" s="44"/>
      <c r="BR27" s="44"/>
      <c r="BS27" s="44"/>
      <c r="BT27" s="44"/>
      <c r="BV27" s="16">
        <f t="shared" si="42"/>
        <v>0</v>
      </c>
      <c r="BW27" s="44"/>
      <c r="BX27" s="44"/>
      <c r="BY27" s="44"/>
      <c r="BZ27" s="44"/>
    </row>
    <row r="28" spans="2:78" s="16" customFormat="1" x14ac:dyDescent="0.25">
      <c r="B28" s="23" t="str">
        <f t="shared" si="24"/>
        <v>Customer8</v>
      </c>
      <c r="E28" s="44"/>
      <c r="F28" s="44"/>
      <c r="G28" s="44"/>
      <c r="H28" s="44"/>
      <c r="I28" s="44"/>
      <c r="J28" s="44"/>
      <c r="K28" s="44"/>
      <c r="L28" s="44"/>
      <c r="M28" s="44"/>
      <c r="N28" s="44"/>
      <c r="O28" s="44"/>
      <c r="P28" s="44"/>
      <c r="R28" s="44"/>
      <c r="S28" s="44"/>
      <c r="T28" s="44"/>
      <c r="U28" s="44"/>
      <c r="V28" s="44"/>
      <c r="W28" s="44"/>
      <c r="X28" s="44"/>
      <c r="Y28" s="44"/>
      <c r="Z28" s="44"/>
      <c r="AA28" s="44"/>
      <c r="AB28" s="44"/>
      <c r="AC28" s="44"/>
      <c r="AE28" s="44"/>
      <c r="AF28" s="44"/>
      <c r="AG28" s="44"/>
      <c r="AH28" s="44"/>
      <c r="AI28" s="44"/>
      <c r="AJ28" s="44"/>
      <c r="AK28" s="44"/>
      <c r="AL28" s="44"/>
      <c r="AM28" s="44"/>
      <c r="AN28" s="44"/>
      <c r="AO28" s="44"/>
      <c r="AP28" s="44"/>
      <c r="AR28" s="16">
        <f t="shared" si="25"/>
        <v>0</v>
      </c>
      <c r="AS28" s="16">
        <f t="shared" si="26"/>
        <v>0</v>
      </c>
      <c r="AT28" s="16">
        <f t="shared" si="27"/>
        <v>0</v>
      </c>
      <c r="AU28" s="16">
        <f t="shared" si="28"/>
        <v>0</v>
      </c>
      <c r="AV28" s="16">
        <f t="shared" si="29"/>
        <v>0</v>
      </c>
      <c r="AX28" s="16">
        <f t="shared" si="30"/>
        <v>0</v>
      </c>
      <c r="AY28" s="16">
        <f t="shared" si="31"/>
        <v>0</v>
      </c>
      <c r="AZ28" s="16">
        <f t="shared" si="32"/>
        <v>0</v>
      </c>
      <c r="BA28" s="16">
        <f t="shared" si="33"/>
        <v>0</v>
      </c>
      <c r="BB28" s="16">
        <f t="shared" si="34"/>
        <v>0</v>
      </c>
      <c r="BD28" s="16">
        <f t="shared" si="35"/>
        <v>0</v>
      </c>
      <c r="BE28" s="16">
        <f t="shared" si="36"/>
        <v>0</v>
      </c>
      <c r="BF28" s="16">
        <f t="shared" si="37"/>
        <v>0</v>
      </c>
      <c r="BG28" s="16">
        <f t="shared" si="38"/>
        <v>0</v>
      </c>
      <c r="BH28" s="16">
        <f t="shared" si="39"/>
        <v>0</v>
      </c>
      <c r="BJ28" s="16">
        <f t="shared" si="40"/>
        <v>0</v>
      </c>
      <c r="BK28" s="44"/>
      <c r="BL28" s="44"/>
      <c r="BM28" s="44"/>
      <c r="BN28" s="44"/>
      <c r="BP28" s="16">
        <f>SUM(BQ28:BT28)</f>
        <v>0</v>
      </c>
      <c r="BQ28" s="44"/>
      <c r="BR28" s="44"/>
      <c r="BS28" s="44"/>
      <c r="BT28" s="44"/>
      <c r="BV28" s="16">
        <f t="shared" si="42"/>
        <v>0</v>
      </c>
      <c r="BW28" s="44"/>
      <c r="BX28" s="44"/>
      <c r="BY28" s="44"/>
      <c r="BZ28" s="44"/>
    </row>
    <row r="29" spans="2:78" s="16" customFormat="1" x14ac:dyDescent="0.25">
      <c r="B29" s="23" t="str">
        <f t="shared" si="24"/>
        <v>Customer9</v>
      </c>
      <c r="E29" s="44"/>
      <c r="F29" s="44"/>
      <c r="G29" s="44"/>
      <c r="H29" s="44"/>
      <c r="I29" s="44"/>
      <c r="J29" s="44"/>
      <c r="K29" s="44"/>
      <c r="L29" s="44"/>
      <c r="M29" s="44"/>
      <c r="N29" s="44"/>
      <c r="O29" s="44"/>
      <c r="P29" s="44"/>
      <c r="R29" s="44"/>
      <c r="S29" s="44"/>
      <c r="T29" s="44"/>
      <c r="U29" s="44"/>
      <c r="V29" s="44"/>
      <c r="W29" s="44"/>
      <c r="X29" s="44"/>
      <c r="Y29" s="44"/>
      <c r="Z29" s="44"/>
      <c r="AA29" s="44"/>
      <c r="AB29" s="44"/>
      <c r="AC29" s="44"/>
      <c r="AE29" s="44"/>
      <c r="AF29" s="44"/>
      <c r="AG29" s="44"/>
      <c r="AH29" s="44"/>
      <c r="AI29" s="44"/>
      <c r="AJ29" s="44"/>
      <c r="AK29" s="44"/>
      <c r="AL29" s="44"/>
      <c r="AM29" s="44"/>
      <c r="AN29" s="44"/>
      <c r="AO29" s="44"/>
      <c r="AP29" s="44"/>
      <c r="AR29" s="16">
        <f t="shared" si="25"/>
        <v>0</v>
      </c>
      <c r="AS29" s="16">
        <f t="shared" si="26"/>
        <v>0</v>
      </c>
      <c r="AT29" s="16">
        <f t="shared" si="27"/>
        <v>0</v>
      </c>
      <c r="AU29" s="16">
        <f t="shared" si="28"/>
        <v>0</v>
      </c>
      <c r="AV29" s="16">
        <f t="shared" si="29"/>
        <v>0</v>
      </c>
      <c r="AX29" s="16">
        <f t="shared" si="30"/>
        <v>0</v>
      </c>
      <c r="AY29" s="16">
        <f t="shared" si="31"/>
        <v>0</v>
      </c>
      <c r="AZ29" s="16">
        <f t="shared" si="32"/>
        <v>0</v>
      </c>
      <c r="BA29" s="16">
        <f t="shared" si="33"/>
        <v>0</v>
      </c>
      <c r="BB29" s="16">
        <f t="shared" si="34"/>
        <v>0</v>
      </c>
      <c r="BD29" s="16">
        <f t="shared" si="35"/>
        <v>0</v>
      </c>
      <c r="BE29" s="16">
        <f t="shared" si="36"/>
        <v>0</v>
      </c>
      <c r="BF29" s="16">
        <f t="shared" si="37"/>
        <v>0</v>
      </c>
      <c r="BG29" s="16">
        <f t="shared" si="38"/>
        <v>0</v>
      </c>
      <c r="BH29" s="16">
        <f t="shared" si="39"/>
        <v>0</v>
      </c>
      <c r="BJ29" s="16">
        <f t="shared" si="40"/>
        <v>0</v>
      </c>
      <c r="BK29" s="44"/>
      <c r="BL29" s="44"/>
      <c r="BM29" s="44"/>
      <c r="BN29" s="44"/>
      <c r="BP29" s="16">
        <f>SUM(BQ29:BT29)</f>
        <v>0</v>
      </c>
      <c r="BQ29" s="44"/>
      <c r="BR29" s="44"/>
      <c r="BS29" s="44"/>
      <c r="BT29" s="44"/>
      <c r="BV29" s="16">
        <f t="shared" si="42"/>
        <v>0</v>
      </c>
      <c r="BW29" s="44"/>
      <c r="BX29" s="44"/>
      <c r="BY29" s="44"/>
      <c r="BZ29" s="44"/>
    </row>
    <row r="30" spans="2:78" s="16" customFormat="1" x14ac:dyDescent="0.25">
      <c r="B30" s="23" t="str">
        <f t="shared" si="24"/>
        <v>Customer10</v>
      </c>
      <c r="E30" s="44"/>
      <c r="F30" s="44"/>
      <c r="G30" s="44"/>
      <c r="H30" s="44"/>
      <c r="I30" s="44"/>
      <c r="J30" s="44"/>
      <c r="K30" s="44"/>
      <c r="L30" s="44"/>
      <c r="M30" s="44"/>
      <c r="N30" s="44"/>
      <c r="O30" s="44"/>
      <c r="P30" s="44"/>
      <c r="R30" s="44"/>
      <c r="S30" s="44"/>
      <c r="T30" s="44"/>
      <c r="U30" s="44"/>
      <c r="V30" s="44"/>
      <c r="W30" s="44"/>
      <c r="X30" s="44"/>
      <c r="Y30" s="44"/>
      <c r="Z30" s="44"/>
      <c r="AA30" s="44"/>
      <c r="AB30" s="44"/>
      <c r="AC30" s="44"/>
      <c r="AE30" s="44"/>
      <c r="AF30" s="44"/>
      <c r="AG30" s="44"/>
      <c r="AH30" s="44"/>
      <c r="AI30" s="44"/>
      <c r="AJ30" s="44"/>
      <c r="AK30" s="44"/>
      <c r="AL30" s="44"/>
      <c r="AM30" s="44"/>
      <c r="AN30" s="44"/>
      <c r="AO30" s="44"/>
      <c r="AP30" s="44"/>
      <c r="AR30" s="16">
        <f t="shared" si="25"/>
        <v>0</v>
      </c>
      <c r="AS30" s="16">
        <f t="shared" si="26"/>
        <v>0</v>
      </c>
      <c r="AT30" s="16">
        <f t="shared" si="27"/>
        <v>0</v>
      </c>
      <c r="AU30" s="16">
        <f t="shared" si="28"/>
        <v>0</v>
      </c>
      <c r="AV30" s="16">
        <f t="shared" si="29"/>
        <v>0</v>
      </c>
      <c r="AX30" s="16">
        <f t="shared" si="30"/>
        <v>0</v>
      </c>
      <c r="AY30" s="16">
        <f t="shared" si="31"/>
        <v>0</v>
      </c>
      <c r="AZ30" s="16">
        <f t="shared" si="32"/>
        <v>0</v>
      </c>
      <c r="BA30" s="16">
        <f t="shared" si="33"/>
        <v>0</v>
      </c>
      <c r="BB30" s="16">
        <f t="shared" si="34"/>
        <v>0</v>
      </c>
      <c r="BD30" s="16">
        <f t="shared" si="35"/>
        <v>0</v>
      </c>
      <c r="BE30" s="16">
        <f t="shared" si="36"/>
        <v>0</v>
      </c>
      <c r="BF30" s="16">
        <f t="shared" si="37"/>
        <v>0</v>
      </c>
      <c r="BG30" s="16">
        <f t="shared" si="38"/>
        <v>0</v>
      </c>
      <c r="BH30" s="16">
        <f t="shared" si="39"/>
        <v>0</v>
      </c>
      <c r="BJ30" s="16">
        <f t="shared" si="40"/>
        <v>0</v>
      </c>
      <c r="BK30" s="44"/>
      <c r="BL30" s="44"/>
      <c r="BM30" s="44"/>
      <c r="BN30" s="44"/>
      <c r="BP30" s="16">
        <f t="shared" si="41"/>
        <v>0</v>
      </c>
      <c r="BQ30" s="44"/>
      <c r="BR30" s="44"/>
      <c r="BS30" s="44"/>
      <c r="BT30" s="44"/>
      <c r="BV30" s="16">
        <f t="shared" si="42"/>
        <v>0</v>
      </c>
      <c r="BW30" s="44"/>
      <c r="BX30" s="44"/>
      <c r="BY30" s="44"/>
      <c r="BZ30" s="44"/>
    </row>
    <row r="31" spans="2:78" s="16" customFormat="1" x14ac:dyDescent="0.25"/>
    <row r="32" spans="2:78" s="16" customFormat="1" x14ac:dyDescent="0.25">
      <c r="B32" s="16" t="s">
        <v>223</v>
      </c>
      <c r="E32" s="17">
        <f>SUM(E21:E30)</f>
        <v>0</v>
      </c>
      <c r="F32" s="17">
        <f t="shared" ref="F32:P32" si="48">SUM(F21:F30)</f>
        <v>0</v>
      </c>
      <c r="G32" s="17">
        <f t="shared" si="48"/>
        <v>0</v>
      </c>
      <c r="H32" s="17">
        <f t="shared" si="48"/>
        <v>0</v>
      </c>
      <c r="I32" s="17">
        <f t="shared" si="48"/>
        <v>0</v>
      </c>
      <c r="J32" s="17">
        <f t="shared" si="48"/>
        <v>0</v>
      </c>
      <c r="K32" s="17">
        <f t="shared" si="48"/>
        <v>0</v>
      </c>
      <c r="L32" s="17">
        <f t="shared" si="48"/>
        <v>0</v>
      </c>
      <c r="M32" s="17">
        <f t="shared" si="48"/>
        <v>0</v>
      </c>
      <c r="N32" s="17">
        <f t="shared" si="48"/>
        <v>0</v>
      </c>
      <c r="O32" s="17">
        <f t="shared" si="48"/>
        <v>0</v>
      </c>
      <c r="P32" s="17">
        <f t="shared" si="48"/>
        <v>0</v>
      </c>
      <c r="R32" s="17">
        <f>SUM(R21:R30)</f>
        <v>0</v>
      </c>
      <c r="S32" s="17">
        <f t="shared" ref="S32:AC32" si="49">SUM(S21:S30)</f>
        <v>0</v>
      </c>
      <c r="T32" s="17">
        <f t="shared" si="49"/>
        <v>0</v>
      </c>
      <c r="U32" s="17">
        <f t="shared" si="49"/>
        <v>0</v>
      </c>
      <c r="V32" s="17">
        <f t="shared" si="49"/>
        <v>0</v>
      </c>
      <c r="W32" s="17">
        <f t="shared" si="49"/>
        <v>0</v>
      </c>
      <c r="X32" s="17">
        <f t="shared" si="49"/>
        <v>47100.000000000007</v>
      </c>
      <c r="Y32" s="17">
        <f t="shared" si="49"/>
        <v>47100.000000000007</v>
      </c>
      <c r="Z32" s="17">
        <f t="shared" si="49"/>
        <v>47100.000000000007</v>
      </c>
      <c r="AA32" s="17">
        <f t="shared" si="49"/>
        <v>51650.000000000007</v>
      </c>
      <c r="AB32" s="17">
        <f t="shared" si="49"/>
        <v>51650.000000000007</v>
      </c>
      <c r="AC32" s="17">
        <f t="shared" si="49"/>
        <v>51650.000000000007</v>
      </c>
      <c r="AE32" s="17">
        <f t="shared" ref="AE32:BH32" si="50">SUM(AE21:AE30)</f>
        <v>61765.000000000015</v>
      </c>
      <c r="AF32" s="17">
        <f t="shared" si="50"/>
        <v>61765.000000000015</v>
      </c>
      <c r="AG32" s="17">
        <f t="shared" si="50"/>
        <v>61765.000000000015</v>
      </c>
      <c r="AH32" s="17">
        <f t="shared" si="50"/>
        <v>66770.000000000029</v>
      </c>
      <c r="AI32" s="17">
        <f t="shared" si="50"/>
        <v>66770.000000000029</v>
      </c>
      <c r="AJ32" s="17">
        <f t="shared" si="50"/>
        <v>66770.000000000029</v>
      </c>
      <c r="AK32" s="17">
        <f t="shared" si="50"/>
        <v>174185.00000000006</v>
      </c>
      <c r="AL32" s="17">
        <f t="shared" si="50"/>
        <v>174185.00000000006</v>
      </c>
      <c r="AM32" s="17">
        <f t="shared" si="50"/>
        <v>174185.00000000006</v>
      </c>
      <c r="AN32" s="17">
        <f t="shared" si="50"/>
        <v>189200.00000000006</v>
      </c>
      <c r="AO32" s="17">
        <f>SUM(AO21:AO30)</f>
        <v>189200.00000000006</v>
      </c>
      <c r="AP32" s="17">
        <f t="shared" si="50"/>
        <v>189200.00000000006</v>
      </c>
      <c r="AR32" s="17">
        <f t="shared" si="50"/>
        <v>0</v>
      </c>
      <c r="AS32" s="17">
        <f t="shared" si="50"/>
        <v>0</v>
      </c>
      <c r="AT32" s="17">
        <f t="shared" si="50"/>
        <v>0</v>
      </c>
      <c r="AU32" s="17">
        <f t="shared" si="50"/>
        <v>0</v>
      </c>
      <c r="AV32" s="17">
        <f t="shared" si="50"/>
        <v>0</v>
      </c>
      <c r="AX32" s="17">
        <f t="shared" si="50"/>
        <v>296250.00000000006</v>
      </c>
      <c r="AY32" s="17">
        <f t="shared" si="50"/>
        <v>0</v>
      </c>
      <c r="AZ32" s="17">
        <f t="shared" si="50"/>
        <v>0</v>
      </c>
      <c r="BA32" s="17">
        <f t="shared" si="50"/>
        <v>141300.00000000003</v>
      </c>
      <c r="BB32" s="17">
        <f t="shared" si="50"/>
        <v>154950.00000000003</v>
      </c>
      <c r="BD32" s="17">
        <f t="shared" si="50"/>
        <v>1475760.0000000002</v>
      </c>
      <c r="BE32" s="17">
        <f t="shared" si="50"/>
        <v>185295.00000000006</v>
      </c>
      <c r="BF32" s="17">
        <f t="shared" si="50"/>
        <v>200310.00000000006</v>
      </c>
      <c r="BG32" s="17">
        <f t="shared" si="50"/>
        <v>522555.00000000017</v>
      </c>
      <c r="BH32" s="17">
        <f t="shared" si="50"/>
        <v>567600.00000000023</v>
      </c>
      <c r="BJ32" s="17">
        <f t="shared" ref="BJ32:BN32" si="51">SUM(BJ21:BJ30)</f>
        <v>4008733.4430000018</v>
      </c>
      <c r="BK32" s="17">
        <f t="shared" si="51"/>
        <v>673744.50000000023</v>
      </c>
      <c r="BL32" s="17">
        <f t="shared" si="51"/>
        <v>723294.00000000023</v>
      </c>
      <c r="BM32" s="17">
        <f t="shared" si="51"/>
        <v>1264495.6610000003</v>
      </c>
      <c r="BN32" s="17">
        <f t="shared" si="51"/>
        <v>1347199.2820000006</v>
      </c>
      <c r="BP32" s="17">
        <f t="shared" ref="BP32:BT32" si="52">SUM(BP21:BP30)</f>
        <v>8313408.0018000044</v>
      </c>
      <c r="BQ32" s="17">
        <f t="shared" si="52"/>
        <v>1572728.1933000009</v>
      </c>
      <c r="BR32" s="17">
        <f t="shared" si="52"/>
        <v>1663702.1764000009</v>
      </c>
      <c r="BS32" s="17">
        <f t="shared" si="52"/>
        <v>2582212.0995000014</v>
      </c>
      <c r="BT32" s="17">
        <f t="shared" si="52"/>
        <v>2494765.5326000014</v>
      </c>
      <c r="BV32" s="17">
        <f t="shared" ref="BV32:BZ32" si="53">SUM(BV21:BV30)</f>
        <v>14451399.619250007</v>
      </c>
      <c r="BW32" s="17">
        <f t="shared" si="53"/>
        <v>3004233.1612700019</v>
      </c>
      <c r="BX32" s="17">
        <f t="shared" si="53"/>
        <v>3145606.8036800018</v>
      </c>
      <c r="BY32" s="17">
        <f t="shared" si="53"/>
        <v>3993487.9039000021</v>
      </c>
      <c r="BZ32" s="17">
        <f t="shared" si="53"/>
        <v>4308071.7504000021</v>
      </c>
    </row>
    <row r="33" spans="2:78" s="16" customFormat="1" x14ac:dyDescent="0.25"/>
    <row r="34" spans="2:78" s="16" customFormat="1" x14ac:dyDescent="0.25">
      <c r="B34" s="19" t="s">
        <v>222</v>
      </c>
      <c r="C34" s="32" t="s">
        <v>225</v>
      </c>
    </row>
    <row r="35" spans="2:78" s="16" customFormat="1" x14ac:dyDescent="0.25">
      <c r="B35" s="23" t="str">
        <f t="shared" ref="B35:B44" si="54">+B21</f>
        <v>Professional</v>
      </c>
      <c r="C35" s="16">
        <v>200</v>
      </c>
      <c r="E35" s="16">
        <f>+E7*$C35</f>
        <v>0</v>
      </c>
      <c r="F35" s="16">
        <f t="shared" ref="F35:P35" si="55">+F7*$C35</f>
        <v>0</v>
      </c>
      <c r="G35" s="16">
        <f t="shared" si="55"/>
        <v>0</v>
      </c>
      <c r="H35" s="16">
        <f t="shared" si="55"/>
        <v>0</v>
      </c>
      <c r="I35" s="16">
        <f t="shared" si="55"/>
        <v>0</v>
      </c>
      <c r="J35" s="16">
        <f t="shared" si="55"/>
        <v>0</v>
      </c>
      <c r="K35" s="16">
        <f t="shared" si="55"/>
        <v>0</v>
      </c>
      <c r="L35" s="16">
        <f t="shared" si="55"/>
        <v>0</v>
      </c>
      <c r="M35" s="16">
        <f t="shared" si="55"/>
        <v>0</v>
      </c>
      <c r="N35" s="16">
        <f t="shared" si="55"/>
        <v>0</v>
      </c>
      <c r="O35" s="16">
        <f t="shared" si="55"/>
        <v>0</v>
      </c>
      <c r="P35" s="16">
        <f t="shared" si="55"/>
        <v>0</v>
      </c>
      <c r="R35" s="16">
        <f>+R7*$C35</f>
        <v>0</v>
      </c>
      <c r="S35" s="16">
        <f t="shared" ref="S35:AC35" si="56">+S7*$C35</f>
        <v>0</v>
      </c>
      <c r="T35" s="16">
        <f t="shared" si="56"/>
        <v>0</v>
      </c>
      <c r="U35" s="16">
        <f t="shared" si="56"/>
        <v>0</v>
      </c>
      <c r="V35" s="16">
        <f t="shared" si="56"/>
        <v>0</v>
      </c>
      <c r="W35" s="16">
        <f t="shared" si="56"/>
        <v>0</v>
      </c>
      <c r="X35" s="16">
        <f t="shared" si="56"/>
        <v>37600</v>
      </c>
      <c r="Y35" s="16">
        <f t="shared" si="56"/>
        <v>0</v>
      </c>
      <c r="Z35" s="16">
        <f t="shared" si="56"/>
        <v>0</v>
      </c>
      <c r="AA35" s="16">
        <f t="shared" si="56"/>
        <v>37400</v>
      </c>
      <c r="AB35" s="16">
        <f t="shared" si="56"/>
        <v>0</v>
      </c>
      <c r="AC35" s="16">
        <f t="shared" si="56"/>
        <v>0</v>
      </c>
      <c r="AE35" s="16">
        <f t="shared" ref="AE35:AP35" si="57">+AE7*$C35</f>
        <v>0</v>
      </c>
      <c r="AF35" s="16">
        <f t="shared" si="57"/>
        <v>0</v>
      </c>
      <c r="AG35" s="16">
        <f t="shared" si="57"/>
        <v>0</v>
      </c>
      <c r="AH35" s="16">
        <f t="shared" si="57"/>
        <v>0</v>
      </c>
      <c r="AI35" s="16">
        <f t="shared" si="57"/>
        <v>0</v>
      </c>
      <c r="AJ35" s="16">
        <f t="shared" si="57"/>
        <v>0</v>
      </c>
      <c r="AK35" s="16">
        <f t="shared" si="57"/>
        <v>82600</v>
      </c>
      <c r="AL35" s="16">
        <f t="shared" si="57"/>
        <v>0</v>
      </c>
      <c r="AM35" s="16">
        <f t="shared" si="57"/>
        <v>0</v>
      </c>
      <c r="AN35" s="16">
        <f t="shared" si="57"/>
        <v>82400.000000000029</v>
      </c>
      <c r="AO35" s="16">
        <f>+AO7*$C35</f>
        <v>0</v>
      </c>
      <c r="AP35" s="16">
        <f t="shared" si="57"/>
        <v>0</v>
      </c>
      <c r="AR35" s="16">
        <f t="shared" ref="AR35:AR44" si="58">SUM(E35:P35)</f>
        <v>0</v>
      </c>
      <c r="AS35" s="16">
        <f t="shared" ref="AS35:AS44" si="59">SUM(E35:G35)</f>
        <v>0</v>
      </c>
      <c r="AT35" s="16">
        <f t="shared" ref="AT35:AT44" si="60">SUM(H35:J35)</f>
        <v>0</v>
      </c>
      <c r="AU35" s="16">
        <f t="shared" ref="AU35:AU44" si="61">SUM(K35:M35)</f>
        <v>0</v>
      </c>
      <c r="AV35" s="16">
        <f t="shared" ref="AV35:AV44" si="62">SUM(N35:P35)</f>
        <v>0</v>
      </c>
      <c r="AX35" s="16">
        <f t="shared" ref="AX35:AX44" si="63">SUM(R35:AC35)</f>
        <v>75000</v>
      </c>
      <c r="AY35" s="16">
        <f t="shared" ref="AY35:AY44" si="64">SUM(R35:T35)</f>
        <v>0</v>
      </c>
      <c r="AZ35" s="16">
        <f t="shared" ref="AZ35:AZ44" si="65">SUM(U35:W35)</f>
        <v>0</v>
      </c>
      <c r="BA35" s="16">
        <f t="shared" ref="BA35:BA44" si="66">SUM(X35:Z35)</f>
        <v>37600</v>
      </c>
      <c r="BB35" s="16">
        <f t="shared" ref="BB35:BB44" si="67">SUM(AA35:AC35)</f>
        <v>37400</v>
      </c>
      <c r="BD35" s="16">
        <f t="shared" ref="BD35:BD44" si="68">SUM(AE35:AP35)</f>
        <v>165000.00000000003</v>
      </c>
      <c r="BE35" s="16">
        <f t="shared" ref="BE35:BE44" si="69">SUM(AE35:AG35)</f>
        <v>0</v>
      </c>
      <c r="BF35" s="16">
        <f t="shared" ref="BF35:BF44" si="70">SUM(AH35:AJ35)</f>
        <v>0</v>
      </c>
      <c r="BG35" s="16">
        <f t="shared" ref="BG35:BG44" si="71">SUM(AK35:AM35)</f>
        <v>82600</v>
      </c>
      <c r="BH35" s="16">
        <f t="shared" ref="BH35:BH44" si="72">SUM(AN35:AP35)</f>
        <v>82400.000000000029</v>
      </c>
      <c r="BJ35" s="16">
        <f t="shared" ref="BJ35:BJ44" si="73">SUM(BK35:BN35)</f>
        <v>272915.5</v>
      </c>
      <c r="BK35" s="16">
        <f t="shared" ref="BK35:BN35" si="74">+BK7*$C35</f>
        <v>0</v>
      </c>
      <c r="BL35" s="16">
        <f t="shared" si="74"/>
        <v>0</v>
      </c>
      <c r="BM35" s="16">
        <f t="shared" si="74"/>
        <v>136400</v>
      </c>
      <c r="BN35" s="16">
        <f t="shared" si="74"/>
        <v>136515.50000000003</v>
      </c>
      <c r="BP35" s="16">
        <f t="shared" ref="BP35:BP44" si="75">SUM(BQ35:BT35)</f>
        <v>405955.00000000012</v>
      </c>
      <c r="BQ35" s="16">
        <f t="shared" ref="BQ35:BT35" si="76">+BQ7*$C35</f>
        <v>0</v>
      </c>
      <c r="BR35" s="16">
        <f t="shared" si="76"/>
        <v>0</v>
      </c>
      <c r="BS35" s="16">
        <f t="shared" si="76"/>
        <v>203000</v>
      </c>
      <c r="BT35" s="16">
        <f t="shared" si="76"/>
        <v>202955.00000000012</v>
      </c>
      <c r="BV35" s="16">
        <f t="shared" ref="BV35:BV44" si="77">SUM(BW35:BZ35)</f>
        <v>452260.49000000022</v>
      </c>
      <c r="BW35" s="16">
        <f t="shared" ref="BW35:BZ35" si="78">+BW7*$C35</f>
        <v>0</v>
      </c>
      <c r="BX35" s="16">
        <f t="shared" si="78"/>
        <v>0</v>
      </c>
      <c r="BY35" s="16">
        <f t="shared" si="78"/>
        <v>226200</v>
      </c>
      <c r="BZ35" s="16">
        <f t="shared" si="78"/>
        <v>226060.49000000022</v>
      </c>
    </row>
    <row r="36" spans="2:78" s="16" customFormat="1" x14ac:dyDescent="0.25">
      <c r="B36" s="23" t="str">
        <f t="shared" si="54"/>
        <v>PST</v>
      </c>
      <c r="C36" s="16">
        <v>200</v>
      </c>
      <c r="E36" s="16">
        <f t="shared" ref="E36:P36" si="79">+E8*$C36</f>
        <v>0</v>
      </c>
      <c r="F36" s="16">
        <f t="shared" si="79"/>
        <v>0</v>
      </c>
      <c r="G36" s="16">
        <f t="shared" si="79"/>
        <v>0</v>
      </c>
      <c r="H36" s="16">
        <f t="shared" si="79"/>
        <v>0</v>
      </c>
      <c r="I36" s="16">
        <f t="shared" si="79"/>
        <v>0</v>
      </c>
      <c r="J36" s="16">
        <f t="shared" si="79"/>
        <v>0</v>
      </c>
      <c r="K36" s="16">
        <f t="shared" si="79"/>
        <v>0</v>
      </c>
      <c r="L36" s="16">
        <f t="shared" si="79"/>
        <v>0</v>
      </c>
      <c r="M36" s="16">
        <f t="shared" si="79"/>
        <v>0</v>
      </c>
      <c r="N36" s="16">
        <f t="shared" si="79"/>
        <v>0</v>
      </c>
      <c r="O36" s="16">
        <f t="shared" si="79"/>
        <v>0</v>
      </c>
      <c r="P36" s="16">
        <f t="shared" si="79"/>
        <v>0</v>
      </c>
      <c r="R36" s="16">
        <f t="shared" ref="R36:AC44" si="80">+R8*$C36</f>
        <v>0</v>
      </c>
      <c r="S36" s="16">
        <f t="shared" si="80"/>
        <v>0</v>
      </c>
      <c r="T36" s="16">
        <f t="shared" si="80"/>
        <v>0</v>
      </c>
      <c r="U36" s="16">
        <f t="shared" si="80"/>
        <v>0</v>
      </c>
      <c r="V36" s="16">
        <f t="shared" si="80"/>
        <v>0</v>
      </c>
      <c r="W36" s="16">
        <f t="shared" si="80"/>
        <v>0</v>
      </c>
      <c r="X36" s="16">
        <f t="shared" si="80"/>
        <v>210000.00000000006</v>
      </c>
      <c r="Y36" s="16">
        <f t="shared" si="80"/>
        <v>0</v>
      </c>
      <c r="Z36" s="16">
        <f t="shared" si="80"/>
        <v>0</v>
      </c>
      <c r="AA36" s="16">
        <f t="shared" si="80"/>
        <v>210000.00000000006</v>
      </c>
      <c r="AB36" s="16">
        <f t="shared" si="80"/>
        <v>0</v>
      </c>
      <c r="AC36" s="16">
        <f t="shared" si="80"/>
        <v>0</v>
      </c>
      <c r="AE36" s="16">
        <f t="shared" ref="AE36:AP36" si="81">+AE8*$C36</f>
        <v>231000.00000000009</v>
      </c>
      <c r="AF36" s="16">
        <f t="shared" si="81"/>
        <v>0</v>
      </c>
      <c r="AG36" s="16">
        <f t="shared" si="81"/>
        <v>0</v>
      </c>
      <c r="AH36" s="16">
        <f t="shared" si="81"/>
        <v>231000.00000000009</v>
      </c>
      <c r="AI36" s="16">
        <f t="shared" si="81"/>
        <v>0</v>
      </c>
      <c r="AJ36" s="16">
        <f t="shared" si="81"/>
        <v>0</v>
      </c>
      <c r="AK36" s="16">
        <f t="shared" si="81"/>
        <v>693000.00000000023</v>
      </c>
      <c r="AL36" s="16">
        <f t="shared" si="81"/>
        <v>0</v>
      </c>
      <c r="AM36" s="16">
        <f t="shared" si="81"/>
        <v>0</v>
      </c>
      <c r="AN36" s="16">
        <f t="shared" si="81"/>
        <v>693000.00000000023</v>
      </c>
      <c r="AO36" s="16">
        <f t="shared" si="81"/>
        <v>0</v>
      </c>
      <c r="AP36" s="16">
        <f t="shared" si="81"/>
        <v>0</v>
      </c>
      <c r="AR36" s="16">
        <f t="shared" si="58"/>
        <v>0</v>
      </c>
      <c r="AS36" s="16">
        <f t="shared" si="59"/>
        <v>0</v>
      </c>
      <c r="AT36" s="16">
        <f t="shared" si="60"/>
        <v>0</v>
      </c>
      <c r="AU36" s="16">
        <f t="shared" si="61"/>
        <v>0</v>
      </c>
      <c r="AV36" s="16">
        <f t="shared" si="62"/>
        <v>0</v>
      </c>
      <c r="AX36" s="16">
        <f t="shared" si="63"/>
        <v>420000.00000000012</v>
      </c>
      <c r="AY36" s="16">
        <f t="shared" si="64"/>
        <v>0</v>
      </c>
      <c r="AZ36" s="16">
        <f t="shared" si="65"/>
        <v>0</v>
      </c>
      <c r="BA36" s="16">
        <f t="shared" si="66"/>
        <v>210000.00000000006</v>
      </c>
      <c r="BB36" s="16">
        <f t="shared" si="67"/>
        <v>210000.00000000006</v>
      </c>
      <c r="BD36" s="16">
        <f t="shared" si="68"/>
        <v>1848000.0000000007</v>
      </c>
      <c r="BE36" s="16">
        <f t="shared" si="69"/>
        <v>231000.00000000009</v>
      </c>
      <c r="BF36" s="16">
        <f t="shared" si="70"/>
        <v>231000.00000000009</v>
      </c>
      <c r="BG36" s="16">
        <f t="shared" si="71"/>
        <v>693000.00000000023</v>
      </c>
      <c r="BH36" s="16">
        <f t="shared" si="72"/>
        <v>693000.00000000023</v>
      </c>
      <c r="BJ36" s="16">
        <f t="shared" si="73"/>
        <v>4069326.8000000017</v>
      </c>
      <c r="BK36" s="16">
        <f t="shared" ref="BK36:BN36" si="82">+BK8*$C36</f>
        <v>762300.00000000035</v>
      </c>
      <c r="BL36" s="16">
        <f t="shared" si="82"/>
        <v>762300.00000000035</v>
      </c>
      <c r="BM36" s="16">
        <f t="shared" si="82"/>
        <v>1272363.4000000004</v>
      </c>
      <c r="BN36" s="16">
        <f t="shared" si="82"/>
        <v>1272363.4000000004</v>
      </c>
      <c r="BP36" s="16">
        <f t="shared" si="75"/>
        <v>6753706.9600000037</v>
      </c>
      <c r="BQ36" s="16">
        <f t="shared" ref="BQ36:BT36" si="83">+BQ8*$C36</f>
        <v>1399599.7400000005</v>
      </c>
      <c r="BR36" s="16">
        <f t="shared" si="83"/>
        <v>1399599.7400000005</v>
      </c>
      <c r="BS36" s="16">
        <f t="shared" si="83"/>
        <v>1977253.7400000012</v>
      </c>
      <c r="BT36" s="16">
        <f t="shared" si="83"/>
        <v>1977253.7400000012</v>
      </c>
      <c r="BV36" s="16">
        <f t="shared" si="77"/>
        <v>9383299.7720000055</v>
      </c>
      <c r="BW36" s="16">
        <f t="shared" ref="BW36:BZ36" si="84">+BW8*$C36</f>
        <v>2174979.114000001</v>
      </c>
      <c r="BX36" s="16">
        <f t="shared" si="84"/>
        <v>2174979.114000001</v>
      </c>
      <c r="BY36" s="16">
        <f t="shared" si="84"/>
        <v>2516670.7720000013</v>
      </c>
      <c r="BZ36" s="16">
        <f t="shared" si="84"/>
        <v>2516670.7720000013</v>
      </c>
    </row>
    <row r="37" spans="2:78" s="16" customFormat="1" x14ac:dyDescent="0.25">
      <c r="B37" s="23" t="str">
        <f t="shared" si="54"/>
        <v>Calibration strips</v>
      </c>
      <c r="C37" s="16">
        <f>+C36</f>
        <v>200</v>
      </c>
      <c r="E37" s="16">
        <f t="shared" ref="E37:P37" si="85">+E9*$C37</f>
        <v>0</v>
      </c>
      <c r="F37" s="16">
        <f t="shared" si="85"/>
        <v>0</v>
      </c>
      <c r="G37" s="16">
        <f t="shared" si="85"/>
        <v>0</v>
      </c>
      <c r="H37" s="16">
        <f t="shared" si="85"/>
        <v>0</v>
      </c>
      <c r="I37" s="16">
        <f t="shared" si="85"/>
        <v>0</v>
      </c>
      <c r="J37" s="16">
        <f t="shared" si="85"/>
        <v>0</v>
      </c>
      <c r="K37" s="16">
        <f t="shared" si="85"/>
        <v>0</v>
      </c>
      <c r="L37" s="16">
        <f t="shared" si="85"/>
        <v>0</v>
      </c>
      <c r="M37" s="16">
        <f t="shared" si="85"/>
        <v>0</v>
      </c>
      <c r="N37" s="16">
        <f t="shared" si="85"/>
        <v>0</v>
      </c>
      <c r="O37" s="16">
        <f t="shared" si="85"/>
        <v>0</v>
      </c>
      <c r="P37" s="16">
        <f t="shared" si="85"/>
        <v>0</v>
      </c>
      <c r="R37" s="16">
        <f t="shared" si="80"/>
        <v>0</v>
      </c>
      <c r="S37" s="16">
        <f t="shared" si="80"/>
        <v>0</v>
      </c>
      <c r="T37" s="16">
        <f t="shared" si="80"/>
        <v>0</v>
      </c>
      <c r="U37" s="16">
        <f t="shared" si="80"/>
        <v>0</v>
      </c>
      <c r="V37" s="16">
        <f t="shared" si="80"/>
        <v>0</v>
      </c>
      <c r="W37" s="16">
        <f t="shared" si="80"/>
        <v>0</v>
      </c>
      <c r="X37" s="16">
        <f t="shared" si="80"/>
        <v>0</v>
      </c>
      <c r="Y37" s="16">
        <f t="shared" si="80"/>
        <v>0</v>
      </c>
      <c r="Z37" s="16">
        <f t="shared" si="80"/>
        <v>0</v>
      </c>
      <c r="AA37" s="16">
        <f t="shared" si="80"/>
        <v>0</v>
      </c>
      <c r="AB37" s="16">
        <f t="shared" si="80"/>
        <v>0</v>
      </c>
      <c r="AC37" s="16">
        <f t="shared" si="80"/>
        <v>0</v>
      </c>
      <c r="AE37" s="16">
        <f t="shared" ref="AE37:AP37" si="86">+AE9*$C37</f>
        <v>0</v>
      </c>
      <c r="AF37" s="16">
        <f t="shared" si="86"/>
        <v>0</v>
      </c>
      <c r="AG37" s="16">
        <f t="shared" si="86"/>
        <v>0</v>
      </c>
      <c r="AH37" s="16">
        <f t="shared" si="86"/>
        <v>0</v>
      </c>
      <c r="AI37" s="16">
        <f t="shared" si="86"/>
        <v>0</v>
      </c>
      <c r="AJ37" s="16">
        <f t="shared" si="86"/>
        <v>0</v>
      </c>
      <c r="AK37" s="16">
        <f t="shared" si="86"/>
        <v>0</v>
      </c>
      <c r="AL37" s="16">
        <f t="shared" si="86"/>
        <v>0</v>
      </c>
      <c r="AM37" s="16">
        <f t="shared" si="86"/>
        <v>0</v>
      </c>
      <c r="AN37" s="16">
        <f t="shared" si="86"/>
        <v>0</v>
      </c>
      <c r="AO37" s="16">
        <f t="shared" si="86"/>
        <v>0</v>
      </c>
      <c r="AP37" s="16">
        <f t="shared" si="86"/>
        <v>0</v>
      </c>
      <c r="AR37" s="16">
        <f t="shared" si="58"/>
        <v>0</v>
      </c>
      <c r="AS37" s="16">
        <f t="shared" si="59"/>
        <v>0</v>
      </c>
      <c r="AT37" s="16">
        <f t="shared" si="60"/>
        <v>0</v>
      </c>
      <c r="AU37" s="16">
        <f t="shared" si="61"/>
        <v>0</v>
      </c>
      <c r="AV37" s="16">
        <f t="shared" si="62"/>
        <v>0</v>
      </c>
      <c r="AX37" s="16">
        <f t="shared" si="63"/>
        <v>0</v>
      </c>
      <c r="AY37" s="16">
        <f t="shared" si="64"/>
        <v>0</v>
      </c>
      <c r="AZ37" s="16">
        <f t="shared" si="65"/>
        <v>0</v>
      </c>
      <c r="BA37" s="16">
        <f t="shared" si="66"/>
        <v>0</v>
      </c>
      <c r="BB37" s="16">
        <f t="shared" si="67"/>
        <v>0</v>
      </c>
      <c r="BD37" s="16">
        <f t="shared" si="68"/>
        <v>0</v>
      </c>
      <c r="BE37" s="16">
        <f t="shared" si="69"/>
        <v>0</v>
      </c>
      <c r="BF37" s="16">
        <f t="shared" si="70"/>
        <v>0</v>
      </c>
      <c r="BG37" s="16">
        <f t="shared" si="71"/>
        <v>0</v>
      </c>
      <c r="BH37" s="16">
        <f t="shared" si="72"/>
        <v>0</v>
      </c>
      <c r="BJ37" s="16">
        <f t="shared" si="73"/>
        <v>0</v>
      </c>
      <c r="BK37" s="16">
        <f t="shared" ref="BK37:BN37" si="87">+BK9*$C37</f>
        <v>0</v>
      </c>
      <c r="BL37" s="16">
        <f t="shared" si="87"/>
        <v>0</v>
      </c>
      <c r="BM37" s="16">
        <f t="shared" si="87"/>
        <v>0</v>
      </c>
      <c r="BN37" s="16">
        <f t="shared" si="87"/>
        <v>0</v>
      </c>
      <c r="BP37" s="16">
        <f t="shared" si="75"/>
        <v>0</v>
      </c>
      <c r="BQ37" s="16">
        <f t="shared" ref="BQ37:BT37" si="88">+BQ9*$C37</f>
        <v>0</v>
      </c>
      <c r="BR37" s="16">
        <f t="shared" si="88"/>
        <v>0</v>
      </c>
      <c r="BS37" s="16">
        <f t="shared" si="88"/>
        <v>0</v>
      </c>
      <c r="BT37" s="16">
        <f t="shared" si="88"/>
        <v>0</v>
      </c>
      <c r="BV37" s="16">
        <f t="shared" si="77"/>
        <v>0</v>
      </c>
      <c r="BW37" s="16">
        <f t="shared" ref="BW37:BZ37" si="89">+BW9*$C37</f>
        <v>0</v>
      </c>
      <c r="BX37" s="16">
        <f t="shared" si="89"/>
        <v>0</v>
      </c>
      <c r="BY37" s="16">
        <f t="shared" si="89"/>
        <v>0</v>
      </c>
      <c r="BZ37" s="16">
        <f t="shared" si="89"/>
        <v>0</v>
      </c>
    </row>
    <row r="38" spans="2:78" s="16" customFormat="1" x14ac:dyDescent="0.25">
      <c r="B38" s="23" t="str">
        <f t="shared" si="54"/>
        <v>Customer4</v>
      </c>
      <c r="C38" s="16">
        <v>200</v>
      </c>
      <c r="E38" s="16">
        <f t="shared" ref="E38:P38" si="90">+E10*$C38</f>
        <v>0</v>
      </c>
      <c r="F38" s="16">
        <f t="shared" si="90"/>
        <v>0</v>
      </c>
      <c r="G38" s="16">
        <f t="shared" si="90"/>
        <v>0</v>
      </c>
      <c r="H38" s="16">
        <f t="shared" si="90"/>
        <v>0</v>
      </c>
      <c r="I38" s="16">
        <f t="shared" si="90"/>
        <v>0</v>
      </c>
      <c r="J38" s="16">
        <f t="shared" si="90"/>
        <v>0</v>
      </c>
      <c r="K38" s="16">
        <f t="shared" si="90"/>
        <v>0</v>
      </c>
      <c r="L38" s="16">
        <f t="shared" si="90"/>
        <v>0</v>
      </c>
      <c r="M38" s="16">
        <f t="shared" si="90"/>
        <v>0</v>
      </c>
      <c r="N38" s="16">
        <f t="shared" si="90"/>
        <v>0</v>
      </c>
      <c r="O38" s="16">
        <f t="shared" si="90"/>
        <v>0</v>
      </c>
      <c r="P38" s="16">
        <f t="shared" si="90"/>
        <v>0</v>
      </c>
      <c r="R38" s="16">
        <f t="shared" si="80"/>
        <v>0</v>
      </c>
      <c r="S38" s="16">
        <f t="shared" si="80"/>
        <v>0</v>
      </c>
      <c r="T38" s="16">
        <f t="shared" si="80"/>
        <v>0</v>
      </c>
      <c r="U38" s="16">
        <f t="shared" si="80"/>
        <v>0</v>
      </c>
      <c r="V38" s="16">
        <f t="shared" ref="V38:X38" si="91">+V10*$C38</f>
        <v>0</v>
      </c>
      <c r="W38" s="16">
        <f t="shared" si="91"/>
        <v>0</v>
      </c>
      <c r="X38" s="16">
        <f t="shared" si="91"/>
        <v>0</v>
      </c>
      <c r="Y38" s="16">
        <f t="shared" si="80"/>
        <v>0</v>
      </c>
      <c r="Z38" s="16">
        <f t="shared" si="80"/>
        <v>0</v>
      </c>
      <c r="AA38" s="16">
        <f t="shared" si="80"/>
        <v>0</v>
      </c>
      <c r="AB38" s="16">
        <f t="shared" si="80"/>
        <v>0</v>
      </c>
      <c r="AC38" s="16">
        <f t="shared" si="80"/>
        <v>0</v>
      </c>
      <c r="AE38" s="16">
        <f t="shared" ref="AE38:AP38" si="92">+AE10*$C38</f>
        <v>0</v>
      </c>
      <c r="AF38" s="16">
        <f t="shared" si="92"/>
        <v>0</v>
      </c>
      <c r="AG38" s="16">
        <f t="shared" si="92"/>
        <v>0</v>
      </c>
      <c r="AH38" s="16">
        <f t="shared" si="92"/>
        <v>0</v>
      </c>
      <c r="AI38" s="16">
        <f t="shared" si="92"/>
        <v>0</v>
      </c>
      <c r="AJ38" s="16">
        <f t="shared" si="92"/>
        <v>0</v>
      </c>
      <c r="AK38" s="16">
        <f t="shared" si="92"/>
        <v>0</v>
      </c>
      <c r="AL38" s="16">
        <f t="shared" si="92"/>
        <v>0</v>
      </c>
      <c r="AM38" s="16">
        <f t="shared" si="92"/>
        <v>0</v>
      </c>
      <c r="AN38" s="16">
        <f t="shared" si="92"/>
        <v>0</v>
      </c>
      <c r="AO38" s="16">
        <f t="shared" si="92"/>
        <v>0</v>
      </c>
      <c r="AP38" s="16">
        <f t="shared" si="92"/>
        <v>0</v>
      </c>
      <c r="AR38" s="16">
        <f t="shared" si="58"/>
        <v>0</v>
      </c>
      <c r="AS38" s="16">
        <f t="shared" si="59"/>
        <v>0</v>
      </c>
      <c r="AT38" s="16">
        <f t="shared" si="60"/>
        <v>0</v>
      </c>
      <c r="AU38" s="16">
        <f t="shared" si="61"/>
        <v>0</v>
      </c>
      <c r="AV38" s="16">
        <f t="shared" si="62"/>
        <v>0</v>
      </c>
      <c r="AX38" s="16">
        <f t="shared" si="63"/>
        <v>0</v>
      </c>
      <c r="AY38" s="16">
        <f t="shared" si="64"/>
        <v>0</v>
      </c>
      <c r="AZ38" s="16">
        <f t="shared" si="65"/>
        <v>0</v>
      </c>
      <c r="BA38" s="16">
        <f t="shared" si="66"/>
        <v>0</v>
      </c>
      <c r="BB38" s="16">
        <f t="shared" si="67"/>
        <v>0</v>
      </c>
      <c r="BD38" s="16">
        <f t="shared" si="68"/>
        <v>0</v>
      </c>
      <c r="BE38" s="16">
        <f t="shared" si="69"/>
        <v>0</v>
      </c>
      <c r="BF38" s="16">
        <f t="shared" si="70"/>
        <v>0</v>
      </c>
      <c r="BG38" s="16">
        <f t="shared" si="71"/>
        <v>0</v>
      </c>
      <c r="BH38" s="16">
        <f t="shared" si="72"/>
        <v>0</v>
      </c>
      <c r="BJ38" s="16">
        <f t="shared" si="73"/>
        <v>0</v>
      </c>
      <c r="BK38" s="16">
        <f t="shared" ref="BK38:BN38" si="93">+BK10*$C38</f>
        <v>0</v>
      </c>
      <c r="BL38" s="16">
        <f t="shared" si="93"/>
        <v>0</v>
      </c>
      <c r="BM38" s="16">
        <f t="shared" si="93"/>
        <v>0</v>
      </c>
      <c r="BN38" s="16">
        <f t="shared" si="93"/>
        <v>0</v>
      </c>
      <c r="BP38" s="16">
        <f t="shared" si="75"/>
        <v>0</v>
      </c>
      <c r="BQ38" s="16">
        <f t="shared" ref="BQ38:BT38" si="94">+BQ10*$C38</f>
        <v>0</v>
      </c>
      <c r="BR38" s="16">
        <f t="shared" si="94"/>
        <v>0</v>
      </c>
      <c r="BS38" s="16">
        <f t="shared" si="94"/>
        <v>0</v>
      </c>
      <c r="BT38" s="16">
        <f t="shared" si="94"/>
        <v>0</v>
      </c>
      <c r="BV38" s="16">
        <f t="shared" si="77"/>
        <v>0</v>
      </c>
      <c r="BW38" s="16">
        <f t="shared" ref="BW38:BZ38" si="95">+BW10*$C38</f>
        <v>0</v>
      </c>
      <c r="BX38" s="16">
        <f t="shared" si="95"/>
        <v>0</v>
      </c>
      <c r="BY38" s="16">
        <f t="shared" si="95"/>
        <v>0</v>
      </c>
      <c r="BZ38" s="16">
        <f t="shared" si="95"/>
        <v>0</v>
      </c>
    </row>
    <row r="39" spans="2:78" s="16" customFormat="1" x14ac:dyDescent="0.25">
      <c r="B39" s="23" t="str">
        <f t="shared" si="54"/>
        <v>Customer5</v>
      </c>
      <c r="E39" s="16">
        <f t="shared" ref="E39:P39" si="96">+E11*$C39</f>
        <v>0</v>
      </c>
      <c r="F39" s="16">
        <f t="shared" si="96"/>
        <v>0</v>
      </c>
      <c r="G39" s="16">
        <f t="shared" si="96"/>
        <v>0</v>
      </c>
      <c r="H39" s="16">
        <f t="shared" si="96"/>
        <v>0</v>
      </c>
      <c r="I39" s="16">
        <f t="shared" si="96"/>
        <v>0</v>
      </c>
      <c r="J39" s="16">
        <f t="shared" si="96"/>
        <v>0</v>
      </c>
      <c r="K39" s="16">
        <f t="shared" si="96"/>
        <v>0</v>
      </c>
      <c r="L39" s="16">
        <f t="shared" si="96"/>
        <v>0</v>
      </c>
      <c r="M39" s="16">
        <f t="shared" si="96"/>
        <v>0</v>
      </c>
      <c r="N39" s="16">
        <f t="shared" si="96"/>
        <v>0</v>
      </c>
      <c r="O39" s="16">
        <f t="shared" si="96"/>
        <v>0</v>
      </c>
      <c r="P39" s="16">
        <f t="shared" si="96"/>
        <v>0</v>
      </c>
      <c r="R39" s="16">
        <f t="shared" si="80"/>
        <v>0</v>
      </c>
      <c r="S39" s="16">
        <f t="shared" si="80"/>
        <v>0</v>
      </c>
      <c r="T39" s="16">
        <f t="shared" si="80"/>
        <v>0</v>
      </c>
      <c r="U39" s="16">
        <f t="shared" si="80"/>
        <v>0</v>
      </c>
      <c r="V39" s="16">
        <f t="shared" ref="V39:X39" si="97">+V11*$C39</f>
        <v>0</v>
      </c>
      <c r="W39" s="16">
        <f t="shared" si="97"/>
        <v>0</v>
      </c>
      <c r="X39" s="16">
        <f t="shared" si="97"/>
        <v>0</v>
      </c>
      <c r="Y39" s="16">
        <f t="shared" si="80"/>
        <v>0</v>
      </c>
      <c r="Z39" s="16">
        <f t="shared" si="80"/>
        <v>0</v>
      </c>
      <c r="AA39" s="16">
        <f t="shared" si="80"/>
        <v>0</v>
      </c>
      <c r="AB39" s="16">
        <f t="shared" si="80"/>
        <v>0</v>
      </c>
      <c r="AC39" s="16">
        <f t="shared" si="80"/>
        <v>0</v>
      </c>
      <c r="AE39" s="16">
        <f t="shared" ref="AE39:AP39" si="98">+AE11*$C39</f>
        <v>0</v>
      </c>
      <c r="AF39" s="16">
        <f t="shared" si="98"/>
        <v>0</v>
      </c>
      <c r="AG39" s="16">
        <f t="shared" si="98"/>
        <v>0</v>
      </c>
      <c r="AH39" s="16">
        <f t="shared" si="98"/>
        <v>0</v>
      </c>
      <c r="AI39" s="16">
        <f t="shared" si="98"/>
        <v>0</v>
      </c>
      <c r="AJ39" s="16">
        <f t="shared" si="98"/>
        <v>0</v>
      </c>
      <c r="AK39" s="16">
        <f t="shared" si="98"/>
        <v>0</v>
      </c>
      <c r="AL39" s="16">
        <f t="shared" si="98"/>
        <v>0</v>
      </c>
      <c r="AM39" s="16">
        <f t="shared" si="98"/>
        <v>0</v>
      </c>
      <c r="AN39" s="16">
        <f t="shared" si="98"/>
        <v>0</v>
      </c>
      <c r="AO39" s="16">
        <f t="shared" si="98"/>
        <v>0</v>
      </c>
      <c r="AP39" s="16">
        <f t="shared" si="98"/>
        <v>0</v>
      </c>
      <c r="AR39" s="16">
        <f t="shared" si="58"/>
        <v>0</v>
      </c>
      <c r="AS39" s="16">
        <f t="shared" si="59"/>
        <v>0</v>
      </c>
      <c r="AT39" s="16">
        <f t="shared" si="60"/>
        <v>0</v>
      </c>
      <c r="AU39" s="16">
        <f t="shared" si="61"/>
        <v>0</v>
      </c>
      <c r="AV39" s="16">
        <f t="shared" si="62"/>
        <v>0</v>
      </c>
      <c r="AX39" s="16">
        <f t="shared" si="63"/>
        <v>0</v>
      </c>
      <c r="AY39" s="16">
        <f t="shared" si="64"/>
        <v>0</v>
      </c>
      <c r="AZ39" s="16">
        <f t="shared" si="65"/>
        <v>0</v>
      </c>
      <c r="BA39" s="16">
        <f t="shared" si="66"/>
        <v>0</v>
      </c>
      <c r="BB39" s="16">
        <f t="shared" si="67"/>
        <v>0</v>
      </c>
      <c r="BD39" s="16">
        <f t="shared" si="68"/>
        <v>0</v>
      </c>
      <c r="BE39" s="16">
        <f t="shared" si="69"/>
        <v>0</v>
      </c>
      <c r="BF39" s="16">
        <f t="shared" si="70"/>
        <v>0</v>
      </c>
      <c r="BG39" s="16">
        <f t="shared" si="71"/>
        <v>0</v>
      </c>
      <c r="BH39" s="16">
        <f t="shared" si="72"/>
        <v>0</v>
      </c>
      <c r="BJ39" s="16">
        <f t="shared" si="73"/>
        <v>0</v>
      </c>
      <c r="BK39" s="16">
        <f t="shared" ref="BK39:BN39" si="99">+BK11*$C39</f>
        <v>0</v>
      </c>
      <c r="BL39" s="16">
        <f t="shared" si="99"/>
        <v>0</v>
      </c>
      <c r="BM39" s="16">
        <f t="shared" si="99"/>
        <v>0</v>
      </c>
      <c r="BN39" s="16">
        <f t="shared" si="99"/>
        <v>0</v>
      </c>
      <c r="BP39" s="16">
        <f t="shared" si="75"/>
        <v>0</v>
      </c>
      <c r="BQ39" s="16">
        <f t="shared" ref="BQ39:BT39" si="100">+BQ11*$C39</f>
        <v>0</v>
      </c>
      <c r="BR39" s="16">
        <f t="shared" si="100"/>
        <v>0</v>
      </c>
      <c r="BS39" s="16">
        <f t="shared" si="100"/>
        <v>0</v>
      </c>
      <c r="BT39" s="16">
        <f t="shared" si="100"/>
        <v>0</v>
      </c>
      <c r="BV39" s="16">
        <f t="shared" si="77"/>
        <v>0</v>
      </c>
      <c r="BW39" s="16">
        <f t="shared" ref="BW39:BZ39" si="101">+BW11*$C39</f>
        <v>0</v>
      </c>
      <c r="BX39" s="16">
        <f t="shared" si="101"/>
        <v>0</v>
      </c>
      <c r="BY39" s="16">
        <f t="shared" si="101"/>
        <v>0</v>
      </c>
      <c r="BZ39" s="16">
        <f t="shared" si="101"/>
        <v>0</v>
      </c>
    </row>
    <row r="40" spans="2:78" s="16" customFormat="1" x14ac:dyDescent="0.25">
      <c r="B40" s="23" t="str">
        <f t="shared" si="54"/>
        <v>Customer6</v>
      </c>
      <c r="E40" s="16">
        <f t="shared" ref="E40:P40" si="102">+E12*$C40</f>
        <v>0</v>
      </c>
      <c r="F40" s="16">
        <f t="shared" si="102"/>
        <v>0</v>
      </c>
      <c r="G40" s="16">
        <f t="shared" si="102"/>
        <v>0</v>
      </c>
      <c r="H40" s="16">
        <f t="shared" si="102"/>
        <v>0</v>
      </c>
      <c r="I40" s="16">
        <f t="shared" si="102"/>
        <v>0</v>
      </c>
      <c r="J40" s="16">
        <f t="shared" si="102"/>
        <v>0</v>
      </c>
      <c r="K40" s="16">
        <f t="shared" si="102"/>
        <v>0</v>
      </c>
      <c r="L40" s="16">
        <f t="shared" si="102"/>
        <v>0</v>
      </c>
      <c r="M40" s="16">
        <f t="shared" si="102"/>
        <v>0</v>
      </c>
      <c r="N40" s="16">
        <f t="shared" si="102"/>
        <v>0</v>
      </c>
      <c r="O40" s="16">
        <f t="shared" si="102"/>
        <v>0</v>
      </c>
      <c r="P40" s="16">
        <f t="shared" si="102"/>
        <v>0</v>
      </c>
      <c r="R40" s="16">
        <f t="shared" si="80"/>
        <v>0</v>
      </c>
      <c r="S40" s="16">
        <f t="shared" si="80"/>
        <v>0</v>
      </c>
      <c r="T40" s="16">
        <f t="shared" si="80"/>
        <v>0</v>
      </c>
      <c r="U40" s="16">
        <f t="shared" si="80"/>
        <v>0</v>
      </c>
      <c r="V40" s="16">
        <f t="shared" ref="V40:X40" si="103">+V12*$C40</f>
        <v>0</v>
      </c>
      <c r="W40" s="16">
        <f t="shared" si="103"/>
        <v>0</v>
      </c>
      <c r="X40" s="16">
        <f t="shared" si="103"/>
        <v>0</v>
      </c>
      <c r="Y40" s="16">
        <f t="shared" si="80"/>
        <v>0</v>
      </c>
      <c r="Z40" s="16">
        <f t="shared" si="80"/>
        <v>0</v>
      </c>
      <c r="AA40" s="16">
        <f t="shared" si="80"/>
        <v>0</v>
      </c>
      <c r="AB40" s="16">
        <f t="shared" si="80"/>
        <v>0</v>
      </c>
      <c r="AC40" s="16">
        <f t="shared" si="80"/>
        <v>0</v>
      </c>
      <c r="AE40" s="16">
        <f t="shared" ref="AE40:AP40" si="104">+AE12*$C40</f>
        <v>0</v>
      </c>
      <c r="AF40" s="16">
        <f t="shared" si="104"/>
        <v>0</v>
      </c>
      <c r="AG40" s="16">
        <f t="shared" si="104"/>
        <v>0</v>
      </c>
      <c r="AH40" s="16">
        <f t="shared" si="104"/>
        <v>0</v>
      </c>
      <c r="AI40" s="16">
        <f t="shared" si="104"/>
        <v>0</v>
      </c>
      <c r="AJ40" s="16">
        <f t="shared" si="104"/>
        <v>0</v>
      </c>
      <c r="AK40" s="16">
        <f t="shared" si="104"/>
        <v>0</v>
      </c>
      <c r="AL40" s="16">
        <f t="shared" si="104"/>
        <v>0</v>
      </c>
      <c r="AM40" s="16">
        <f t="shared" si="104"/>
        <v>0</v>
      </c>
      <c r="AN40" s="16">
        <f t="shared" si="104"/>
        <v>0</v>
      </c>
      <c r="AO40" s="16">
        <f t="shared" si="104"/>
        <v>0</v>
      </c>
      <c r="AP40" s="16">
        <f t="shared" si="104"/>
        <v>0</v>
      </c>
      <c r="AR40" s="16">
        <f t="shared" si="58"/>
        <v>0</v>
      </c>
      <c r="AS40" s="16">
        <f t="shared" si="59"/>
        <v>0</v>
      </c>
      <c r="AT40" s="16">
        <f t="shared" si="60"/>
        <v>0</v>
      </c>
      <c r="AU40" s="16">
        <f t="shared" si="61"/>
        <v>0</v>
      </c>
      <c r="AV40" s="16">
        <f t="shared" si="62"/>
        <v>0</v>
      </c>
      <c r="AX40" s="16">
        <f t="shared" si="63"/>
        <v>0</v>
      </c>
      <c r="AY40" s="16">
        <f t="shared" si="64"/>
        <v>0</v>
      </c>
      <c r="AZ40" s="16">
        <f t="shared" si="65"/>
        <v>0</v>
      </c>
      <c r="BA40" s="16">
        <f t="shared" si="66"/>
        <v>0</v>
      </c>
      <c r="BB40" s="16">
        <f t="shared" si="67"/>
        <v>0</v>
      </c>
      <c r="BD40" s="16">
        <f t="shared" si="68"/>
        <v>0</v>
      </c>
      <c r="BE40" s="16">
        <f t="shared" si="69"/>
        <v>0</v>
      </c>
      <c r="BF40" s="16">
        <f t="shared" si="70"/>
        <v>0</v>
      </c>
      <c r="BG40" s="16">
        <f t="shared" si="71"/>
        <v>0</v>
      </c>
      <c r="BH40" s="16">
        <f t="shared" si="72"/>
        <v>0</v>
      </c>
      <c r="BJ40" s="16">
        <f t="shared" si="73"/>
        <v>0</v>
      </c>
      <c r="BK40" s="16">
        <f t="shared" ref="BK40:BN40" si="105">+BK12*$C40</f>
        <v>0</v>
      </c>
      <c r="BL40" s="16">
        <f t="shared" si="105"/>
        <v>0</v>
      </c>
      <c r="BM40" s="16">
        <f t="shared" si="105"/>
        <v>0</v>
      </c>
      <c r="BN40" s="16">
        <f t="shared" si="105"/>
        <v>0</v>
      </c>
      <c r="BP40" s="16">
        <f t="shared" si="75"/>
        <v>0</v>
      </c>
      <c r="BQ40" s="16">
        <f t="shared" ref="BQ40:BT40" si="106">+BQ12*$C40</f>
        <v>0</v>
      </c>
      <c r="BR40" s="16">
        <f t="shared" si="106"/>
        <v>0</v>
      </c>
      <c r="BS40" s="16">
        <f t="shared" si="106"/>
        <v>0</v>
      </c>
      <c r="BT40" s="16">
        <f t="shared" si="106"/>
        <v>0</v>
      </c>
      <c r="BV40" s="16">
        <f t="shared" si="77"/>
        <v>0</v>
      </c>
      <c r="BW40" s="16">
        <f t="shared" ref="BW40:BZ40" si="107">+BW12*$C40</f>
        <v>0</v>
      </c>
      <c r="BX40" s="16">
        <f t="shared" si="107"/>
        <v>0</v>
      </c>
      <c r="BY40" s="16">
        <f t="shared" si="107"/>
        <v>0</v>
      </c>
      <c r="BZ40" s="16">
        <f t="shared" si="107"/>
        <v>0</v>
      </c>
    </row>
    <row r="41" spans="2:78" s="16" customFormat="1" x14ac:dyDescent="0.25">
      <c r="B41" s="23" t="str">
        <f t="shared" si="54"/>
        <v>Customer7</v>
      </c>
      <c r="E41" s="16">
        <f t="shared" ref="E41:P41" si="108">+E13*$C41</f>
        <v>0</v>
      </c>
      <c r="F41" s="16">
        <f t="shared" si="108"/>
        <v>0</v>
      </c>
      <c r="G41" s="16">
        <f t="shared" si="108"/>
        <v>0</v>
      </c>
      <c r="H41" s="16">
        <f t="shared" si="108"/>
        <v>0</v>
      </c>
      <c r="I41" s="16">
        <f t="shared" si="108"/>
        <v>0</v>
      </c>
      <c r="J41" s="16">
        <f t="shared" si="108"/>
        <v>0</v>
      </c>
      <c r="K41" s="16">
        <f t="shared" si="108"/>
        <v>0</v>
      </c>
      <c r="L41" s="16">
        <f t="shared" si="108"/>
        <v>0</v>
      </c>
      <c r="M41" s="16">
        <f t="shared" si="108"/>
        <v>0</v>
      </c>
      <c r="N41" s="16">
        <f t="shared" si="108"/>
        <v>0</v>
      </c>
      <c r="O41" s="16">
        <f t="shared" si="108"/>
        <v>0</v>
      </c>
      <c r="P41" s="16">
        <f t="shared" si="108"/>
        <v>0</v>
      </c>
      <c r="R41" s="16">
        <f t="shared" si="80"/>
        <v>0</v>
      </c>
      <c r="S41" s="16">
        <f t="shared" si="80"/>
        <v>0</v>
      </c>
      <c r="T41" s="16">
        <f t="shared" si="80"/>
        <v>0</v>
      </c>
      <c r="U41" s="16">
        <f t="shared" si="80"/>
        <v>0</v>
      </c>
      <c r="V41" s="16">
        <f t="shared" ref="V41:X41" si="109">+V13*$C41</f>
        <v>0</v>
      </c>
      <c r="W41" s="16">
        <f t="shared" si="109"/>
        <v>0</v>
      </c>
      <c r="X41" s="16">
        <f t="shared" si="109"/>
        <v>0</v>
      </c>
      <c r="Y41" s="16">
        <f t="shared" si="80"/>
        <v>0</v>
      </c>
      <c r="Z41" s="16">
        <f t="shared" si="80"/>
        <v>0</v>
      </c>
      <c r="AA41" s="16">
        <f t="shared" si="80"/>
        <v>0</v>
      </c>
      <c r="AB41" s="16">
        <f t="shared" si="80"/>
        <v>0</v>
      </c>
      <c r="AC41" s="16">
        <f t="shared" si="80"/>
        <v>0</v>
      </c>
      <c r="AE41" s="16">
        <f t="shared" ref="AE41:AP41" si="110">+AE13*$C41</f>
        <v>0</v>
      </c>
      <c r="AF41" s="16">
        <f t="shared" si="110"/>
        <v>0</v>
      </c>
      <c r="AG41" s="16">
        <f t="shared" si="110"/>
        <v>0</v>
      </c>
      <c r="AH41" s="16">
        <f t="shared" si="110"/>
        <v>0</v>
      </c>
      <c r="AI41" s="16">
        <f t="shared" si="110"/>
        <v>0</v>
      </c>
      <c r="AJ41" s="16">
        <f t="shared" si="110"/>
        <v>0</v>
      </c>
      <c r="AK41" s="16">
        <f t="shared" si="110"/>
        <v>0</v>
      </c>
      <c r="AL41" s="16">
        <f t="shared" si="110"/>
        <v>0</v>
      </c>
      <c r="AM41" s="16">
        <f t="shared" si="110"/>
        <v>0</v>
      </c>
      <c r="AN41" s="16">
        <f t="shared" si="110"/>
        <v>0</v>
      </c>
      <c r="AO41" s="16">
        <f t="shared" si="110"/>
        <v>0</v>
      </c>
      <c r="AP41" s="16">
        <f t="shared" si="110"/>
        <v>0</v>
      </c>
      <c r="AR41" s="16">
        <f t="shared" si="58"/>
        <v>0</v>
      </c>
      <c r="AS41" s="16">
        <f t="shared" si="59"/>
        <v>0</v>
      </c>
      <c r="AT41" s="16">
        <f t="shared" si="60"/>
        <v>0</v>
      </c>
      <c r="AU41" s="16">
        <f t="shared" si="61"/>
        <v>0</v>
      </c>
      <c r="AV41" s="16">
        <f t="shared" si="62"/>
        <v>0</v>
      </c>
      <c r="AX41" s="16">
        <f t="shared" si="63"/>
        <v>0</v>
      </c>
      <c r="AY41" s="16">
        <f t="shared" si="64"/>
        <v>0</v>
      </c>
      <c r="AZ41" s="16">
        <f t="shared" si="65"/>
        <v>0</v>
      </c>
      <c r="BA41" s="16">
        <f t="shared" si="66"/>
        <v>0</v>
      </c>
      <c r="BB41" s="16">
        <f t="shared" si="67"/>
        <v>0</v>
      </c>
      <c r="BD41" s="16">
        <f t="shared" si="68"/>
        <v>0</v>
      </c>
      <c r="BE41" s="16">
        <f t="shared" si="69"/>
        <v>0</v>
      </c>
      <c r="BF41" s="16">
        <f t="shared" si="70"/>
        <v>0</v>
      </c>
      <c r="BG41" s="16">
        <f t="shared" si="71"/>
        <v>0</v>
      </c>
      <c r="BH41" s="16">
        <f t="shared" si="72"/>
        <v>0</v>
      </c>
      <c r="BJ41" s="16">
        <f t="shared" si="73"/>
        <v>0</v>
      </c>
      <c r="BK41" s="16">
        <f t="shared" ref="BK41:BN41" si="111">+BK13*$C41</f>
        <v>0</v>
      </c>
      <c r="BL41" s="16">
        <f t="shared" si="111"/>
        <v>0</v>
      </c>
      <c r="BM41" s="16">
        <f t="shared" si="111"/>
        <v>0</v>
      </c>
      <c r="BN41" s="16">
        <f t="shared" si="111"/>
        <v>0</v>
      </c>
      <c r="BP41" s="16">
        <f t="shared" si="75"/>
        <v>0</v>
      </c>
      <c r="BQ41" s="16">
        <f t="shared" ref="BQ41:BT41" si="112">+BQ13*$C41</f>
        <v>0</v>
      </c>
      <c r="BR41" s="16">
        <f t="shared" si="112"/>
        <v>0</v>
      </c>
      <c r="BS41" s="16">
        <f t="shared" si="112"/>
        <v>0</v>
      </c>
      <c r="BT41" s="16">
        <f t="shared" si="112"/>
        <v>0</v>
      </c>
      <c r="BV41" s="16">
        <f t="shared" si="77"/>
        <v>0</v>
      </c>
      <c r="BW41" s="16">
        <f t="shared" ref="BW41:BZ41" si="113">+BW13*$C41</f>
        <v>0</v>
      </c>
      <c r="BX41" s="16">
        <f t="shared" si="113"/>
        <v>0</v>
      </c>
      <c r="BY41" s="16">
        <f t="shared" si="113"/>
        <v>0</v>
      </c>
      <c r="BZ41" s="16">
        <f t="shared" si="113"/>
        <v>0</v>
      </c>
    </row>
    <row r="42" spans="2:78" s="16" customFormat="1" x14ac:dyDescent="0.25">
      <c r="B42" s="23" t="str">
        <f t="shared" si="54"/>
        <v>Customer8</v>
      </c>
      <c r="E42" s="16">
        <f t="shared" ref="E42:P42" si="114">+E14*$C42</f>
        <v>0</v>
      </c>
      <c r="F42" s="16">
        <f t="shared" si="114"/>
        <v>0</v>
      </c>
      <c r="G42" s="16">
        <f t="shared" si="114"/>
        <v>0</v>
      </c>
      <c r="H42" s="16">
        <f t="shared" si="114"/>
        <v>0</v>
      </c>
      <c r="I42" s="16">
        <f t="shared" si="114"/>
        <v>0</v>
      </c>
      <c r="J42" s="16">
        <f t="shared" si="114"/>
        <v>0</v>
      </c>
      <c r="K42" s="16">
        <f t="shared" si="114"/>
        <v>0</v>
      </c>
      <c r="L42" s="16">
        <f t="shared" si="114"/>
        <v>0</v>
      </c>
      <c r="M42" s="16">
        <f t="shared" si="114"/>
        <v>0</v>
      </c>
      <c r="N42" s="16">
        <f t="shared" si="114"/>
        <v>0</v>
      </c>
      <c r="O42" s="16">
        <f t="shared" si="114"/>
        <v>0</v>
      </c>
      <c r="P42" s="16">
        <f t="shared" si="114"/>
        <v>0</v>
      </c>
      <c r="R42" s="16">
        <f t="shared" si="80"/>
        <v>0</v>
      </c>
      <c r="S42" s="16">
        <f t="shared" si="80"/>
        <v>0</v>
      </c>
      <c r="T42" s="16">
        <f t="shared" si="80"/>
        <v>0</v>
      </c>
      <c r="U42" s="16">
        <f t="shared" si="80"/>
        <v>0</v>
      </c>
      <c r="V42" s="16">
        <f t="shared" ref="V42:X42" si="115">+V14*$C42</f>
        <v>0</v>
      </c>
      <c r="W42" s="16">
        <f t="shared" si="115"/>
        <v>0</v>
      </c>
      <c r="X42" s="16">
        <f t="shared" si="115"/>
        <v>0</v>
      </c>
      <c r="Y42" s="16">
        <f t="shared" si="80"/>
        <v>0</v>
      </c>
      <c r="Z42" s="16">
        <f t="shared" si="80"/>
        <v>0</v>
      </c>
      <c r="AA42" s="16">
        <f t="shared" si="80"/>
        <v>0</v>
      </c>
      <c r="AB42" s="16">
        <f t="shared" si="80"/>
        <v>0</v>
      </c>
      <c r="AC42" s="16">
        <f t="shared" si="80"/>
        <v>0</v>
      </c>
      <c r="AE42" s="16">
        <f t="shared" ref="AE42:AP42" si="116">+AE14*$C42</f>
        <v>0</v>
      </c>
      <c r="AF42" s="16">
        <f t="shared" si="116"/>
        <v>0</v>
      </c>
      <c r="AG42" s="16">
        <f t="shared" si="116"/>
        <v>0</v>
      </c>
      <c r="AH42" s="16">
        <f t="shared" si="116"/>
        <v>0</v>
      </c>
      <c r="AI42" s="16">
        <f t="shared" si="116"/>
        <v>0</v>
      </c>
      <c r="AJ42" s="16">
        <f t="shared" si="116"/>
        <v>0</v>
      </c>
      <c r="AK42" s="16">
        <f t="shared" si="116"/>
        <v>0</v>
      </c>
      <c r="AL42" s="16">
        <f t="shared" si="116"/>
        <v>0</v>
      </c>
      <c r="AM42" s="16">
        <f t="shared" si="116"/>
        <v>0</v>
      </c>
      <c r="AN42" s="16">
        <f t="shared" si="116"/>
        <v>0</v>
      </c>
      <c r="AO42" s="16">
        <f t="shared" si="116"/>
        <v>0</v>
      </c>
      <c r="AP42" s="16">
        <f t="shared" si="116"/>
        <v>0</v>
      </c>
      <c r="AR42" s="16">
        <f t="shared" si="58"/>
        <v>0</v>
      </c>
      <c r="AS42" s="16">
        <f t="shared" si="59"/>
        <v>0</v>
      </c>
      <c r="AT42" s="16">
        <f t="shared" si="60"/>
        <v>0</v>
      </c>
      <c r="AU42" s="16">
        <f t="shared" si="61"/>
        <v>0</v>
      </c>
      <c r="AV42" s="16">
        <f t="shared" si="62"/>
        <v>0</v>
      </c>
      <c r="AX42" s="16">
        <f t="shared" si="63"/>
        <v>0</v>
      </c>
      <c r="AY42" s="16">
        <f t="shared" si="64"/>
        <v>0</v>
      </c>
      <c r="AZ42" s="16">
        <f t="shared" si="65"/>
        <v>0</v>
      </c>
      <c r="BA42" s="16">
        <f t="shared" si="66"/>
        <v>0</v>
      </c>
      <c r="BB42" s="16">
        <f t="shared" si="67"/>
        <v>0</v>
      </c>
      <c r="BD42" s="16">
        <f t="shared" si="68"/>
        <v>0</v>
      </c>
      <c r="BE42" s="16">
        <f t="shared" si="69"/>
        <v>0</v>
      </c>
      <c r="BF42" s="16">
        <f t="shared" si="70"/>
        <v>0</v>
      </c>
      <c r="BG42" s="16">
        <f t="shared" si="71"/>
        <v>0</v>
      </c>
      <c r="BH42" s="16">
        <f t="shared" si="72"/>
        <v>0</v>
      </c>
      <c r="BJ42" s="16">
        <f t="shared" si="73"/>
        <v>0</v>
      </c>
      <c r="BK42" s="16">
        <f t="shared" ref="BK42:BN42" si="117">+BK14*$C42</f>
        <v>0</v>
      </c>
      <c r="BL42" s="16">
        <f t="shared" si="117"/>
        <v>0</v>
      </c>
      <c r="BM42" s="16">
        <f t="shared" si="117"/>
        <v>0</v>
      </c>
      <c r="BN42" s="16">
        <f t="shared" si="117"/>
        <v>0</v>
      </c>
      <c r="BP42" s="16">
        <f t="shared" si="75"/>
        <v>0</v>
      </c>
      <c r="BQ42" s="16">
        <f t="shared" ref="BQ42:BT42" si="118">+BQ14*$C42</f>
        <v>0</v>
      </c>
      <c r="BR42" s="16">
        <f t="shared" si="118"/>
        <v>0</v>
      </c>
      <c r="BS42" s="16">
        <f t="shared" si="118"/>
        <v>0</v>
      </c>
      <c r="BT42" s="16">
        <f t="shared" si="118"/>
        <v>0</v>
      </c>
      <c r="BV42" s="16">
        <f t="shared" si="77"/>
        <v>0</v>
      </c>
      <c r="BW42" s="16">
        <f t="shared" ref="BW42:BZ42" si="119">+BW14*$C42</f>
        <v>0</v>
      </c>
      <c r="BX42" s="16">
        <f t="shared" si="119"/>
        <v>0</v>
      </c>
      <c r="BY42" s="16">
        <f t="shared" si="119"/>
        <v>0</v>
      </c>
      <c r="BZ42" s="16">
        <f t="shared" si="119"/>
        <v>0</v>
      </c>
    </row>
    <row r="43" spans="2:78" s="16" customFormat="1" x14ac:dyDescent="0.25">
      <c r="B43" s="23" t="str">
        <f t="shared" si="54"/>
        <v>Customer9</v>
      </c>
      <c r="E43" s="16">
        <f t="shared" ref="E43:P43" si="120">+E15*$C43</f>
        <v>0</v>
      </c>
      <c r="F43" s="16">
        <f t="shared" si="120"/>
        <v>0</v>
      </c>
      <c r="G43" s="16">
        <f t="shared" si="120"/>
        <v>0</v>
      </c>
      <c r="H43" s="16">
        <f t="shared" si="120"/>
        <v>0</v>
      </c>
      <c r="I43" s="16">
        <f t="shared" si="120"/>
        <v>0</v>
      </c>
      <c r="J43" s="16">
        <f t="shared" si="120"/>
        <v>0</v>
      </c>
      <c r="K43" s="16">
        <f t="shared" si="120"/>
        <v>0</v>
      </c>
      <c r="L43" s="16">
        <f t="shared" si="120"/>
        <v>0</v>
      </c>
      <c r="M43" s="16">
        <f t="shared" si="120"/>
        <v>0</v>
      </c>
      <c r="N43" s="16">
        <f t="shared" si="120"/>
        <v>0</v>
      </c>
      <c r="O43" s="16">
        <f t="shared" si="120"/>
        <v>0</v>
      </c>
      <c r="P43" s="16">
        <f t="shared" si="120"/>
        <v>0</v>
      </c>
      <c r="R43" s="16">
        <f t="shared" si="80"/>
        <v>0</v>
      </c>
      <c r="S43" s="16">
        <f t="shared" si="80"/>
        <v>0</v>
      </c>
      <c r="T43" s="16">
        <f t="shared" si="80"/>
        <v>0</v>
      </c>
      <c r="U43" s="16">
        <f t="shared" si="80"/>
        <v>0</v>
      </c>
      <c r="V43" s="16">
        <f t="shared" si="80"/>
        <v>0</v>
      </c>
      <c r="W43" s="16">
        <f t="shared" si="80"/>
        <v>0</v>
      </c>
      <c r="X43" s="16">
        <f t="shared" si="80"/>
        <v>0</v>
      </c>
      <c r="Y43" s="16">
        <f t="shared" si="80"/>
        <v>0</v>
      </c>
      <c r="Z43" s="16">
        <f t="shared" si="80"/>
        <v>0</v>
      </c>
      <c r="AA43" s="16">
        <f t="shared" si="80"/>
        <v>0</v>
      </c>
      <c r="AB43" s="16">
        <f t="shared" si="80"/>
        <v>0</v>
      </c>
      <c r="AC43" s="16">
        <f t="shared" si="80"/>
        <v>0</v>
      </c>
      <c r="AE43" s="16">
        <f t="shared" ref="AE43:AP43" si="121">+AE15*$C43</f>
        <v>0</v>
      </c>
      <c r="AF43" s="16">
        <f t="shared" si="121"/>
        <v>0</v>
      </c>
      <c r="AG43" s="16">
        <f t="shared" si="121"/>
        <v>0</v>
      </c>
      <c r="AH43" s="16">
        <f t="shared" si="121"/>
        <v>0</v>
      </c>
      <c r="AI43" s="16">
        <f t="shared" si="121"/>
        <v>0</v>
      </c>
      <c r="AJ43" s="16">
        <f t="shared" si="121"/>
        <v>0</v>
      </c>
      <c r="AK43" s="16">
        <f t="shared" si="121"/>
        <v>0</v>
      </c>
      <c r="AL43" s="16">
        <f t="shared" si="121"/>
        <v>0</v>
      </c>
      <c r="AM43" s="16">
        <f t="shared" si="121"/>
        <v>0</v>
      </c>
      <c r="AN43" s="16">
        <f t="shared" si="121"/>
        <v>0</v>
      </c>
      <c r="AO43" s="16">
        <f t="shared" si="121"/>
        <v>0</v>
      </c>
      <c r="AP43" s="16">
        <f t="shared" si="121"/>
        <v>0</v>
      </c>
      <c r="AR43" s="16">
        <f t="shared" si="58"/>
        <v>0</v>
      </c>
      <c r="AS43" s="16">
        <f t="shared" si="59"/>
        <v>0</v>
      </c>
      <c r="AT43" s="16">
        <f t="shared" si="60"/>
        <v>0</v>
      </c>
      <c r="AU43" s="16">
        <f t="shared" si="61"/>
        <v>0</v>
      </c>
      <c r="AV43" s="16">
        <f t="shared" si="62"/>
        <v>0</v>
      </c>
      <c r="AX43" s="16">
        <f t="shared" si="63"/>
        <v>0</v>
      </c>
      <c r="AY43" s="16">
        <f t="shared" si="64"/>
        <v>0</v>
      </c>
      <c r="AZ43" s="16">
        <f t="shared" si="65"/>
        <v>0</v>
      </c>
      <c r="BA43" s="16">
        <f t="shared" si="66"/>
        <v>0</v>
      </c>
      <c r="BB43" s="16">
        <f t="shared" si="67"/>
        <v>0</v>
      </c>
      <c r="BD43" s="16">
        <f t="shared" si="68"/>
        <v>0</v>
      </c>
      <c r="BE43" s="16">
        <f t="shared" si="69"/>
        <v>0</v>
      </c>
      <c r="BF43" s="16">
        <f t="shared" si="70"/>
        <v>0</v>
      </c>
      <c r="BG43" s="16">
        <f t="shared" si="71"/>
        <v>0</v>
      </c>
      <c r="BH43" s="16">
        <f t="shared" si="72"/>
        <v>0</v>
      </c>
      <c r="BJ43" s="16">
        <f t="shared" si="73"/>
        <v>0</v>
      </c>
      <c r="BK43" s="16">
        <f t="shared" ref="BK43:BN43" si="122">+BK15*$C43</f>
        <v>0</v>
      </c>
      <c r="BL43" s="16">
        <f t="shared" si="122"/>
        <v>0</v>
      </c>
      <c r="BM43" s="16">
        <f t="shared" si="122"/>
        <v>0</v>
      </c>
      <c r="BN43" s="16">
        <f t="shared" si="122"/>
        <v>0</v>
      </c>
      <c r="BP43" s="16">
        <f t="shared" si="75"/>
        <v>0</v>
      </c>
      <c r="BQ43" s="16">
        <f t="shared" ref="BQ43:BT43" si="123">+BQ15*$C43</f>
        <v>0</v>
      </c>
      <c r="BR43" s="16">
        <f t="shared" si="123"/>
        <v>0</v>
      </c>
      <c r="BS43" s="16">
        <f t="shared" si="123"/>
        <v>0</v>
      </c>
      <c r="BT43" s="16">
        <f t="shared" si="123"/>
        <v>0</v>
      </c>
      <c r="BV43" s="16">
        <f t="shared" si="77"/>
        <v>0</v>
      </c>
      <c r="BW43" s="16">
        <f t="shared" ref="BW43:BZ43" si="124">+BW15*$C43</f>
        <v>0</v>
      </c>
      <c r="BX43" s="16">
        <f t="shared" si="124"/>
        <v>0</v>
      </c>
      <c r="BY43" s="16">
        <f t="shared" si="124"/>
        <v>0</v>
      </c>
      <c r="BZ43" s="16">
        <f t="shared" si="124"/>
        <v>0</v>
      </c>
    </row>
    <row r="44" spans="2:78" s="16" customFormat="1" x14ac:dyDescent="0.25">
      <c r="B44" s="23" t="str">
        <f t="shared" si="54"/>
        <v>Customer10</v>
      </c>
      <c r="E44" s="16">
        <f t="shared" ref="E44:P44" si="125">+E16*$C44</f>
        <v>0</v>
      </c>
      <c r="F44" s="16">
        <f t="shared" si="125"/>
        <v>0</v>
      </c>
      <c r="G44" s="16">
        <f t="shared" si="125"/>
        <v>0</v>
      </c>
      <c r="H44" s="16">
        <f t="shared" si="125"/>
        <v>0</v>
      </c>
      <c r="I44" s="16">
        <f t="shared" si="125"/>
        <v>0</v>
      </c>
      <c r="J44" s="16">
        <f t="shared" si="125"/>
        <v>0</v>
      </c>
      <c r="K44" s="16">
        <f t="shared" si="125"/>
        <v>0</v>
      </c>
      <c r="L44" s="16">
        <f t="shared" si="125"/>
        <v>0</v>
      </c>
      <c r="M44" s="16">
        <f t="shared" si="125"/>
        <v>0</v>
      </c>
      <c r="N44" s="16">
        <f t="shared" si="125"/>
        <v>0</v>
      </c>
      <c r="O44" s="16">
        <f t="shared" si="125"/>
        <v>0</v>
      </c>
      <c r="P44" s="16">
        <f t="shared" si="125"/>
        <v>0</v>
      </c>
      <c r="R44" s="16">
        <f t="shared" si="80"/>
        <v>0</v>
      </c>
      <c r="S44" s="16">
        <f t="shared" si="80"/>
        <v>0</v>
      </c>
      <c r="T44" s="16">
        <f t="shared" si="80"/>
        <v>0</v>
      </c>
      <c r="U44" s="16">
        <f t="shared" si="80"/>
        <v>0</v>
      </c>
      <c r="V44" s="16">
        <f t="shared" si="80"/>
        <v>0</v>
      </c>
      <c r="W44" s="16">
        <f t="shared" si="80"/>
        <v>0</v>
      </c>
      <c r="X44" s="16">
        <f t="shared" si="80"/>
        <v>0</v>
      </c>
      <c r="Y44" s="16">
        <f t="shared" si="80"/>
        <v>0</v>
      </c>
      <c r="Z44" s="16">
        <f t="shared" si="80"/>
        <v>0</v>
      </c>
      <c r="AA44" s="16">
        <f t="shared" si="80"/>
        <v>0</v>
      </c>
      <c r="AB44" s="16">
        <f t="shared" si="80"/>
        <v>0</v>
      </c>
      <c r="AC44" s="16">
        <f t="shared" si="80"/>
        <v>0</v>
      </c>
      <c r="AE44" s="16">
        <f t="shared" ref="AE44:AP44" si="126">+AE16*$C44</f>
        <v>0</v>
      </c>
      <c r="AF44" s="16">
        <f t="shared" si="126"/>
        <v>0</v>
      </c>
      <c r="AG44" s="16">
        <f t="shared" si="126"/>
        <v>0</v>
      </c>
      <c r="AH44" s="16">
        <f t="shared" si="126"/>
        <v>0</v>
      </c>
      <c r="AI44" s="16">
        <f t="shared" si="126"/>
        <v>0</v>
      </c>
      <c r="AJ44" s="16">
        <f t="shared" si="126"/>
        <v>0</v>
      </c>
      <c r="AK44" s="16">
        <f t="shared" si="126"/>
        <v>0</v>
      </c>
      <c r="AL44" s="16">
        <f t="shared" si="126"/>
        <v>0</v>
      </c>
      <c r="AM44" s="16">
        <f t="shared" si="126"/>
        <v>0</v>
      </c>
      <c r="AN44" s="16">
        <f t="shared" si="126"/>
        <v>0</v>
      </c>
      <c r="AO44" s="16">
        <f t="shared" si="126"/>
        <v>0</v>
      </c>
      <c r="AP44" s="16">
        <f t="shared" si="126"/>
        <v>0</v>
      </c>
      <c r="AR44" s="16">
        <f t="shared" si="58"/>
        <v>0</v>
      </c>
      <c r="AS44" s="16">
        <f t="shared" si="59"/>
        <v>0</v>
      </c>
      <c r="AT44" s="16">
        <f t="shared" si="60"/>
        <v>0</v>
      </c>
      <c r="AU44" s="16">
        <f t="shared" si="61"/>
        <v>0</v>
      </c>
      <c r="AV44" s="16">
        <f t="shared" si="62"/>
        <v>0</v>
      </c>
      <c r="AX44" s="16">
        <f t="shared" si="63"/>
        <v>0</v>
      </c>
      <c r="AY44" s="16">
        <f t="shared" si="64"/>
        <v>0</v>
      </c>
      <c r="AZ44" s="16">
        <f t="shared" si="65"/>
        <v>0</v>
      </c>
      <c r="BA44" s="16">
        <f t="shared" si="66"/>
        <v>0</v>
      </c>
      <c r="BB44" s="16">
        <f t="shared" si="67"/>
        <v>0</v>
      </c>
      <c r="BD44" s="16">
        <f t="shared" si="68"/>
        <v>0</v>
      </c>
      <c r="BE44" s="16">
        <f t="shared" si="69"/>
        <v>0</v>
      </c>
      <c r="BF44" s="16">
        <f t="shared" si="70"/>
        <v>0</v>
      </c>
      <c r="BG44" s="16">
        <f t="shared" si="71"/>
        <v>0</v>
      </c>
      <c r="BH44" s="16">
        <f t="shared" si="72"/>
        <v>0</v>
      </c>
      <c r="BJ44" s="16">
        <f t="shared" si="73"/>
        <v>0</v>
      </c>
      <c r="BK44" s="16">
        <f t="shared" ref="BK44:BN44" si="127">+BK16*$C44</f>
        <v>0</v>
      </c>
      <c r="BL44" s="16">
        <f t="shared" si="127"/>
        <v>0</v>
      </c>
      <c r="BM44" s="16">
        <f t="shared" si="127"/>
        <v>0</v>
      </c>
      <c r="BN44" s="16">
        <f t="shared" si="127"/>
        <v>0</v>
      </c>
      <c r="BP44" s="16">
        <f t="shared" si="75"/>
        <v>0</v>
      </c>
      <c r="BQ44" s="16">
        <f t="shared" ref="BQ44:BT44" si="128">+BQ16*$C44</f>
        <v>0</v>
      </c>
      <c r="BR44" s="16">
        <f t="shared" si="128"/>
        <v>0</v>
      </c>
      <c r="BS44" s="16">
        <f t="shared" si="128"/>
        <v>0</v>
      </c>
      <c r="BT44" s="16">
        <f t="shared" si="128"/>
        <v>0</v>
      </c>
      <c r="BV44" s="16">
        <f t="shared" si="77"/>
        <v>0</v>
      </c>
      <c r="BW44" s="16">
        <f t="shared" ref="BW44:BZ44" si="129">+BW16*$C44</f>
        <v>0</v>
      </c>
      <c r="BX44" s="16">
        <f t="shared" si="129"/>
        <v>0</v>
      </c>
      <c r="BY44" s="16">
        <f t="shared" si="129"/>
        <v>0</v>
      </c>
      <c r="BZ44" s="16">
        <f t="shared" si="129"/>
        <v>0</v>
      </c>
    </row>
    <row r="45" spans="2:78" s="16" customFormat="1" x14ac:dyDescent="0.25"/>
    <row r="46" spans="2:78" s="16" customFormat="1" x14ac:dyDescent="0.25">
      <c r="B46" s="16" t="s">
        <v>222</v>
      </c>
      <c r="E46" s="17">
        <f>SUM(E35:E44)</f>
        <v>0</v>
      </c>
      <c r="F46" s="17">
        <f t="shared" ref="F46:P46" si="130">SUM(F35:F44)</f>
        <v>0</v>
      </c>
      <c r="G46" s="17">
        <f t="shared" si="130"/>
        <v>0</v>
      </c>
      <c r="H46" s="17">
        <f t="shared" si="130"/>
        <v>0</v>
      </c>
      <c r="I46" s="17">
        <f t="shared" si="130"/>
        <v>0</v>
      </c>
      <c r="J46" s="17">
        <f t="shared" si="130"/>
        <v>0</v>
      </c>
      <c r="K46" s="17">
        <f t="shared" si="130"/>
        <v>0</v>
      </c>
      <c r="L46" s="17">
        <f t="shared" si="130"/>
        <v>0</v>
      </c>
      <c r="M46" s="17">
        <f t="shared" si="130"/>
        <v>0</v>
      </c>
      <c r="N46" s="17">
        <f t="shared" si="130"/>
        <v>0</v>
      </c>
      <c r="O46" s="17">
        <f t="shared" si="130"/>
        <v>0</v>
      </c>
      <c r="P46" s="17">
        <f t="shared" si="130"/>
        <v>0</v>
      </c>
      <c r="R46" s="17">
        <f>SUM(R35:R44)</f>
        <v>0</v>
      </c>
      <c r="S46" s="17">
        <f t="shared" ref="S46:AC46" si="131">SUM(S35:S44)</f>
        <v>0</v>
      </c>
      <c r="T46" s="17">
        <f t="shared" si="131"/>
        <v>0</v>
      </c>
      <c r="U46" s="17">
        <f t="shared" si="131"/>
        <v>0</v>
      </c>
      <c r="V46" s="17">
        <f t="shared" si="131"/>
        <v>0</v>
      </c>
      <c r="W46" s="17">
        <f t="shared" si="131"/>
        <v>0</v>
      </c>
      <c r="X46" s="17">
        <f t="shared" si="131"/>
        <v>247600.00000000006</v>
      </c>
      <c r="Y46" s="17">
        <f t="shared" si="131"/>
        <v>0</v>
      </c>
      <c r="Z46" s="17">
        <f t="shared" si="131"/>
        <v>0</v>
      </c>
      <c r="AA46" s="17">
        <f t="shared" si="131"/>
        <v>247400.00000000006</v>
      </c>
      <c r="AB46" s="17">
        <f t="shared" si="131"/>
        <v>0</v>
      </c>
      <c r="AC46" s="17">
        <f t="shared" si="131"/>
        <v>0</v>
      </c>
      <c r="AE46" s="17">
        <f t="shared" ref="AE46:BH46" si="132">SUM(AE35:AE44)</f>
        <v>231000.00000000009</v>
      </c>
      <c r="AF46" s="17">
        <f t="shared" si="132"/>
        <v>0</v>
      </c>
      <c r="AG46" s="17">
        <f t="shared" si="132"/>
        <v>0</v>
      </c>
      <c r="AH46" s="17">
        <f t="shared" si="132"/>
        <v>231000.00000000009</v>
      </c>
      <c r="AI46" s="17">
        <f t="shared" si="132"/>
        <v>0</v>
      </c>
      <c r="AJ46" s="17">
        <f t="shared" si="132"/>
        <v>0</v>
      </c>
      <c r="AK46" s="17">
        <f t="shared" si="132"/>
        <v>775600.00000000023</v>
      </c>
      <c r="AL46" s="17">
        <f t="shared" si="132"/>
        <v>0</v>
      </c>
      <c r="AM46" s="17">
        <f t="shared" si="132"/>
        <v>0</v>
      </c>
      <c r="AN46" s="17">
        <f t="shared" si="132"/>
        <v>775400.00000000023</v>
      </c>
      <c r="AO46" s="17">
        <f>SUM(AO35:AO44)</f>
        <v>0</v>
      </c>
      <c r="AP46" s="17">
        <f t="shared" si="132"/>
        <v>0</v>
      </c>
      <c r="AR46" s="17">
        <f t="shared" si="132"/>
        <v>0</v>
      </c>
      <c r="AS46" s="17">
        <f t="shared" si="132"/>
        <v>0</v>
      </c>
      <c r="AT46" s="17">
        <f t="shared" si="132"/>
        <v>0</v>
      </c>
      <c r="AU46" s="17">
        <f t="shared" si="132"/>
        <v>0</v>
      </c>
      <c r="AV46" s="17">
        <f t="shared" si="132"/>
        <v>0</v>
      </c>
      <c r="AX46" s="17">
        <f t="shared" si="132"/>
        <v>495000.00000000012</v>
      </c>
      <c r="AY46" s="17">
        <f t="shared" si="132"/>
        <v>0</v>
      </c>
      <c r="AZ46" s="17">
        <f t="shared" si="132"/>
        <v>0</v>
      </c>
      <c r="BA46" s="17">
        <f t="shared" si="132"/>
        <v>247600.00000000006</v>
      </c>
      <c r="BB46" s="17">
        <f t="shared" si="132"/>
        <v>247400.00000000006</v>
      </c>
      <c r="BD46" s="17">
        <f t="shared" si="132"/>
        <v>2013000.0000000007</v>
      </c>
      <c r="BE46" s="17">
        <f t="shared" si="132"/>
        <v>231000.00000000009</v>
      </c>
      <c r="BF46" s="17">
        <f t="shared" si="132"/>
        <v>231000.00000000009</v>
      </c>
      <c r="BG46" s="17">
        <f t="shared" si="132"/>
        <v>775600.00000000023</v>
      </c>
      <c r="BH46" s="17">
        <f t="shared" si="132"/>
        <v>775400.00000000023</v>
      </c>
      <c r="BJ46" s="17">
        <f t="shared" ref="BJ46:BN46" si="133">SUM(BJ35:BJ44)</f>
        <v>4342242.3000000017</v>
      </c>
      <c r="BK46" s="17">
        <f t="shared" si="133"/>
        <v>762300.00000000035</v>
      </c>
      <c r="BL46" s="17">
        <f t="shared" si="133"/>
        <v>762300.00000000035</v>
      </c>
      <c r="BM46" s="17">
        <f t="shared" si="133"/>
        <v>1408763.4000000004</v>
      </c>
      <c r="BN46" s="17">
        <f t="shared" si="133"/>
        <v>1408878.9000000004</v>
      </c>
      <c r="BP46" s="17">
        <f t="shared" ref="BP46:BT46" si="134">SUM(BP35:BP44)</f>
        <v>7159661.9600000037</v>
      </c>
      <c r="BQ46" s="17">
        <f t="shared" si="134"/>
        <v>1399599.7400000005</v>
      </c>
      <c r="BR46" s="17">
        <f t="shared" si="134"/>
        <v>1399599.7400000005</v>
      </c>
      <c r="BS46" s="17">
        <f t="shared" si="134"/>
        <v>2180253.7400000012</v>
      </c>
      <c r="BT46" s="17">
        <f t="shared" si="134"/>
        <v>2180208.7400000012</v>
      </c>
      <c r="BV46" s="17">
        <f t="shared" ref="BV46:BZ46" si="135">SUM(BV35:BV44)</f>
        <v>9835560.2620000057</v>
      </c>
      <c r="BW46" s="17">
        <f t="shared" si="135"/>
        <v>2174979.114000001</v>
      </c>
      <c r="BX46" s="17">
        <f t="shared" si="135"/>
        <v>2174979.114000001</v>
      </c>
      <c r="BY46" s="17">
        <f t="shared" si="135"/>
        <v>2742870.7720000013</v>
      </c>
      <c r="BZ46" s="17">
        <f t="shared" si="135"/>
        <v>2742731.2620000015</v>
      </c>
    </row>
    <row r="47" spans="2:78" s="16" customFormat="1" x14ac:dyDescent="0.25"/>
    <row r="48" spans="2:78" s="16" customFormat="1" x14ac:dyDescent="0.25">
      <c r="B48" s="19" t="s">
        <v>1119</v>
      </c>
      <c r="C48" s="32" t="s">
        <v>225</v>
      </c>
    </row>
    <row r="49" spans="1:78" s="16" customFormat="1" x14ac:dyDescent="0.25">
      <c r="B49" s="23" t="str">
        <f t="shared" ref="B49:B58" si="136">+B35</f>
        <v>Professional</v>
      </c>
      <c r="C49" s="25">
        <v>3.5</v>
      </c>
      <c r="E49" s="16">
        <f t="shared" ref="E49:P49" si="137">+E21*$C49</f>
        <v>0</v>
      </c>
      <c r="F49" s="16">
        <f t="shared" si="137"/>
        <v>0</v>
      </c>
      <c r="G49" s="16">
        <f t="shared" si="137"/>
        <v>0</v>
      </c>
      <c r="H49" s="16">
        <f t="shared" si="137"/>
        <v>0</v>
      </c>
      <c r="I49" s="16">
        <f t="shared" si="137"/>
        <v>0</v>
      </c>
      <c r="J49" s="16">
        <f t="shared" si="137"/>
        <v>0</v>
      </c>
      <c r="K49" s="16">
        <f t="shared" si="137"/>
        <v>0</v>
      </c>
      <c r="L49" s="16">
        <f t="shared" si="137"/>
        <v>0</v>
      </c>
      <c r="M49" s="16">
        <f t="shared" si="137"/>
        <v>0</v>
      </c>
      <c r="N49" s="16">
        <f t="shared" si="137"/>
        <v>0</v>
      </c>
      <c r="O49" s="16">
        <f t="shared" si="137"/>
        <v>0</v>
      </c>
      <c r="P49" s="16">
        <f t="shared" si="137"/>
        <v>0</v>
      </c>
      <c r="R49" s="16">
        <f t="shared" ref="R49:AC58" si="138">+R21*$C49</f>
        <v>0</v>
      </c>
      <c r="S49" s="16">
        <f t="shared" si="138"/>
        <v>0</v>
      </c>
      <c r="T49" s="16">
        <f t="shared" si="138"/>
        <v>0</v>
      </c>
      <c r="U49" s="16">
        <f t="shared" si="138"/>
        <v>0</v>
      </c>
      <c r="V49" s="16">
        <f t="shared" si="138"/>
        <v>0</v>
      </c>
      <c r="W49" s="16">
        <f t="shared" si="138"/>
        <v>0</v>
      </c>
      <c r="X49" s="16">
        <f t="shared" si="138"/>
        <v>139650.00000000003</v>
      </c>
      <c r="Y49" s="16">
        <f t="shared" si="138"/>
        <v>139650.00000000003</v>
      </c>
      <c r="Z49" s="16">
        <f t="shared" si="138"/>
        <v>139650.00000000003</v>
      </c>
      <c r="AA49" s="16">
        <f t="shared" si="138"/>
        <v>132300.00000000003</v>
      </c>
      <c r="AB49" s="16">
        <f t="shared" si="138"/>
        <v>132300.00000000003</v>
      </c>
      <c r="AC49" s="16">
        <f t="shared" si="138"/>
        <v>132300.00000000003</v>
      </c>
      <c r="AE49" s="16">
        <f t="shared" ref="AE49:AP49" si="139">+AE21*$C49</f>
        <v>137445.00000000006</v>
      </c>
      <c r="AF49" s="16">
        <f t="shared" si="139"/>
        <v>137445.00000000006</v>
      </c>
      <c r="AG49" s="16">
        <f t="shared" si="139"/>
        <v>137445.00000000006</v>
      </c>
      <c r="AH49" s="16">
        <f t="shared" si="139"/>
        <v>129360.00000000006</v>
      </c>
      <c r="AI49" s="16">
        <f t="shared" si="139"/>
        <v>129360.00000000006</v>
      </c>
      <c r="AJ49" s="16">
        <f t="shared" si="139"/>
        <v>129360.00000000006</v>
      </c>
      <c r="AK49" s="16">
        <f t="shared" si="139"/>
        <v>428505.00000000012</v>
      </c>
      <c r="AL49" s="16">
        <f t="shared" si="139"/>
        <v>428505.00000000012</v>
      </c>
      <c r="AM49" s="16">
        <f t="shared" si="139"/>
        <v>428505.00000000012</v>
      </c>
      <c r="AN49" s="16">
        <f t="shared" si="139"/>
        <v>404250.00000000017</v>
      </c>
      <c r="AO49" s="16">
        <f t="shared" si="139"/>
        <v>404250.00000000017</v>
      </c>
      <c r="AP49" s="16">
        <f t="shared" si="139"/>
        <v>404250.00000000017</v>
      </c>
      <c r="AR49" s="16">
        <f t="shared" ref="AR49:AR58" si="140">SUM(E49:P49)</f>
        <v>0</v>
      </c>
      <c r="AS49" s="16">
        <f t="shared" ref="AS49:AS58" si="141">SUM(E49:G49)</f>
        <v>0</v>
      </c>
      <c r="AT49" s="16">
        <f t="shared" ref="AT49:AT58" si="142">SUM(H49:J49)</f>
        <v>0</v>
      </c>
      <c r="AU49" s="16">
        <f t="shared" ref="AU49:AU58" si="143">SUM(K49:M49)</f>
        <v>0</v>
      </c>
      <c r="AV49" s="16">
        <f t="shared" ref="AV49:AV58" si="144">SUM(N49:P49)</f>
        <v>0</v>
      </c>
      <c r="AX49" s="16">
        <f t="shared" ref="AX49:AX58" si="145">SUM(R49:AC49)</f>
        <v>815850.00000000012</v>
      </c>
      <c r="AY49" s="16">
        <f t="shared" ref="AY49:AY58" si="146">SUM(R49:T49)</f>
        <v>0</v>
      </c>
      <c r="AZ49" s="16">
        <f t="shared" ref="AZ49:AZ58" si="147">SUM(U49:W49)</f>
        <v>0</v>
      </c>
      <c r="BA49" s="16">
        <f t="shared" ref="BA49:BA58" si="148">SUM(X49:Z49)</f>
        <v>418950.00000000012</v>
      </c>
      <c r="BB49" s="16">
        <f t="shared" ref="BB49:BB58" si="149">SUM(AA49:AC49)</f>
        <v>396900.00000000012</v>
      </c>
      <c r="BD49" s="16">
        <f t="shared" ref="BD49:BD58" si="150">SUM(AE49:AP49)</f>
        <v>3298680.0000000005</v>
      </c>
      <c r="BE49" s="16">
        <f t="shared" ref="BE49:BE58" si="151">SUM(AE49:AG49)</f>
        <v>412335.00000000017</v>
      </c>
      <c r="BF49" s="16">
        <f t="shared" ref="BF49:BF58" si="152">SUM(AH49:AJ49)</f>
        <v>388080.00000000017</v>
      </c>
      <c r="BG49" s="16">
        <f t="shared" ref="BG49:BG58" si="153">SUM(AK49:AM49)</f>
        <v>1285515.0000000005</v>
      </c>
      <c r="BH49" s="16">
        <f t="shared" ref="BH49:BH58" si="154">SUM(AN49:AP49)</f>
        <v>1212750.0000000005</v>
      </c>
      <c r="BJ49" s="16">
        <f t="shared" ref="BJ49:BJ58" si="155">SUM(BK49:BN49)</f>
        <v>7584501.3090000022</v>
      </c>
      <c r="BK49" s="16">
        <f t="shared" ref="BK49:BN49" si="156">+BK21*$C49</f>
        <v>1253983.5000000005</v>
      </c>
      <c r="BL49" s="16">
        <f t="shared" si="156"/>
        <v>1173942.0000000005</v>
      </c>
      <c r="BM49" s="16">
        <f t="shared" si="156"/>
        <v>2645086.9830000005</v>
      </c>
      <c r="BN49" s="16">
        <f t="shared" si="156"/>
        <v>2511488.8260000008</v>
      </c>
      <c r="BP49" s="16">
        <f t="shared" ref="BP49:BP58" si="157">SUM(BQ49:BT49)</f>
        <v>14173040.897400009</v>
      </c>
      <c r="BQ49" s="16">
        <f t="shared" ref="BQ49:BT49" si="158">+BQ21*$C49</f>
        <v>2615679.7359000016</v>
      </c>
      <c r="BR49" s="16">
        <f t="shared" si="158"/>
        <v>2468721.7632000013</v>
      </c>
      <c r="BS49" s="16">
        <f t="shared" si="158"/>
        <v>4648125.5205000024</v>
      </c>
      <c r="BT49" s="16">
        <f t="shared" si="158"/>
        <v>4440513.8778000027</v>
      </c>
      <c r="BV49" s="16">
        <f t="shared" ref="BV49:BV58" si="159">SUM(BW49:BZ49)</f>
        <v>22465483.48275001</v>
      </c>
      <c r="BW49" s="16">
        <f t="shared" ref="BW49:BZ49" si="160">+BW21*$C49</f>
        <v>4656192.4586100029</v>
      </c>
      <c r="BX49" s="16">
        <f t="shared" si="160"/>
        <v>4427819.6516400017</v>
      </c>
      <c r="BY49" s="16">
        <f t="shared" si="160"/>
        <v>6558610.4707200024</v>
      </c>
      <c r="BZ49" s="16">
        <f t="shared" si="160"/>
        <v>6822860.9017800037</v>
      </c>
    </row>
    <row r="50" spans="1:78" s="16" customFormat="1" x14ac:dyDescent="0.25">
      <c r="B50" s="23" t="str">
        <f t="shared" si="136"/>
        <v>PST</v>
      </c>
      <c r="C50" s="25">
        <v>5</v>
      </c>
      <c r="E50" s="16">
        <f t="shared" ref="E50:P50" si="161">+E22*$C50</f>
        <v>0</v>
      </c>
      <c r="F50" s="16">
        <f t="shared" si="161"/>
        <v>0</v>
      </c>
      <c r="G50" s="16">
        <f t="shared" si="161"/>
        <v>0</v>
      </c>
      <c r="H50" s="16">
        <f t="shared" si="161"/>
        <v>0</v>
      </c>
      <c r="I50" s="16">
        <f t="shared" si="161"/>
        <v>0</v>
      </c>
      <c r="J50" s="16">
        <f t="shared" si="161"/>
        <v>0</v>
      </c>
      <c r="K50" s="16">
        <f t="shared" si="161"/>
        <v>0</v>
      </c>
      <c r="L50" s="16">
        <f t="shared" si="161"/>
        <v>0</v>
      </c>
      <c r="M50" s="16">
        <f t="shared" si="161"/>
        <v>0</v>
      </c>
      <c r="N50" s="16">
        <f t="shared" si="161"/>
        <v>0</v>
      </c>
      <c r="O50" s="16">
        <f t="shared" si="161"/>
        <v>0</v>
      </c>
      <c r="P50" s="16">
        <f t="shared" si="161"/>
        <v>0</v>
      </c>
      <c r="R50" s="16">
        <f t="shared" si="138"/>
        <v>0</v>
      </c>
      <c r="S50" s="16">
        <f t="shared" si="138"/>
        <v>0</v>
      </c>
      <c r="T50" s="16">
        <f t="shared" si="138"/>
        <v>0</v>
      </c>
      <c r="U50" s="16">
        <f t="shared" si="138"/>
        <v>0</v>
      </c>
      <c r="V50" s="16">
        <f t="shared" si="138"/>
        <v>0</v>
      </c>
      <c r="W50" s="16">
        <f t="shared" si="138"/>
        <v>0</v>
      </c>
      <c r="X50" s="16">
        <f t="shared" si="138"/>
        <v>33250.000000000007</v>
      </c>
      <c r="Y50" s="16">
        <f t="shared" si="138"/>
        <v>33250.000000000007</v>
      </c>
      <c r="Z50" s="16">
        <f t="shared" si="138"/>
        <v>33250.000000000007</v>
      </c>
      <c r="AA50" s="16">
        <f t="shared" si="138"/>
        <v>66500.000000000015</v>
      </c>
      <c r="AB50" s="16">
        <f t="shared" si="138"/>
        <v>66500.000000000015</v>
      </c>
      <c r="AC50" s="16">
        <f t="shared" si="138"/>
        <v>66500.000000000015</v>
      </c>
      <c r="AE50" s="16">
        <f t="shared" ref="AE50:AP50" si="162">+AE22*$C50</f>
        <v>109725.00000000001</v>
      </c>
      <c r="AF50" s="16">
        <f t="shared" si="162"/>
        <v>109725.00000000001</v>
      </c>
      <c r="AG50" s="16">
        <f t="shared" si="162"/>
        <v>109725.00000000001</v>
      </c>
      <c r="AH50" s="16">
        <f t="shared" si="162"/>
        <v>146300.00000000006</v>
      </c>
      <c r="AI50" s="16">
        <f t="shared" si="162"/>
        <v>146300.00000000006</v>
      </c>
      <c r="AJ50" s="16">
        <f t="shared" si="162"/>
        <v>146300.00000000006</v>
      </c>
      <c r="AK50" s="16">
        <f t="shared" si="162"/>
        <v>256025.00000000006</v>
      </c>
      <c r="AL50" s="16">
        <f t="shared" si="162"/>
        <v>256025.00000000006</v>
      </c>
      <c r="AM50" s="16">
        <f t="shared" si="162"/>
        <v>256025.00000000006</v>
      </c>
      <c r="AN50" s="16">
        <f t="shared" si="162"/>
        <v>365750.00000000006</v>
      </c>
      <c r="AO50" s="16">
        <f t="shared" si="162"/>
        <v>365750.00000000006</v>
      </c>
      <c r="AP50" s="16">
        <f t="shared" si="162"/>
        <v>365750.00000000006</v>
      </c>
      <c r="AR50" s="16">
        <f t="shared" si="140"/>
        <v>0</v>
      </c>
      <c r="AS50" s="16">
        <f t="shared" si="141"/>
        <v>0</v>
      </c>
      <c r="AT50" s="16">
        <f t="shared" si="142"/>
        <v>0</v>
      </c>
      <c r="AU50" s="16">
        <f t="shared" si="143"/>
        <v>0</v>
      </c>
      <c r="AV50" s="16">
        <f t="shared" si="144"/>
        <v>0</v>
      </c>
      <c r="AX50" s="16">
        <f t="shared" si="145"/>
        <v>299250.00000000006</v>
      </c>
      <c r="AY50" s="16">
        <f t="shared" si="146"/>
        <v>0</v>
      </c>
      <c r="AZ50" s="16">
        <f t="shared" si="147"/>
        <v>0</v>
      </c>
      <c r="BA50" s="16">
        <f t="shared" si="148"/>
        <v>99750.000000000029</v>
      </c>
      <c r="BB50" s="16">
        <f t="shared" si="149"/>
        <v>199500.00000000006</v>
      </c>
      <c r="BD50" s="16">
        <f t="shared" si="150"/>
        <v>2633400.0000000005</v>
      </c>
      <c r="BE50" s="16">
        <f t="shared" si="151"/>
        <v>329175.00000000006</v>
      </c>
      <c r="BF50" s="16">
        <f t="shared" si="152"/>
        <v>438900.00000000017</v>
      </c>
      <c r="BG50" s="16">
        <f t="shared" si="153"/>
        <v>768075.00000000023</v>
      </c>
      <c r="BH50" s="16">
        <f t="shared" si="154"/>
        <v>1097250.0000000002</v>
      </c>
      <c r="BJ50" s="16">
        <f t="shared" si="155"/>
        <v>9175665.3450000025</v>
      </c>
      <c r="BK50" s="16">
        <f t="shared" ref="BK50:BN50" si="163">+BK22*$C50</f>
        <v>1569067.5000000005</v>
      </c>
      <c r="BL50" s="16">
        <f t="shared" si="163"/>
        <v>1931160.0000000005</v>
      </c>
      <c r="BM50" s="16">
        <f t="shared" si="163"/>
        <v>2535532.6150000007</v>
      </c>
      <c r="BN50" s="16">
        <f t="shared" si="163"/>
        <v>3139905.2300000014</v>
      </c>
      <c r="BP50" s="16">
        <f t="shared" si="157"/>
        <v>21286838.727000013</v>
      </c>
      <c r="BQ50" s="16">
        <f t="shared" ref="BQ50:BT50" si="164">+BQ22*$C50</f>
        <v>4118705.6295000021</v>
      </c>
      <c r="BR50" s="16">
        <f t="shared" si="164"/>
        <v>4783515.5060000028</v>
      </c>
      <c r="BS50" s="16">
        <f t="shared" si="164"/>
        <v>6262631.1825000029</v>
      </c>
      <c r="BT50" s="16">
        <f t="shared" si="164"/>
        <v>6121986.4090000037</v>
      </c>
      <c r="BV50" s="16">
        <f t="shared" si="159"/>
        <v>40130450.263750017</v>
      </c>
      <c r="BW50" s="16">
        <f t="shared" ref="BW50:BZ50" si="165">+BW22*$C50</f>
        <v>8361212.2940500043</v>
      </c>
      <c r="BX50" s="16">
        <f t="shared" si="165"/>
        <v>9394327.3732000049</v>
      </c>
      <c r="BY50" s="16">
        <f t="shared" si="165"/>
        <v>10589745.989900006</v>
      </c>
      <c r="BZ50" s="16">
        <f t="shared" si="165"/>
        <v>11785164.606600005</v>
      </c>
    </row>
    <row r="51" spans="1:78" s="16" customFormat="1" x14ac:dyDescent="0.25">
      <c r="B51" s="23" t="str">
        <f t="shared" si="136"/>
        <v>Calibration strips</v>
      </c>
      <c r="C51" s="25">
        <v>0</v>
      </c>
      <c r="E51" s="16">
        <f t="shared" ref="E51:P51" si="166">+E23*$C51</f>
        <v>0</v>
      </c>
      <c r="F51" s="16">
        <f t="shared" si="166"/>
        <v>0</v>
      </c>
      <c r="G51" s="16">
        <f t="shared" si="166"/>
        <v>0</v>
      </c>
      <c r="H51" s="16">
        <f t="shared" si="166"/>
        <v>0</v>
      </c>
      <c r="I51" s="16">
        <f t="shared" si="166"/>
        <v>0</v>
      </c>
      <c r="J51" s="16">
        <f t="shared" si="166"/>
        <v>0</v>
      </c>
      <c r="K51" s="16">
        <f t="shared" si="166"/>
        <v>0</v>
      </c>
      <c r="L51" s="16">
        <f t="shared" si="166"/>
        <v>0</v>
      </c>
      <c r="M51" s="16">
        <f t="shared" si="166"/>
        <v>0</v>
      </c>
      <c r="N51" s="16">
        <f t="shared" si="166"/>
        <v>0</v>
      </c>
      <c r="O51" s="16">
        <f t="shared" si="166"/>
        <v>0</v>
      </c>
      <c r="P51" s="16">
        <f t="shared" si="166"/>
        <v>0</v>
      </c>
      <c r="R51" s="16">
        <f t="shared" si="138"/>
        <v>0</v>
      </c>
      <c r="S51" s="16">
        <f t="shared" si="138"/>
        <v>0</v>
      </c>
      <c r="T51" s="16">
        <f t="shared" si="138"/>
        <v>0</v>
      </c>
      <c r="U51" s="16">
        <f t="shared" si="138"/>
        <v>0</v>
      </c>
      <c r="V51" s="16">
        <f t="shared" si="138"/>
        <v>0</v>
      </c>
      <c r="W51" s="16">
        <f t="shared" si="138"/>
        <v>0</v>
      </c>
      <c r="X51" s="16">
        <f t="shared" si="138"/>
        <v>0</v>
      </c>
      <c r="Y51" s="16">
        <f t="shared" si="138"/>
        <v>0</v>
      </c>
      <c r="Z51" s="16">
        <f t="shared" si="138"/>
        <v>0</v>
      </c>
      <c r="AA51" s="16">
        <f t="shared" si="138"/>
        <v>0</v>
      </c>
      <c r="AB51" s="16">
        <f t="shared" si="138"/>
        <v>0</v>
      </c>
      <c r="AC51" s="16">
        <f t="shared" si="138"/>
        <v>0</v>
      </c>
      <c r="AE51" s="16">
        <f t="shared" ref="AE51:AP51" si="167">+AE23*$C51</f>
        <v>0</v>
      </c>
      <c r="AF51" s="16">
        <f t="shared" si="167"/>
        <v>0</v>
      </c>
      <c r="AG51" s="16">
        <f t="shared" si="167"/>
        <v>0</v>
      </c>
      <c r="AH51" s="16">
        <f t="shared" si="167"/>
        <v>0</v>
      </c>
      <c r="AI51" s="16">
        <f t="shared" si="167"/>
        <v>0</v>
      </c>
      <c r="AJ51" s="16">
        <f t="shared" si="167"/>
        <v>0</v>
      </c>
      <c r="AK51" s="16">
        <f t="shared" si="167"/>
        <v>0</v>
      </c>
      <c r="AL51" s="16">
        <f t="shared" si="167"/>
        <v>0</v>
      </c>
      <c r="AM51" s="16">
        <f t="shared" si="167"/>
        <v>0</v>
      </c>
      <c r="AN51" s="16">
        <f t="shared" si="167"/>
        <v>0</v>
      </c>
      <c r="AO51" s="16">
        <f t="shared" si="167"/>
        <v>0</v>
      </c>
      <c r="AP51" s="16">
        <f t="shared" si="167"/>
        <v>0</v>
      </c>
      <c r="AR51" s="16">
        <f t="shared" si="140"/>
        <v>0</v>
      </c>
      <c r="AS51" s="16">
        <f t="shared" si="141"/>
        <v>0</v>
      </c>
      <c r="AT51" s="16">
        <f t="shared" si="142"/>
        <v>0</v>
      </c>
      <c r="AU51" s="16">
        <f t="shared" si="143"/>
        <v>0</v>
      </c>
      <c r="AV51" s="16">
        <f t="shared" si="144"/>
        <v>0</v>
      </c>
      <c r="AX51" s="16">
        <f t="shared" si="145"/>
        <v>0</v>
      </c>
      <c r="AY51" s="16">
        <f t="shared" si="146"/>
        <v>0</v>
      </c>
      <c r="AZ51" s="16">
        <f t="shared" si="147"/>
        <v>0</v>
      </c>
      <c r="BA51" s="16">
        <f t="shared" si="148"/>
        <v>0</v>
      </c>
      <c r="BB51" s="16">
        <f t="shared" si="149"/>
        <v>0</v>
      </c>
      <c r="BD51" s="16">
        <f t="shared" si="150"/>
        <v>0</v>
      </c>
      <c r="BE51" s="16">
        <f t="shared" si="151"/>
        <v>0</v>
      </c>
      <c r="BF51" s="16">
        <f t="shared" si="152"/>
        <v>0</v>
      </c>
      <c r="BG51" s="16">
        <f t="shared" si="153"/>
        <v>0</v>
      </c>
      <c r="BH51" s="16">
        <f t="shared" si="154"/>
        <v>0</v>
      </c>
      <c r="BJ51" s="16">
        <f t="shared" si="155"/>
        <v>0</v>
      </c>
      <c r="BK51" s="16">
        <f t="shared" ref="BK51:BN51" si="168">+BK23*$C51</f>
        <v>0</v>
      </c>
      <c r="BL51" s="16">
        <f t="shared" si="168"/>
        <v>0</v>
      </c>
      <c r="BM51" s="16">
        <f t="shared" si="168"/>
        <v>0</v>
      </c>
      <c r="BN51" s="16">
        <f t="shared" si="168"/>
        <v>0</v>
      </c>
      <c r="BP51" s="16">
        <f t="shared" si="157"/>
        <v>0</v>
      </c>
      <c r="BQ51" s="16">
        <f t="shared" ref="BQ51:BT51" si="169">+BQ23*$C51</f>
        <v>0</v>
      </c>
      <c r="BR51" s="16">
        <f t="shared" si="169"/>
        <v>0</v>
      </c>
      <c r="BS51" s="16">
        <f t="shared" si="169"/>
        <v>0</v>
      </c>
      <c r="BT51" s="16">
        <f t="shared" si="169"/>
        <v>0</v>
      </c>
      <c r="BV51" s="16">
        <f t="shared" si="159"/>
        <v>0</v>
      </c>
      <c r="BW51" s="16">
        <f t="shared" ref="BW51:BZ51" si="170">+BW23*$C51</f>
        <v>0</v>
      </c>
      <c r="BX51" s="16">
        <f t="shared" si="170"/>
        <v>0</v>
      </c>
      <c r="BY51" s="16">
        <f t="shared" si="170"/>
        <v>0</v>
      </c>
      <c r="BZ51" s="16">
        <f t="shared" si="170"/>
        <v>0</v>
      </c>
    </row>
    <row r="52" spans="1:78" s="16" customFormat="1" x14ac:dyDescent="0.25">
      <c r="B52" s="23" t="str">
        <f t="shared" si="136"/>
        <v>Customer4</v>
      </c>
      <c r="C52" s="25">
        <f>+C51</f>
        <v>0</v>
      </c>
      <c r="E52" s="16">
        <f t="shared" ref="E52:P52" si="171">+E24*$C52</f>
        <v>0</v>
      </c>
      <c r="F52" s="16">
        <f t="shared" si="171"/>
        <v>0</v>
      </c>
      <c r="G52" s="16">
        <f t="shared" si="171"/>
        <v>0</v>
      </c>
      <c r="H52" s="16">
        <f t="shared" si="171"/>
        <v>0</v>
      </c>
      <c r="I52" s="16">
        <f t="shared" si="171"/>
        <v>0</v>
      </c>
      <c r="J52" s="16">
        <f t="shared" si="171"/>
        <v>0</v>
      </c>
      <c r="K52" s="16">
        <f t="shared" si="171"/>
        <v>0</v>
      </c>
      <c r="L52" s="16">
        <f t="shared" si="171"/>
        <v>0</v>
      </c>
      <c r="M52" s="16">
        <f t="shared" si="171"/>
        <v>0</v>
      </c>
      <c r="N52" s="16">
        <f t="shared" si="171"/>
        <v>0</v>
      </c>
      <c r="O52" s="16">
        <f t="shared" si="171"/>
        <v>0</v>
      </c>
      <c r="P52" s="16">
        <f t="shared" si="171"/>
        <v>0</v>
      </c>
      <c r="R52" s="16">
        <f t="shared" si="138"/>
        <v>0</v>
      </c>
      <c r="S52" s="16">
        <f t="shared" si="138"/>
        <v>0</v>
      </c>
      <c r="T52" s="16">
        <f t="shared" si="138"/>
        <v>0</v>
      </c>
      <c r="U52" s="16">
        <f t="shared" si="138"/>
        <v>0</v>
      </c>
      <c r="V52" s="16">
        <f t="shared" si="138"/>
        <v>0</v>
      </c>
      <c r="W52" s="16">
        <f t="shared" si="138"/>
        <v>0</v>
      </c>
      <c r="X52" s="16">
        <f t="shared" si="138"/>
        <v>0</v>
      </c>
      <c r="Y52" s="16">
        <f t="shared" si="138"/>
        <v>0</v>
      </c>
      <c r="Z52" s="16">
        <f t="shared" si="138"/>
        <v>0</v>
      </c>
      <c r="AA52" s="16">
        <f t="shared" si="138"/>
        <v>0</v>
      </c>
      <c r="AB52" s="16">
        <f t="shared" si="138"/>
        <v>0</v>
      </c>
      <c r="AC52" s="16">
        <f t="shared" si="138"/>
        <v>0</v>
      </c>
      <c r="AE52" s="16">
        <f t="shared" ref="AE52:AP52" si="172">+AE24*$C52</f>
        <v>0</v>
      </c>
      <c r="AF52" s="16">
        <f t="shared" si="172"/>
        <v>0</v>
      </c>
      <c r="AG52" s="16">
        <f t="shared" si="172"/>
        <v>0</v>
      </c>
      <c r="AH52" s="16">
        <f t="shared" si="172"/>
        <v>0</v>
      </c>
      <c r="AI52" s="16">
        <f t="shared" si="172"/>
        <v>0</v>
      </c>
      <c r="AJ52" s="16">
        <f t="shared" si="172"/>
        <v>0</v>
      </c>
      <c r="AK52" s="16">
        <f t="shared" si="172"/>
        <v>0</v>
      </c>
      <c r="AL52" s="16">
        <f t="shared" si="172"/>
        <v>0</v>
      </c>
      <c r="AM52" s="16">
        <f t="shared" si="172"/>
        <v>0</v>
      </c>
      <c r="AN52" s="16">
        <f t="shared" si="172"/>
        <v>0</v>
      </c>
      <c r="AO52" s="16">
        <f t="shared" si="172"/>
        <v>0</v>
      </c>
      <c r="AP52" s="16">
        <f t="shared" si="172"/>
        <v>0</v>
      </c>
      <c r="AR52" s="16">
        <f t="shared" si="140"/>
        <v>0</v>
      </c>
      <c r="AS52" s="16">
        <f t="shared" si="141"/>
        <v>0</v>
      </c>
      <c r="AT52" s="16">
        <f t="shared" si="142"/>
        <v>0</v>
      </c>
      <c r="AU52" s="16">
        <f t="shared" si="143"/>
        <v>0</v>
      </c>
      <c r="AV52" s="16">
        <f t="shared" si="144"/>
        <v>0</v>
      </c>
      <c r="AX52" s="16">
        <f t="shared" si="145"/>
        <v>0</v>
      </c>
      <c r="AY52" s="16">
        <f t="shared" si="146"/>
        <v>0</v>
      </c>
      <c r="AZ52" s="16">
        <f t="shared" si="147"/>
        <v>0</v>
      </c>
      <c r="BA52" s="16">
        <f t="shared" si="148"/>
        <v>0</v>
      </c>
      <c r="BB52" s="16">
        <f t="shared" si="149"/>
        <v>0</v>
      </c>
      <c r="BD52" s="16">
        <f t="shared" si="150"/>
        <v>0</v>
      </c>
      <c r="BE52" s="16">
        <f t="shared" si="151"/>
        <v>0</v>
      </c>
      <c r="BF52" s="16">
        <f t="shared" si="152"/>
        <v>0</v>
      </c>
      <c r="BG52" s="16">
        <f t="shared" si="153"/>
        <v>0</v>
      </c>
      <c r="BH52" s="16">
        <f t="shared" si="154"/>
        <v>0</v>
      </c>
      <c r="BJ52" s="16">
        <f t="shared" si="155"/>
        <v>0</v>
      </c>
      <c r="BK52" s="16">
        <f t="shared" ref="BK52:BN52" si="173">+BK24*$C52</f>
        <v>0</v>
      </c>
      <c r="BL52" s="16">
        <f t="shared" si="173"/>
        <v>0</v>
      </c>
      <c r="BM52" s="16">
        <f t="shared" si="173"/>
        <v>0</v>
      </c>
      <c r="BN52" s="16">
        <f t="shared" si="173"/>
        <v>0</v>
      </c>
      <c r="BP52" s="16">
        <f t="shared" si="157"/>
        <v>0</v>
      </c>
      <c r="BQ52" s="16">
        <f t="shared" ref="BQ52:BT52" si="174">+BQ24*$C52</f>
        <v>0</v>
      </c>
      <c r="BR52" s="16">
        <f t="shared" si="174"/>
        <v>0</v>
      </c>
      <c r="BS52" s="16">
        <f t="shared" si="174"/>
        <v>0</v>
      </c>
      <c r="BT52" s="16">
        <f t="shared" si="174"/>
        <v>0</v>
      </c>
      <c r="BV52" s="16">
        <f t="shared" si="159"/>
        <v>0</v>
      </c>
      <c r="BW52" s="16">
        <f t="shared" ref="BW52:BZ52" si="175">+BW24*$C52</f>
        <v>0</v>
      </c>
      <c r="BX52" s="16">
        <f t="shared" si="175"/>
        <v>0</v>
      </c>
      <c r="BY52" s="16">
        <f t="shared" si="175"/>
        <v>0</v>
      </c>
      <c r="BZ52" s="16">
        <f t="shared" si="175"/>
        <v>0</v>
      </c>
    </row>
    <row r="53" spans="1:78" s="16" customFormat="1" x14ac:dyDescent="0.25">
      <c r="B53" s="23" t="str">
        <f t="shared" si="136"/>
        <v>Customer5</v>
      </c>
      <c r="C53" s="25"/>
      <c r="E53" s="16">
        <f t="shared" ref="E53:P53" si="176">+E25*$C53</f>
        <v>0</v>
      </c>
      <c r="F53" s="16">
        <f t="shared" si="176"/>
        <v>0</v>
      </c>
      <c r="G53" s="16">
        <f t="shared" si="176"/>
        <v>0</v>
      </c>
      <c r="H53" s="16">
        <f t="shared" si="176"/>
        <v>0</v>
      </c>
      <c r="I53" s="16">
        <f t="shared" si="176"/>
        <v>0</v>
      </c>
      <c r="J53" s="16">
        <f t="shared" si="176"/>
        <v>0</v>
      </c>
      <c r="K53" s="16">
        <f t="shared" si="176"/>
        <v>0</v>
      </c>
      <c r="L53" s="16">
        <f t="shared" si="176"/>
        <v>0</v>
      </c>
      <c r="M53" s="16">
        <f t="shared" si="176"/>
        <v>0</v>
      </c>
      <c r="N53" s="16">
        <f t="shared" si="176"/>
        <v>0</v>
      </c>
      <c r="O53" s="16">
        <f t="shared" si="176"/>
        <v>0</v>
      </c>
      <c r="P53" s="16">
        <f t="shared" si="176"/>
        <v>0</v>
      </c>
      <c r="R53" s="16">
        <f t="shared" si="138"/>
        <v>0</v>
      </c>
      <c r="S53" s="16">
        <f t="shared" si="138"/>
        <v>0</v>
      </c>
      <c r="T53" s="16">
        <f t="shared" si="138"/>
        <v>0</v>
      </c>
      <c r="U53" s="16">
        <f t="shared" si="138"/>
        <v>0</v>
      </c>
      <c r="V53" s="16">
        <f t="shared" si="138"/>
        <v>0</v>
      </c>
      <c r="W53" s="16">
        <f t="shared" si="138"/>
        <v>0</v>
      </c>
      <c r="X53" s="16">
        <f t="shared" si="138"/>
        <v>0</v>
      </c>
      <c r="Y53" s="16">
        <f t="shared" si="138"/>
        <v>0</v>
      </c>
      <c r="Z53" s="16">
        <f t="shared" si="138"/>
        <v>0</v>
      </c>
      <c r="AA53" s="16">
        <f t="shared" si="138"/>
        <v>0</v>
      </c>
      <c r="AB53" s="16">
        <f t="shared" si="138"/>
        <v>0</v>
      </c>
      <c r="AC53" s="16">
        <f t="shared" si="138"/>
        <v>0</v>
      </c>
      <c r="AE53" s="16">
        <f t="shared" ref="AE53:AP53" si="177">+AE25*$C53</f>
        <v>0</v>
      </c>
      <c r="AF53" s="16">
        <f t="shared" si="177"/>
        <v>0</v>
      </c>
      <c r="AG53" s="16">
        <f t="shared" si="177"/>
        <v>0</v>
      </c>
      <c r="AH53" s="16">
        <f t="shared" si="177"/>
        <v>0</v>
      </c>
      <c r="AI53" s="16">
        <f t="shared" si="177"/>
        <v>0</v>
      </c>
      <c r="AJ53" s="16">
        <f t="shared" si="177"/>
        <v>0</v>
      </c>
      <c r="AK53" s="16">
        <f t="shared" si="177"/>
        <v>0</v>
      </c>
      <c r="AL53" s="16">
        <f t="shared" si="177"/>
        <v>0</v>
      </c>
      <c r="AM53" s="16">
        <f t="shared" si="177"/>
        <v>0</v>
      </c>
      <c r="AN53" s="16">
        <f t="shared" si="177"/>
        <v>0</v>
      </c>
      <c r="AO53" s="16">
        <f t="shared" si="177"/>
        <v>0</v>
      </c>
      <c r="AP53" s="16">
        <f t="shared" si="177"/>
        <v>0</v>
      </c>
      <c r="AR53" s="16">
        <f t="shared" si="140"/>
        <v>0</v>
      </c>
      <c r="AS53" s="16">
        <f t="shared" si="141"/>
        <v>0</v>
      </c>
      <c r="AT53" s="16">
        <f t="shared" si="142"/>
        <v>0</v>
      </c>
      <c r="AU53" s="16">
        <f t="shared" si="143"/>
        <v>0</v>
      </c>
      <c r="AV53" s="16">
        <f t="shared" si="144"/>
        <v>0</v>
      </c>
      <c r="AX53" s="16">
        <f t="shared" si="145"/>
        <v>0</v>
      </c>
      <c r="AY53" s="16">
        <f t="shared" si="146"/>
        <v>0</v>
      </c>
      <c r="AZ53" s="16">
        <f t="shared" si="147"/>
        <v>0</v>
      </c>
      <c r="BA53" s="16">
        <f t="shared" si="148"/>
        <v>0</v>
      </c>
      <c r="BB53" s="16">
        <f t="shared" si="149"/>
        <v>0</v>
      </c>
      <c r="BD53" s="16">
        <f t="shared" si="150"/>
        <v>0</v>
      </c>
      <c r="BE53" s="16">
        <f t="shared" si="151"/>
        <v>0</v>
      </c>
      <c r="BF53" s="16">
        <f t="shared" si="152"/>
        <v>0</v>
      </c>
      <c r="BG53" s="16">
        <f t="shared" si="153"/>
        <v>0</v>
      </c>
      <c r="BH53" s="16">
        <f t="shared" si="154"/>
        <v>0</v>
      </c>
      <c r="BJ53" s="16">
        <f t="shared" si="155"/>
        <v>0</v>
      </c>
      <c r="BK53" s="16">
        <f t="shared" ref="BK53:BN53" si="178">+BK25*$C53</f>
        <v>0</v>
      </c>
      <c r="BL53" s="16">
        <f t="shared" si="178"/>
        <v>0</v>
      </c>
      <c r="BM53" s="16">
        <f t="shared" si="178"/>
        <v>0</v>
      </c>
      <c r="BN53" s="16">
        <f t="shared" si="178"/>
        <v>0</v>
      </c>
      <c r="BP53" s="16">
        <f t="shared" si="157"/>
        <v>0</v>
      </c>
      <c r="BQ53" s="16">
        <f t="shared" ref="BQ53:BT53" si="179">+BQ25*$C53</f>
        <v>0</v>
      </c>
      <c r="BR53" s="16">
        <f t="shared" si="179"/>
        <v>0</v>
      </c>
      <c r="BS53" s="16">
        <f t="shared" si="179"/>
        <v>0</v>
      </c>
      <c r="BT53" s="16">
        <f t="shared" si="179"/>
        <v>0</v>
      </c>
      <c r="BV53" s="16">
        <f t="shared" si="159"/>
        <v>0</v>
      </c>
      <c r="BW53" s="16">
        <f t="shared" ref="BW53:BZ53" si="180">+BW25*$C53</f>
        <v>0</v>
      </c>
      <c r="BX53" s="16">
        <f t="shared" si="180"/>
        <v>0</v>
      </c>
      <c r="BY53" s="16">
        <f t="shared" si="180"/>
        <v>0</v>
      </c>
      <c r="BZ53" s="16">
        <f t="shared" si="180"/>
        <v>0</v>
      </c>
    </row>
    <row r="54" spans="1:78" s="16" customFormat="1" x14ac:dyDescent="0.25">
      <c r="B54" s="23" t="str">
        <f t="shared" si="136"/>
        <v>Customer6</v>
      </c>
      <c r="C54" s="25"/>
      <c r="E54" s="16">
        <f t="shared" ref="E54:P54" si="181">+E26*$C54</f>
        <v>0</v>
      </c>
      <c r="F54" s="16">
        <f t="shared" si="181"/>
        <v>0</v>
      </c>
      <c r="G54" s="16">
        <f t="shared" si="181"/>
        <v>0</v>
      </c>
      <c r="H54" s="16">
        <f t="shared" si="181"/>
        <v>0</v>
      </c>
      <c r="I54" s="16">
        <f t="shared" si="181"/>
        <v>0</v>
      </c>
      <c r="J54" s="16">
        <f t="shared" si="181"/>
        <v>0</v>
      </c>
      <c r="K54" s="16">
        <f t="shared" si="181"/>
        <v>0</v>
      </c>
      <c r="L54" s="16">
        <f t="shared" si="181"/>
        <v>0</v>
      </c>
      <c r="M54" s="16">
        <f t="shared" si="181"/>
        <v>0</v>
      </c>
      <c r="N54" s="16">
        <f t="shared" si="181"/>
        <v>0</v>
      </c>
      <c r="O54" s="16">
        <f t="shared" si="181"/>
        <v>0</v>
      </c>
      <c r="P54" s="16">
        <f t="shared" si="181"/>
        <v>0</v>
      </c>
      <c r="R54" s="16">
        <f t="shared" si="138"/>
        <v>0</v>
      </c>
      <c r="S54" s="16">
        <f t="shared" si="138"/>
        <v>0</v>
      </c>
      <c r="T54" s="16">
        <f t="shared" si="138"/>
        <v>0</v>
      </c>
      <c r="U54" s="16">
        <f t="shared" si="138"/>
        <v>0</v>
      </c>
      <c r="V54" s="16">
        <f t="shared" si="138"/>
        <v>0</v>
      </c>
      <c r="W54" s="16">
        <f t="shared" si="138"/>
        <v>0</v>
      </c>
      <c r="X54" s="16">
        <f t="shared" si="138"/>
        <v>0</v>
      </c>
      <c r="Y54" s="16">
        <f t="shared" si="138"/>
        <v>0</v>
      </c>
      <c r="Z54" s="16">
        <f t="shared" si="138"/>
        <v>0</v>
      </c>
      <c r="AA54" s="16">
        <f t="shared" si="138"/>
        <v>0</v>
      </c>
      <c r="AB54" s="16">
        <f t="shared" si="138"/>
        <v>0</v>
      </c>
      <c r="AC54" s="16">
        <f t="shared" si="138"/>
        <v>0</v>
      </c>
      <c r="AE54" s="16">
        <f t="shared" ref="AE54:AP54" si="182">+AE26*$C54</f>
        <v>0</v>
      </c>
      <c r="AF54" s="16">
        <f t="shared" si="182"/>
        <v>0</v>
      </c>
      <c r="AG54" s="16">
        <f t="shared" si="182"/>
        <v>0</v>
      </c>
      <c r="AH54" s="16">
        <f t="shared" si="182"/>
        <v>0</v>
      </c>
      <c r="AI54" s="16">
        <f t="shared" si="182"/>
        <v>0</v>
      </c>
      <c r="AJ54" s="16">
        <f t="shared" si="182"/>
        <v>0</v>
      </c>
      <c r="AK54" s="16">
        <f t="shared" si="182"/>
        <v>0</v>
      </c>
      <c r="AL54" s="16">
        <f t="shared" si="182"/>
        <v>0</v>
      </c>
      <c r="AM54" s="16">
        <f t="shared" si="182"/>
        <v>0</v>
      </c>
      <c r="AN54" s="16">
        <f t="shared" si="182"/>
        <v>0</v>
      </c>
      <c r="AO54" s="16">
        <f t="shared" si="182"/>
        <v>0</v>
      </c>
      <c r="AP54" s="16">
        <f t="shared" si="182"/>
        <v>0</v>
      </c>
      <c r="AR54" s="16">
        <f t="shared" si="140"/>
        <v>0</v>
      </c>
      <c r="AS54" s="16">
        <f t="shared" si="141"/>
        <v>0</v>
      </c>
      <c r="AT54" s="16">
        <f t="shared" si="142"/>
        <v>0</v>
      </c>
      <c r="AU54" s="16">
        <f t="shared" si="143"/>
        <v>0</v>
      </c>
      <c r="AV54" s="16">
        <f t="shared" si="144"/>
        <v>0</v>
      </c>
      <c r="AX54" s="16">
        <f t="shared" si="145"/>
        <v>0</v>
      </c>
      <c r="AY54" s="16">
        <f t="shared" si="146"/>
        <v>0</v>
      </c>
      <c r="AZ54" s="16">
        <f t="shared" si="147"/>
        <v>0</v>
      </c>
      <c r="BA54" s="16">
        <f t="shared" si="148"/>
        <v>0</v>
      </c>
      <c r="BB54" s="16">
        <f t="shared" si="149"/>
        <v>0</v>
      </c>
      <c r="BD54" s="16">
        <f t="shared" si="150"/>
        <v>0</v>
      </c>
      <c r="BE54" s="16">
        <f t="shared" si="151"/>
        <v>0</v>
      </c>
      <c r="BF54" s="16">
        <f t="shared" si="152"/>
        <v>0</v>
      </c>
      <c r="BG54" s="16">
        <f t="shared" si="153"/>
        <v>0</v>
      </c>
      <c r="BH54" s="16">
        <f t="shared" si="154"/>
        <v>0</v>
      </c>
      <c r="BJ54" s="16">
        <f t="shared" si="155"/>
        <v>0</v>
      </c>
      <c r="BK54" s="16">
        <f t="shared" ref="BK54:BN54" si="183">+BK26*$C54</f>
        <v>0</v>
      </c>
      <c r="BL54" s="16">
        <f t="shared" si="183"/>
        <v>0</v>
      </c>
      <c r="BM54" s="16">
        <f t="shared" si="183"/>
        <v>0</v>
      </c>
      <c r="BN54" s="16">
        <f t="shared" si="183"/>
        <v>0</v>
      </c>
      <c r="BP54" s="16">
        <f t="shared" si="157"/>
        <v>0</v>
      </c>
      <c r="BQ54" s="16">
        <f t="shared" ref="BQ54:BT54" si="184">+BQ26*$C54</f>
        <v>0</v>
      </c>
      <c r="BR54" s="16">
        <f t="shared" si="184"/>
        <v>0</v>
      </c>
      <c r="BS54" s="16">
        <f t="shared" si="184"/>
        <v>0</v>
      </c>
      <c r="BT54" s="16">
        <f t="shared" si="184"/>
        <v>0</v>
      </c>
      <c r="BV54" s="16">
        <f t="shared" si="159"/>
        <v>0</v>
      </c>
      <c r="BW54" s="16">
        <f t="shared" ref="BW54:BZ54" si="185">+BW26*$C54</f>
        <v>0</v>
      </c>
      <c r="BX54" s="16">
        <f t="shared" si="185"/>
        <v>0</v>
      </c>
      <c r="BY54" s="16">
        <f t="shared" si="185"/>
        <v>0</v>
      </c>
      <c r="BZ54" s="16">
        <f t="shared" si="185"/>
        <v>0</v>
      </c>
    </row>
    <row r="55" spans="1:78" s="16" customFormat="1" x14ac:dyDescent="0.25">
      <c r="B55" s="23" t="str">
        <f t="shared" si="136"/>
        <v>Customer7</v>
      </c>
      <c r="C55" s="25"/>
      <c r="E55" s="16">
        <f t="shared" ref="E55:P55" si="186">+E27*$C55</f>
        <v>0</v>
      </c>
      <c r="F55" s="16">
        <f t="shared" si="186"/>
        <v>0</v>
      </c>
      <c r="G55" s="16">
        <f t="shared" si="186"/>
        <v>0</v>
      </c>
      <c r="H55" s="16">
        <f t="shared" si="186"/>
        <v>0</v>
      </c>
      <c r="I55" s="16">
        <f t="shared" si="186"/>
        <v>0</v>
      </c>
      <c r="J55" s="16">
        <f t="shared" si="186"/>
        <v>0</v>
      </c>
      <c r="K55" s="16">
        <f t="shared" si="186"/>
        <v>0</v>
      </c>
      <c r="L55" s="16">
        <f t="shared" si="186"/>
        <v>0</v>
      </c>
      <c r="M55" s="16">
        <f t="shared" si="186"/>
        <v>0</v>
      </c>
      <c r="N55" s="16">
        <f t="shared" si="186"/>
        <v>0</v>
      </c>
      <c r="O55" s="16">
        <f t="shared" si="186"/>
        <v>0</v>
      </c>
      <c r="P55" s="16">
        <f t="shared" si="186"/>
        <v>0</v>
      </c>
      <c r="R55" s="16">
        <f t="shared" si="138"/>
        <v>0</v>
      </c>
      <c r="S55" s="16">
        <f t="shared" si="138"/>
        <v>0</v>
      </c>
      <c r="T55" s="16">
        <f t="shared" si="138"/>
        <v>0</v>
      </c>
      <c r="U55" s="16">
        <f t="shared" si="138"/>
        <v>0</v>
      </c>
      <c r="V55" s="16">
        <f t="shared" si="138"/>
        <v>0</v>
      </c>
      <c r="W55" s="16">
        <f t="shared" si="138"/>
        <v>0</v>
      </c>
      <c r="X55" s="16">
        <f t="shared" si="138"/>
        <v>0</v>
      </c>
      <c r="Y55" s="16">
        <f t="shared" si="138"/>
        <v>0</v>
      </c>
      <c r="Z55" s="16">
        <f t="shared" si="138"/>
        <v>0</v>
      </c>
      <c r="AA55" s="16">
        <f t="shared" si="138"/>
        <v>0</v>
      </c>
      <c r="AB55" s="16">
        <f t="shared" si="138"/>
        <v>0</v>
      </c>
      <c r="AC55" s="16">
        <f t="shared" si="138"/>
        <v>0</v>
      </c>
      <c r="AE55" s="16">
        <f t="shared" ref="AE55:AP55" si="187">+AE27*$C55</f>
        <v>0</v>
      </c>
      <c r="AF55" s="16">
        <f t="shared" si="187"/>
        <v>0</v>
      </c>
      <c r="AG55" s="16">
        <f t="shared" si="187"/>
        <v>0</v>
      </c>
      <c r="AH55" s="16">
        <f t="shared" si="187"/>
        <v>0</v>
      </c>
      <c r="AI55" s="16">
        <f t="shared" si="187"/>
        <v>0</v>
      </c>
      <c r="AJ55" s="16">
        <f t="shared" si="187"/>
        <v>0</v>
      </c>
      <c r="AK55" s="16">
        <f t="shared" si="187"/>
        <v>0</v>
      </c>
      <c r="AL55" s="16">
        <f t="shared" si="187"/>
        <v>0</v>
      </c>
      <c r="AM55" s="16">
        <f t="shared" si="187"/>
        <v>0</v>
      </c>
      <c r="AN55" s="16">
        <f t="shared" si="187"/>
        <v>0</v>
      </c>
      <c r="AO55" s="16">
        <f t="shared" si="187"/>
        <v>0</v>
      </c>
      <c r="AP55" s="16">
        <f t="shared" si="187"/>
        <v>0</v>
      </c>
      <c r="AR55" s="16">
        <f t="shared" si="140"/>
        <v>0</v>
      </c>
      <c r="AS55" s="16">
        <f t="shared" si="141"/>
        <v>0</v>
      </c>
      <c r="AT55" s="16">
        <f t="shared" si="142"/>
        <v>0</v>
      </c>
      <c r="AU55" s="16">
        <f t="shared" si="143"/>
        <v>0</v>
      </c>
      <c r="AV55" s="16">
        <f t="shared" si="144"/>
        <v>0</v>
      </c>
      <c r="AX55" s="16">
        <f t="shared" si="145"/>
        <v>0</v>
      </c>
      <c r="AY55" s="16">
        <f t="shared" si="146"/>
        <v>0</v>
      </c>
      <c r="AZ55" s="16">
        <f t="shared" si="147"/>
        <v>0</v>
      </c>
      <c r="BA55" s="16">
        <f t="shared" si="148"/>
        <v>0</v>
      </c>
      <c r="BB55" s="16">
        <f t="shared" si="149"/>
        <v>0</v>
      </c>
      <c r="BD55" s="16">
        <f t="shared" si="150"/>
        <v>0</v>
      </c>
      <c r="BE55" s="16">
        <f t="shared" si="151"/>
        <v>0</v>
      </c>
      <c r="BF55" s="16">
        <f t="shared" si="152"/>
        <v>0</v>
      </c>
      <c r="BG55" s="16">
        <f t="shared" si="153"/>
        <v>0</v>
      </c>
      <c r="BH55" s="16">
        <f t="shared" si="154"/>
        <v>0</v>
      </c>
      <c r="BJ55" s="16">
        <f t="shared" si="155"/>
        <v>0</v>
      </c>
      <c r="BK55" s="16">
        <f t="shared" ref="BK55:BN55" si="188">+BK27*$C55</f>
        <v>0</v>
      </c>
      <c r="BL55" s="16">
        <f t="shared" si="188"/>
        <v>0</v>
      </c>
      <c r="BM55" s="16">
        <f t="shared" si="188"/>
        <v>0</v>
      </c>
      <c r="BN55" s="16">
        <f t="shared" si="188"/>
        <v>0</v>
      </c>
      <c r="BP55" s="16">
        <f t="shared" si="157"/>
        <v>0</v>
      </c>
      <c r="BQ55" s="16">
        <f t="shared" ref="BQ55" si="189">+BQ27*$C55</f>
        <v>0</v>
      </c>
      <c r="BR55" s="16">
        <f t="shared" ref="BR55:BT55" si="190">+BR27*$C55</f>
        <v>0</v>
      </c>
      <c r="BS55" s="16">
        <f t="shared" si="190"/>
        <v>0</v>
      </c>
      <c r="BT55" s="16">
        <f t="shared" si="190"/>
        <v>0</v>
      </c>
      <c r="BV55" s="16">
        <f t="shared" si="159"/>
        <v>0</v>
      </c>
      <c r="BW55" s="16">
        <f t="shared" ref="BW55:BZ55" si="191">+BW27*$C55</f>
        <v>0</v>
      </c>
      <c r="BX55" s="16">
        <f t="shared" si="191"/>
        <v>0</v>
      </c>
      <c r="BY55" s="16">
        <f t="shared" si="191"/>
        <v>0</v>
      </c>
      <c r="BZ55" s="16">
        <f t="shared" si="191"/>
        <v>0</v>
      </c>
    </row>
    <row r="56" spans="1:78" s="16" customFormat="1" x14ac:dyDescent="0.25">
      <c r="B56" s="23" t="str">
        <f t="shared" si="136"/>
        <v>Customer8</v>
      </c>
      <c r="C56" s="25"/>
      <c r="E56" s="16">
        <f t="shared" ref="E56:P56" si="192">+E28*$C56</f>
        <v>0</v>
      </c>
      <c r="F56" s="16">
        <f t="shared" si="192"/>
        <v>0</v>
      </c>
      <c r="G56" s="16">
        <f t="shared" si="192"/>
        <v>0</v>
      </c>
      <c r="H56" s="16">
        <f t="shared" si="192"/>
        <v>0</v>
      </c>
      <c r="I56" s="16">
        <f t="shared" si="192"/>
        <v>0</v>
      </c>
      <c r="J56" s="16">
        <f t="shared" si="192"/>
        <v>0</v>
      </c>
      <c r="K56" s="16">
        <f t="shared" si="192"/>
        <v>0</v>
      </c>
      <c r="L56" s="16">
        <f t="shared" si="192"/>
        <v>0</v>
      </c>
      <c r="M56" s="16">
        <f t="shared" si="192"/>
        <v>0</v>
      </c>
      <c r="N56" s="16">
        <f t="shared" si="192"/>
        <v>0</v>
      </c>
      <c r="O56" s="16">
        <f t="shared" si="192"/>
        <v>0</v>
      </c>
      <c r="P56" s="16">
        <f t="shared" si="192"/>
        <v>0</v>
      </c>
      <c r="R56" s="16">
        <f t="shared" si="138"/>
        <v>0</v>
      </c>
      <c r="S56" s="16">
        <f t="shared" si="138"/>
        <v>0</v>
      </c>
      <c r="T56" s="16">
        <f t="shared" si="138"/>
        <v>0</v>
      </c>
      <c r="U56" s="16">
        <f t="shared" si="138"/>
        <v>0</v>
      </c>
      <c r="V56" s="16">
        <f t="shared" si="138"/>
        <v>0</v>
      </c>
      <c r="W56" s="16">
        <f t="shared" si="138"/>
        <v>0</v>
      </c>
      <c r="X56" s="16">
        <f t="shared" si="138"/>
        <v>0</v>
      </c>
      <c r="Y56" s="16">
        <f t="shared" si="138"/>
        <v>0</v>
      </c>
      <c r="Z56" s="16">
        <f t="shared" si="138"/>
        <v>0</v>
      </c>
      <c r="AA56" s="16">
        <f t="shared" si="138"/>
        <v>0</v>
      </c>
      <c r="AB56" s="16">
        <f t="shared" si="138"/>
        <v>0</v>
      </c>
      <c r="AC56" s="16">
        <f t="shared" si="138"/>
        <v>0</v>
      </c>
      <c r="AE56" s="16">
        <f t="shared" ref="AE56:AP56" si="193">+AE28*$C56</f>
        <v>0</v>
      </c>
      <c r="AF56" s="16">
        <f t="shared" si="193"/>
        <v>0</v>
      </c>
      <c r="AG56" s="16">
        <f t="shared" si="193"/>
        <v>0</v>
      </c>
      <c r="AH56" s="16">
        <f t="shared" si="193"/>
        <v>0</v>
      </c>
      <c r="AI56" s="16">
        <f t="shared" si="193"/>
        <v>0</v>
      </c>
      <c r="AJ56" s="16">
        <f t="shared" si="193"/>
        <v>0</v>
      </c>
      <c r="AK56" s="16">
        <f t="shared" si="193"/>
        <v>0</v>
      </c>
      <c r="AL56" s="16">
        <f t="shared" si="193"/>
        <v>0</v>
      </c>
      <c r="AM56" s="16">
        <f t="shared" si="193"/>
        <v>0</v>
      </c>
      <c r="AN56" s="16">
        <f t="shared" si="193"/>
        <v>0</v>
      </c>
      <c r="AO56" s="16">
        <f t="shared" si="193"/>
        <v>0</v>
      </c>
      <c r="AP56" s="16">
        <f t="shared" si="193"/>
        <v>0</v>
      </c>
      <c r="AR56" s="16">
        <f t="shared" si="140"/>
        <v>0</v>
      </c>
      <c r="AS56" s="16">
        <f t="shared" si="141"/>
        <v>0</v>
      </c>
      <c r="AT56" s="16">
        <f t="shared" si="142"/>
        <v>0</v>
      </c>
      <c r="AU56" s="16">
        <f t="shared" si="143"/>
        <v>0</v>
      </c>
      <c r="AV56" s="16">
        <f t="shared" si="144"/>
        <v>0</v>
      </c>
      <c r="AX56" s="16">
        <f t="shared" si="145"/>
        <v>0</v>
      </c>
      <c r="AY56" s="16">
        <f t="shared" si="146"/>
        <v>0</v>
      </c>
      <c r="AZ56" s="16">
        <f t="shared" si="147"/>
        <v>0</v>
      </c>
      <c r="BA56" s="16">
        <f t="shared" si="148"/>
        <v>0</v>
      </c>
      <c r="BB56" s="16">
        <f t="shared" si="149"/>
        <v>0</v>
      </c>
      <c r="BD56" s="16">
        <f t="shared" si="150"/>
        <v>0</v>
      </c>
      <c r="BE56" s="16">
        <f t="shared" si="151"/>
        <v>0</v>
      </c>
      <c r="BF56" s="16">
        <f t="shared" si="152"/>
        <v>0</v>
      </c>
      <c r="BG56" s="16">
        <f t="shared" si="153"/>
        <v>0</v>
      </c>
      <c r="BH56" s="16">
        <f t="shared" si="154"/>
        <v>0</v>
      </c>
      <c r="BJ56" s="16">
        <f t="shared" si="155"/>
        <v>0</v>
      </c>
      <c r="BK56" s="16">
        <f t="shared" ref="BK56:BN56" si="194">+BK28*$C56</f>
        <v>0</v>
      </c>
      <c r="BL56" s="16">
        <f t="shared" si="194"/>
        <v>0</v>
      </c>
      <c r="BM56" s="16">
        <f t="shared" si="194"/>
        <v>0</v>
      </c>
      <c r="BN56" s="16">
        <f t="shared" si="194"/>
        <v>0</v>
      </c>
      <c r="BP56" s="16">
        <f t="shared" si="157"/>
        <v>0</v>
      </c>
      <c r="BQ56" s="16">
        <f t="shared" ref="BQ56" si="195">+BQ28*$C56</f>
        <v>0</v>
      </c>
      <c r="BR56" s="16">
        <f t="shared" ref="BR56:BT56" si="196">+BR28*$C56</f>
        <v>0</v>
      </c>
      <c r="BS56" s="16">
        <f t="shared" si="196"/>
        <v>0</v>
      </c>
      <c r="BT56" s="16">
        <f t="shared" si="196"/>
        <v>0</v>
      </c>
      <c r="BV56" s="16">
        <f t="shared" si="159"/>
        <v>0</v>
      </c>
      <c r="BW56" s="16">
        <f t="shared" ref="BW56:BZ56" si="197">+BW28*$C56</f>
        <v>0</v>
      </c>
      <c r="BX56" s="16">
        <f t="shared" si="197"/>
        <v>0</v>
      </c>
      <c r="BY56" s="16">
        <f t="shared" si="197"/>
        <v>0</v>
      </c>
      <c r="BZ56" s="16">
        <f t="shared" si="197"/>
        <v>0</v>
      </c>
    </row>
    <row r="57" spans="1:78" s="16" customFormat="1" x14ac:dyDescent="0.25">
      <c r="B57" s="23" t="str">
        <f t="shared" si="136"/>
        <v>Customer9</v>
      </c>
      <c r="C57" s="25"/>
      <c r="E57" s="16">
        <f t="shared" ref="E57:P57" si="198">+E29*$C57</f>
        <v>0</v>
      </c>
      <c r="F57" s="16">
        <f t="shared" si="198"/>
        <v>0</v>
      </c>
      <c r="G57" s="16">
        <f t="shared" si="198"/>
        <v>0</v>
      </c>
      <c r="H57" s="16">
        <f t="shared" si="198"/>
        <v>0</v>
      </c>
      <c r="I57" s="16">
        <f t="shared" si="198"/>
        <v>0</v>
      </c>
      <c r="J57" s="16">
        <f t="shared" si="198"/>
        <v>0</v>
      </c>
      <c r="K57" s="16">
        <f t="shared" si="198"/>
        <v>0</v>
      </c>
      <c r="L57" s="16">
        <f t="shared" si="198"/>
        <v>0</v>
      </c>
      <c r="M57" s="16">
        <f t="shared" si="198"/>
        <v>0</v>
      </c>
      <c r="N57" s="16">
        <f t="shared" si="198"/>
        <v>0</v>
      </c>
      <c r="O57" s="16">
        <f t="shared" si="198"/>
        <v>0</v>
      </c>
      <c r="P57" s="16">
        <f t="shared" si="198"/>
        <v>0</v>
      </c>
      <c r="R57" s="16">
        <f t="shared" si="138"/>
        <v>0</v>
      </c>
      <c r="S57" s="16">
        <f t="shared" si="138"/>
        <v>0</v>
      </c>
      <c r="T57" s="16">
        <f t="shared" si="138"/>
        <v>0</v>
      </c>
      <c r="U57" s="16">
        <f t="shared" si="138"/>
        <v>0</v>
      </c>
      <c r="V57" s="16">
        <f t="shared" si="138"/>
        <v>0</v>
      </c>
      <c r="W57" s="16">
        <f t="shared" si="138"/>
        <v>0</v>
      </c>
      <c r="X57" s="16">
        <f t="shared" si="138"/>
        <v>0</v>
      </c>
      <c r="Y57" s="16">
        <f t="shared" si="138"/>
        <v>0</v>
      </c>
      <c r="Z57" s="16">
        <f t="shared" si="138"/>
        <v>0</v>
      </c>
      <c r="AA57" s="16">
        <f t="shared" si="138"/>
        <v>0</v>
      </c>
      <c r="AB57" s="16">
        <f t="shared" si="138"/>
        <v>0</v>
      </c>
      <c r="AC57" s="16">
        <f t="shared" si="138"/>
        <v>0</v>
      </c>
      <c r="AE57" s="16">
        <f t="shared" ref="AE57:AP57" si="199">+AE29*$C57</f>
        <v>0</v>
      </c>
      <c r="AF57" s="16">
        <f t="shared" si="199"/>
        <v>0</v>
      </c>
      <c r="AG57" s="16">
        <f t="shared" si="199"/>
        <v>0</v>
      </c>
      <c r="AH57" s="16">
        <f t="shared" si="199"/>
        <v>0</v>
      </c>
      <c r="AI57" s="16">
        <f t="shared" si="199"/>
        <v>0</v>
      </c>
      <c r="AJ57" s="16">
        <f t="shared" si="199"/>
        <v>0</v>
      </c>
      <c r="AK57" s="16">
        <f t="shared" si="199"/>
        <v>0</v>
      </c>
      <c r="AL57" s="16">
        <f t="shared" si="199"/>
        <v>0</v>
      </c>
      <c r="AM57" s="16">
        <f t="shared" si="199"/>
        <v>0</v>
      </c>
      <c r="AN57" s="16">
        <f t="shared" si="199"/>
        <v>0</v>
      </c>
      <c r="AO57" s="16">
        <f t="shared" si="199"/>
        <v>0</v>
      </c>
      <c r="AP57" s="16">
        <f t="shared" si="199"/>
        <v>0</v>
      </c>
      <c r="AR57" s="16">
        <f t="shared" si="140"/>
        <v>0</v>
      </c>
      <c r="AS57" s="16">
        <f t="shared" si="141"/>
        <v>0</v>
      </c>
      <c r="AT57" s="16">
        <f t="shared" si="142"/>
        <v>0</v>
      </c>
      <c r="AU57" s="16">
        <f t="shared" si="143"/>
        <v>0</v>
      </c>
      <c r="AV57" s="16">
        <f t="shared" si="144"/>
        <v>0</v>
      </c>
      <c r="AX57" s="16">
        <f t="shared" si="145"/>
        <v>0</v>
      </c>
      <c r="AY57" s="16">
        <f t="shared" si="146"/>
        <v>0</v>
      </c>
      <c r="AZ57" s="16">
        <f t="shared" si="147"/>
        <v>0</v>
      </c>
      <c r="BA57" s="16">
        <f t="shared" si="148"/>
        <v>0</v>
      </c>
      <c r="BB57" s="16">
        <f t="shared" si="149"/>
        <v>0</v>
      </c>
      <c r="BD57" s="16">
        <f t="shared" si="150"/>
        <v>0</v>
      </c>
      <c r="BE57" s="16">
        <f t="shared" si="151"/>
        <v>0</v>
      </c>
      <c r="BF57" s="16">
        <f t="shared" si="152"/>
        <v>0</v>
      </c>
      <c r="BG57" s="16">
        <f t="shared" si="153"/>
        <v>0</v>
      </c>
      <c r="BH57" s="16">
        <f t="shared" si="154"/>
        <v>0</v>
      </c>
      <c r="BJ57" s="16">
        <f t="shared" si="155"/>
        <v>0</v>
      </c>
      <c r="BK57" s="16">
        <f t="shared" ref="BK57:BN57" si="200">+BK29*$C57</f>
        <v>0</v>
      </c>
      <c r="BL57" s="16">
        <f t="shared" si="200"/>
        <v>0</v>
      </c>
      <c r="BM57" s="16">
        <f t="shared" si="200"/>
        <v>0</v>
      </c>
      <c r="BN57" s="16">
        <f t="shared" si="200"/>
        <v>0</v>
      </c>
      <c r="BP57" s="16">
        <f t="shared" si="157"/>
        <v>0</v>
      </c>
      <c r="BQ57" s="16">
        <f t="shared" ref="BQ57" si="201">+BQ29*$C57</f>
        <v>0</v>
      </c>
      <c r="BR57" s="16">
        <f t="shared" ref="BR57:BT57" si="202">+BR29*$C57</f>
        <v>0</v>
      </c>
      <c r="BS57" s="16">
        <f t="shared" si="202"/>
        <v>0</v>
      </c>
      <c r="BT57" s="16">
        <f t="shared" si="202"/>
        <v>0</v>
      </c>
      <c r="BV57" s="16">
        <f t="shared" si="159"/>
        <v>0</v>
      </c>
      <c r="BW57" s="16">
        <f t="shared" ref="BW57:BZ57" si="203">+BW29*$C57</f>
        <v>0</v>
      </c>
      <c r="BX57" s="16">
        <f t="shared" si="203"/>
        <v>0</v>
      </c>
      <c r="BY57" s="16">
        <f t="shared" si="203"/>
        <v>0</v>
      </c>
      <c r="BZ57" s="16">
        <f t="shared" si="203"/>
        <v>0</v>
      </c>
    </row>
    <row r="58" spans="1:78" s="16" customFormat="1" x14ac:dyDescent="0.25">
      <c r="B58" s="23" t="str">
        <f t="shared" si="136"/>
        <v>Customer10</v>
      </c>
      <c r="C58" s="25"/>
      <c r="E58" s="16">
        <f t="shared" ref="E58:P58" si="204">+E30*$C58</f>
        <v>0</v>
      </c>
      <c r="F58" s="16">
        <f t="shared" si="204"/>
        <v>0</v>
      </c>
      <c r="G58" s="16">
        <f t="shared" si="204"/>
        <v>0</v>
      </c>
      <c r="H58" s="16">
        <f t="shared" si="204"/>
        <v>0</v>
      </c>
      <c r="I58" s="16">
        <f t="shared" si="204"/>
        <v>0</v>
      </c>
      <c r="J58" s="16">
        <f t="shared" si="204"/>
        <v>0</v>
      </c>
      <c r="K58" s="16">
        <f t="shared" si="204"/>
        <v>0</v>
      </c>
      <c r="L58" s="16">
        <f t="shared" si="204"/>
        <v>0</v>
      </c>
      <c r="M58" s="16">
        <f t="shared" si="204"/>
        <v>0</v>
      </c>
      <c r="N58" s="16">
        <f t="shared" si="204"/>
        <v>0</v>
      </c>
      <c r="O58" s="16">
        <f t="shared" si="204"/>
        <v>0</v>
      </c>
      <c r="P58" s="16">
        <f t="shared" si="204"/>
        <v>0</v>
      </c>
      <c r="R58" s="16">
        <f t="shared" si="138"/>
        <v>0</v>
      </c>
      <c r="S58" s="16">
        <f t="shared" si="138"/>
        <v>0</v>
      </c>
      <c r="T58" s="16">
        <f t="shared" si="138"/>
        <v>0</v>
      </c>
      <c r="U58" s="16">
        <f t="shared" si="138"/>
        <v>0</v>
      </c>
      <c r="V58" s="16">
        <f t="shared" si="138"/>
        <v>0</v>
      </c>
      <c r="W58" s="16">
        <f t="shared" si="138"/>
        <v>0</v>
      </c>
      <c r="X58" s="16">
        <f t="shared" si="138"/>
        <v>0</v>
      </c>
      <c r="Y58" s="16">
        <f t="shared" si="138"/>
        <v>0</v>
      </c>
      <c r="Z58" s="16">
        <f t="shared" si="138"/>
        <v>0</v>
      </c>
      <c r="AA58" s="16">
        <f t="shared" si="138"/>
        <v>0</v>
      </c>
      <c r="AB58" s="16">
        <f t="shared" si="138"/>
        <v>0</v>
      </c>
      <c r="AC58" s="16">
        <f t="shared" si="138"/>
        <v>0</v>
      </c>
      <c r="AE58" s="16">
        <f t="shared" ref="AE58:AP58" si="205">+AE30*$C58</f>
        <v>0</v>
      </c>
      <c r="AF58" s="16">
        <f t="shared" si="205"/>
        <v>0</v>
      </c>
      <c r="AG58" s="16">
        <f t="shared" si="205"/>
        <v>0</v>
      </c>
      <c r="AH58" s="16">
        <f t="shared" si="205"/>
        <v>0</v>
      </c>
      <c r="AI58" s="16">
        <f t="shared" si="205"/>
        <v>0</v>
      </c>
      <c r="AJ58" s="16">
        <f t="shared" si="205"/>
        <v>0</v>
      </c>
      <c r="AK58" s="16">
        <f t="shared" si="205"/>
        <v>0</v>
      </c>
      <c r="AL58" s="16">
        <f t="shared" si="205"/>
        <v>0</v>
      </c>
      <c r="AM58" s="16">
        <f t="shared" si="205"/>
        <v>0</v>
      </c>
      <c r="AN58" s="16">
        <f t="shared" si="205"/>
        <v>0</v>
      </c>
      <c r="AO58" s="16">
        <f t="shared" si="205"/>
        <v>0</v>
      </c>
      <c r="AP58" s="16">
        <f t="shared" si="205"/>
        <v>0</v>
      </c>
      <c r="AR58" s="16">
        <f t="shared" si="140"/>
        <v>0</v>
      </c>
      <c r="AS58" s="16">
        <f t="shared" si="141"/>
        <v>0</v>
      </c>
      <c r="AT58" s="16">
        <f t="shared" si="142"/>
        <v>0</v>
      </c>
      <c r="AU58" s="16">
        <f t="shared" si="143"/>
        <v>0</v>
      </c>
      <c r="AV58" s="16">
        <f t="shared" si="144"/>
        <v>0</v>
      </c>
      <c r="AX58" s="16">
        <f t="shared" si="145"/>
        <v>0</v>
      </c>
      <c r="AY58" s="16">
        <f t="shared" si="146"/>
        <v>0</v>
      </c>
      <c r="AZ58" s="16">
        <f t="shared" si="147"/>
        <v>0</v>
      </c>
      <c r="BA58" s="16">
        <f t="shared" si="148"/>
        <v>0</v>
      </c>
      <c r="BB58" s="16">
        <f t="shared" si="149"/>
        <v>0</v>
      </c>
      <c r="BD58" s="16">
        <f t="shared" si="150"/>
        <v>0</v>
      </c>
      <c r="BE58" s="16">
        <f t="shared" si="151"/>
        <v>0</v>
      </c>
      <c r="BF58" s="16">
        <f t="shared" si="152"/>
        <v>0</v>
      </c>
      <c r="BG58" s="16">
        <f t="shared" si="153"/>
        <v>0</v>
      </c>
      <c r="BH58" s="16">
        <f t="shared" si="154"/>
        <v>0</v>
      </c>
      <c r="BJ58" s="16">
        <f t="shared" si="155"/>
        <v>0</v>
      </c>
      <c r="BK58" s="16">
        <f t="shared" ref="BK58:BN58" si="206">+BK30*$C58</f>
        <v>0</v>
      </c>
      <c r="BL58" s="16">
        <f t="shared" si="206"/>
        <v>0</v>
      </c>
      <c r="BM58" s="16">
        <f t="shared" si="206"/>
        <v>0</v>
      </c>
      <c r="BN58" s="16">
        <f t="shared" si="206"/>
        <v>0</v>
      </c>
      <c r="BP58" s="16">
        <f t="shared" si="157"/>
        <v>0</v>
      </c>
      <c r="BQ58" s="16">
        <f t="shared" ref="BQ58" si="207">+BQ30*$C58</f>
        <v>0</v>
      </c>
      <c r="BR58" s="16">
        <f t="shared" ref="BR58:BT58" si="208">+BR30*$C58</f>
        <v>0</v>
      </c>
      <c r="BS58" s="16">
        <f t="shared" si="208"/>
        <v>0</v>
      </c>
      <c r="BT58" s="16">
        <f t="shared" si="208"/>
        <v>0</v>
      </c>
      <c r="BV58" s="16">
        <f t="shared" si="159"/>
        <v>0</v>
      </c>
      <c r="BW58" s="16">
        <f t="shared" ref="BW58:BZ58" si="209">+BW30*$C58</f>
        <v>0</v>
      </c>
      <c r="BX58" s="16">
        <f t="shared" si="209"/>
        <v>0</v>
      </c>
      <c r="BY58" s="16">
        <f t="shared" si="209"/>
        <v>0</v>
      </c>
      <c r="BZ58" s="16">
        <f t="shared" si="209"/>
        <v>0</v>
      </c>
    </row>
    <row r="59" spans="1:78" s="16" customFormat="1" x14ac:dyDescent="0.25">
      <c r="B59" s="23"/>
    </row>
    <row r="60" spans="1:78" s="16" customFormat="1" x14ac:dyDescent="0.25">
      <c r="B60" s="16" t="s">
        <v>224</v>
      </c>
      <c r="E60" s="17">
        <f>SUM(E49:E58)</f>
        <v>0</v>
      </c>
      <c r="F60" s="17">
        <f t="shared" ref="F60:P60" si="210">SUM(F49:F58)</f>
        <v>0</v>
      </c>
      <c r="G60" s="17">
        <f t="shared" si="210"/>
        <v>0</v>
      </c>
      <c r="H60" s="17">
        <f t="shared" si="210"/>
        <v>0</v>
      </c>
      <c r="I60" s="17">
        <f t="shared" si="210"/>
        <v>0</v>
      </c>
      <c r="J60" s="17">
        <f t="shared" si="210"/>
        <v>0</v>
      </c>
      <c r="K60" s="17">
        <f t="shared" si="210"/>
        <v>0</v>
      </c>
      <c r="L60" s="17">
        <f t="shared" si="210"/>
        <v>0</v>
      </c>
      <c r="M60" s="17">
        <f t="shared" si="210"/>
        <v>0</v>
      </c>
      <c r="N60" s="17">
        <f t="shared" si="210"/>
        <v>0</v>
      </c>
      <c r="O60" s="17">
        <f t="shared" si="210"/>
        <v>0</v>
      </c>
      <c r="P60" s="17">
        <f t="shared" si="210"/>
        <v>0</v>
      </c>
      <c r="R60" s="17">
        <f>SUM(R49:R58)</f>
        <v>0</v>
      </c>
      <c r="S60" s="17">
        <f t="shared" ref="S60:AC60" si="211">SUM(S49:S58)</f>
        <v>0</v>
      </c>
      <c r="T60" s="17">
        <f t="shared" si="211"/>
        <v>0</v>
      </c>
      <c r="U60" s="17">
        <f t="shared" si="211"/>
        <v>0</v>
      </c>
      <c r="V60" s="17">
        <f t="shared" si="211"/>
        <v>0</v>
      </c>
      <c r="W60" s="17">
        <f t="shared" si="211"/>
        <v>0</v>
      </c>
      <c r="X60" s="17">
        <f t="shared" si="211"/>
        <v>172900.00000000003</v>
      </c>
      <c r="Y60" s="17">
        <f t="shared" si="211"/>
        <v>172900.00000000003</v>
      </c>
      <c r="Z60" s="17">
        <f t="shared" si="211"/>
        <v>172900.00000000003</v>
      </c>
      <c r="AA60" s="17">
        <f t="shared" si="211"/>
        <v>198800.00000000006</v>
      </c>
      <c r="AB60" s="17">
        <f t="shared" si="211"/>
        <v>198800.00000000006</v>
      </c>
      <c r="AC60" s="17">
        <f t="shared" si="211"/>
        <v>198800.00000000006</v>
      </c>
      <c r="AE60" s="17">
        <f t="shared" ref="AE60:AP60" si="212">SUM(AE49:AE58)</f>
        <v>247170.00000000006</v>
      </c>
      <c r="AF60" s="17">
        <f t="shared" si="212"/>
        <v>247170.00000000006</v>
      </c>
      <c r="AG60" s="17">
        <f t="shared" si="212"/>
        <v>247170.00000000006</v>
      </c>
      <c r="AH60" s="17">
        <f t="shared" si="212"/>
        <v>275660.00000000012</v>
      </c>
      <c r="AI60" s="17">
        <f t="shared" si="212"/>
        <v>275660.00000000012</v>
      </c>
      <c r="AJ60" s="17">
        <f t="shared" si="212"/>
        <v>275660.00000000012</v>
      </c>
      <c r="AK60" s="17">
        <f t="shared" si="212"/>
        <v>684530.00000000023</v>
      </c>
      <c r="AL60" s="17">
        <f t="shared" si="212"/>
        <v>684530.00000000023</v>
      </c>
      <c r="AM60" s="17">
        <f t="shared" si="212"/>
        <v>684530.00000000023</v>
      </c>
      <c r="AN60" s="17">
        <f t="shared" si="212"/>
        <v>770000.00000000023</v>
      </c>
      <c r="AO60" s="17">
        <f>SUM(AO49:AO58)</f>
        <v>770000.00000000023</v>
      </c>
      <c r="AP60" s="17">
        <f t="shared" si="212"/>
        <v>770000.00000000023</v>
      </c>
      <c r="AR60" s="17">
        <f t="shared" ref="AR60:AV60" si="213">SUM(AR49:AR58)</f>
        <v>0</v>
      </c>
      <c r="AS60" s="17">
        <f t="shared" si="213"/>
        <v>0</v>
      </c>
      <c r="AT60" s="17">
        <f t="shared" si="213"/>
        <v>0</v>
      </c>
      <c r="AU60" s="17">
        <f t="shared" si="213"/>
        <v>0</v>
      </c>
      <c r="AV60" s="17">
        <f t="shared" si="213"/>
        <v>0</v>
      </c>
      <c r="AX60" s="17">
        <f t="shared" ref="AX60:BB60" si="214">SUM(AX49:AX58)</f>
        <v>1115100.0000000002</v>
      </c>
      <c r="AY60" s="17">
        <f t="shared" si="214"/>
        <v>0</v>
      </c>
      <c r="AZ60" s="17">
        <f t="shared" si="214"/>
        <v>0</v>
      </c>
      <c r="BA60" s="17">
        <f t="shared" si="214"/>
        <v>518700.00000000012</v>
      </c>
      <c r="BB60" s="17">
        <f t="shared" si="214"/>
        <v>596400.00000000023</v>
      </c>
      <c r="BD60" s="17">
        <f t="shared" ref="BD60:BH60" si="215">SUM(BD49:BD58)</f>
        <v>5932080.0000000009</v>
      </c>
      <c r="BE60" s="17">
        <f t="shared" si="215"/>
        <v>741510.00000000023</v>
      </c>
      <c r="BF60" s="17">
        <f t="shared" si="215"/>
        <v>826980.00000000035</v>
      </c>
      <c r="BG60" s="17">
        <f t="shared" si="215"/>
        <v>2053590.0000000007</v>
      </c>
      <c r="BH60" s="17">
        <f t="shared" si="215"/>
        <v>2310000.0000000009</v>
      </c>
      <c r="BJ60" s="17">
        <f t="shared" ref="BJ60:BN60" si="216">SUM(BJ49:BJ58)</f>
        <v>16760166.654000005</v>
      </c>
      <c r="BK60" s="17">
        <f t="shared" si="216"/>
        <v>2823051.0000000009</v>
      </c>
      <c r="BL60" s="17">
        <f t="shared" si="216"/>
        <v>3105102.0000000009</v>
      </c>
      <c r="BM60" s="17">
        <f t="shared" si="216"/>
        <v>5180619.5980000012</v>
      </c>
      <c r="BN60" s="17">
        <f t="shared" si="216"/>
        <v>5651394.0560000017</v>
      </c>
      <c r="BP60" s="17">
        <f t="shared" ref="BP60:BT60" si="217">SUM(BP49:BP58)</f>
        <v>35459879.62440002</v>
      </c>
      <c r="BQ60" s="17">
        <f t="shared" si="217"/>
        <v>6734385.3654000033</v>
      </c>
      <c r="BR60" s="17">
        <f t="shared" si="217"/>
        <v>7252237.2692000046</v>
      </c>
      <c r="BS60" s="17">
        <f t="shared" si="217"/>
        <v>10910756.703000005</v>
      </c>
      <c r="BT60" s="17">
        <f t="shared" si="217"/>
        <v>10562500.286800006</v>
      </c>
      <c r="BV60" s="17">
        <f t="shared" ref="BV60:BZ60" si="218">SUM(BV49:BV58)</f>
        <v>62595933.74650003</v>
      </c>
      <c r="BW60" s="17">
        <f t="shared" si="218"/>
        <v>13017404.752660006</v>
      </c>
      <c r="BX60" s="17">
        <f t="shared" si="218"/>
        <v>13822147.024840007</v>
      </c>
      <c r="BY60" s="17">
        <f t="shared" si="218"/>
        <v>17148356.460620008</v>
      </c>
      <c r="BZ60" s="17">
        <f t="shared" si="218"/>
        <v>18608025.508380011</v>
      </c>
    </row>
    <row r="61" spans="1:78" s="16" customFormat="1" x14ac:dyDescent="0.25">
      <c r="B61" s="16" t="s">
        <v>184</v>
      </c>
      <c r="E61" s="17">
        <f>+E60+E46</f>
        <v>0</v>
      </c>
      <c r="F61" s="17">
        <f t="shared" ref="F61" si="219">+F60+F46</f>
        <v>0</v>
      </c>
      <c r="G61" s="17">
        <f t="shared" ref="G61" si="220">+G60+G46</f>
        <v>0</v>
      </c>
      <c r="H61" s="17">
        <f t="shared" ref="H61" si="221">+H60+H46</f>
        <v>0</v>
      </c>
      <c r="I61" s="17">
        <f t="shared" ref="I61" si="222">+I60+I46</f>
        <v>0</v>
      </c>
      <c r="J61" s="17">
        <f t="shared" ref="J61" si="223">+J60+J46</f>
        <v>0</v>
      </c>
      <c r="K61" s="17">
        <f t="shared" ref="K61" si="224">+K60+K46</f>
        <v>0</v>
      </c>
      <c r="L61" s="17">
        <f t="shared" ref="L61" si="225">+L60+L46</f>
        <v>0</v>
      </c>
      <c r="M61" s="17">
        <f t="shared" ref="M61" si="226">+M60+M46</f>
        <v>0</v>
      </c>
      <c r="N61" s="17">
        <f t="shared" ref="N61" si="227">+N60+N46</f>
        <v>0</v>
      </c>
      <c r="O61" s="17">
        <f t="shared" ref="O61" si="228">+O60+O46</f>
        <v>0</v>
      </c>
      <c r="P61" s="17">
        <f t="shared" ref="P61" si="229">+P60+P46</f>
        <v>0</v>
      </c>
      <c r="R61" s="17">
        <f>+R60+R46</f>
        <v>0</v>
      </c>
      <c r="S61" s="17">
        <f t="shared" ref="S61:AC61" si="230">+S60+S46</f>
        <v>0</v>
      </c>
      <c r="T61" s="17">
        <f t="shared" si="230"/>
        <v>0</v>
      </c>
      <c r="U61" s="17">
        <f t="shared" si="230"/>
        <v>0</v>
      </c>
      <c r="V61" s="17">
        <f t="shared" si="230"/>
        <v>0</v>
      </c>
      <c r="W61" s="17">
        <f t="shared" si="230"/>
        <v>0</v>
      </c>
      <c r="X61" s="17">
        <f t="shared" si="230"/>
        <v>420500.00000000012</v>
      </c>
      <c r="Y61" s="17">
        <f t="shared" si="230"/>
        <v>172900.00000000003</v>
      </c>
      <c r="Z61" s="17">
        <f t="shared" si="230"/>
        <v>172900.00000000003</v>
      </c>
      <c r="AA61" s="17">
        <f t="shared" si="230"/>
        <v>446200.00000000012</v>
      </c>
      <c r="AB61" s="17">
        <f t="shared" si="230"/>
        <v>198800.00000000006</v>
      </c>
      <c r="AC61" s="17">
        <f t="shared" si="230"/>
        <v>198800.00000000006</v>
      </c>
      <c r="AE61" s="17">
        <f t="shared" ref="AE61:AP61" si="231">+AE60+AE46</f>
        <v>478170.00000000012</v>
      </c>
      <c r="AF61" s="17">
        <f t="shared" si="231"/>
        <v>247170.00000000006</v>
      </c>
      <c r="AG61" s="17">
        <f t="shared" si="231"/>
        <v>247170.00000000006</v>
      </c>
      <c r="AH61" s="17">
        <f t="shared" si="231"/>
        <v>506660.00000000023</v>
      </c>
      <c r="AI61" s="17">
        <f t="shared" si="231"/>
        <v>275660.00000000012</v>
      </c>
      <c r="AJ61" s="17">
        <f t="shared" si="231"/>
        <v>275660.00000000012</v>
      </c>
      <c r="AK61" s="17">
        <f t="shared" si="231"/>
        <v>1460130.0000000005</v>
      </c>
      <c r="AL61" s="17">
        <f t="shared" si="231"/>
        <v>684530.00000000023</v>
      </c>
      <c r="AM61" s="17">
        <f t="shared" si="231"/>
        <v>684530.00000000023</v>
      </c>
      <c r="AN61" s="17">
        <f t="shared" si="231"/>
        <v>1545400.0000000005</v>
      </c>
      <c r="AO61" s="17">
        <f>+AO60+AO46</f>
        <v>770000.00000000023</v>
      </c>
      <c r="AP61" s="17">
        <f t="shared" si="231"/>
        <v>770000.00000000023</v>
      </c>
      <c r="AR61" s="17">
        <f t="shared" ref="AR61:AV61" si="232">+AR60+AR46</f>
        <v>0</v>
      </c>
      <c r="AS61" s="17">
        <f t="shared" si="232"/>
        <v>0</v>
      </c>
      <c r="AT61" s="17">
        <f t="shared" si="232"/>
        <v>0</v>
      </c>
      <c r="AU61" s="17">
        <f t="shared" si="232"/>
        <v>0</v>
      </c>
      <c r="AV61" s="17">
        <f t="shared" si="232"/>
        <v>0</v>
      </c>
      <c r="AX61" s="17">
        <f t="shared" ref="AX61:BB61" si="233">+AX60+AX46</f>
        <v>1610100.0000000005</v>
      </c>
      <c r="AY61" s="17">
        <f t="shared" si="233"/>
        <v>0</v>
      </c>
      <c r="AZ61" s="17">
        <f t="shared" si="233"/>
        <v>0</v>
      </c>
      <c r="BA61" s="17">
        <f t="shared" si="233"/>
        <v>766300.00000000023</v>
      </c>
      <c r="BB61" s="17">
        <f t="shared" si="233"/>
        <v>843800.00000000023</v>
      </c>
      <c r="BD61" s="17">
        <f t="shared" ref="BD61:BH61" si="234">+BD60+BD46</f>
        <v>7945080.0000000019</v>
      </c>
      <c r="BE61" s="17">
        <f t="shared" si="234"/>
        <v>972510.00000000035</v>
      </c>
      <c r="BF61" s="17">
        <f t="shared" si="234"/>
        <v>1057980.0000000005</v>
      </c>
      <c r="BG61" s="17">
        <f t="shared" si="234"/>
        <v>2829190.0000000009</v>
      </c>
      <c r="BH61" s="17">
        <f t="shared" si="234"/>
        <v>3085400.0000000009</v>
      </c>
      <c r="BJ61" s="17">
        <f t="shared" ref="BJ61:BN61" si="235">+BJ60+BJ46</f>
        <v>21102408.954000007</v>
      </c>
      <c r="BK61" s="17">
        <f t="shared" si="235"/>
        <v>3585351.0000000014</v>
      </c>
      <c r="BL61" s="17">
        <f t="shared" si="235"/>
        <v>3867402.0000000014</v>
      </c>
      <c r="BM61" s="17">
        <f t="shared" si="235"/>
        <v>6589382.9980000015</v>
      </c>
      <c r="BN61" s="17">
        <f t="shared" si="235"/>
        <v>7060272.9560000021</v>
      </c>
      <c r="BP61" s="17">
        <f t="shared" ref="BP61:BT61" si="236">+BP60+BP46</f>
        <v>42619541.584400021</v>
      </c>
      <c r="BQ61" s="17">
        <f t="shared" si="236"/>
        <v>8133985.1054000035</v>
      </c>
      <c r="BR61" s="17">
        <f t="shared" si="236"/>
        <v>8651837.0092000049</v>
      </c>
      <c r="BS61" s="17">
        <f t="shared" si="236"/>
        <v>13091010.443000007</v>
      </c>
      <c r="BT61" s="17">
        <f t="shared" si="236"/>
        <v>12742709.026800007</v>
      </c>
      <c r="BV61" s="17">
        <f t="shared" ref="BV61:BZ61" si="237">+BV60+BV46</f>
        <v>72431494.00850004</v>
      </c>
      <c r="BW61" s="17">
        <f t="shared" si="237"/>
        <v>15192383.866660006</v>
      </c>
      <c r="BX61" s="17">
        <f t="shared" si="237"/>
        <v>15997126.138840009</v>
      </c>
      <c r="BY61" s="17">
        <f t="shared" si="237"/>
        <v>19891227.232620008</v>
      </c>
      <c r="BZ61" s="17">
        <f t="shared" si="237"/>
        <v>21350756.770380013</v>
      </c>
    </row>
    <row r="62" spans="1:78" s="16" customFormat="1" x14ac:dyDescent="0.25"/>
    <row r="63" spans="1:78" s="16" customFormat="1" x14ac:dyDescent="0.25">
      <c r="A63" s="19" t="s">
        <v>185</v>
      </c>
    </row>
    <row r="64" spans="1:78" s="16" customFormat="1" x14ac:dyDescent="0.25">
      <c r="B64" s="50" t="s">
        <v>226</v>
      </c>
      <c r="C64" s="22"/>
    </row>
    <row r="65" spans="2:78" s="16" customFormat="1" x14ac:dyDescent="0.25">
      <c r="B65" s="23" t="s">
        <v>229</v>
      </c>
      <c r="C65" s="22"/>
      <c r="E65" s="31">
        <f>+Production!E77</f>
        <v>150</v>
      </c>
      <c r="F65" s="31">
        <f>+Production!F77</f>
        <v>150</v>
      </c>
      <c r="G65" s="31">
        <f>+Production!G77</f>
        <v>150</v>
      </c>
      <c r="H65" s="31">
        <f>+Production!H77</f>
        <v>150</v>
      </c>
      <c r="I65" s="31">
        <f>+Production!I77</f>
        <v>150</v>
      </c>
      <c r="J65" s="31">
        <f>+Production!J77</f>
        <v>150</v>
      </c>
      <c r="K65" s="31">
        <f>+Production!K77</f>
        <v>150</v>
      </c>
      <c r="L65" s="31">
        <f>+Production!L77</f>
        <v>150</v>
      </c>
      <c r="M65" s="31">
        <f>+Production!M77</f>
        <v>150</v>
      </c>
      <c r="N65" s="31">
        <f>+Production!N77</f>
        <v>150</v>
      </c>
      <c r="O65" s="31">
        <f>+Production!O77</f>
        <v>150</v>
      </c>
      <c r="P65" s="31">
        <f>+Production!P77</f>
        <v>150</v>
      </c>
      <c r="R65" s="31">
        <f>+Production!R77</f>
        <v>150</v>
      </c>
      <c r="S65" s="31">
        <f>+Production!S77</f>
        <v>150</v>
      </c>
      <c r="T65" s="31">
        <f>+Production!T77</f>
        <v>150</v>
      </c>
      <c r="U65" s="31">
        <f>+Production!U77</f>
        <v>150</v>
      </c>
      <c r="V65" s="31">
        <f>+Production!V77</f>
        <v>150</v>
      </c>
      <c r="W65" s="31">
        <f>+Production!W77</f>
        <v>150</v>
      </c>
      <c r="X65" s="31">
        <f>+Production!X77</f>
        <v>150</v>
      </c>
      <c r="Y65" s="31">
        <f>+Production!Y77</f>
        <v>150</v>
      </c>
      <c r="Z65" s="31">
        <f>+Production!Z77</f>
        <v>150</v>
      </c>
      <c r="AA65" s="31">
        <f>+Production!AA77</f>
        <v>150</v>
      </c>
      <c r="AB65" s="31">
        <f>+Production!AB77</f>
        <v>150</v>
      </c>
      <c r="AC65" s="31">
        <f>+Production!AC77</f>
        <v>150</v>
      </c>
      <c r="AE65" s="31">
        <f>+Production!AE77</f>
        <v>150</v>
      </c>
      <c r="AF65" s="31">
        <f>+Production!AF77</f>
        <v>150</v>
      </c>
      <c r="AG65" s="31">
        <f>+Production!AG77</f>
        <v>150</v>
      </c>
      <c r="AH65" s="31">
        <f>+Production!AH77</f>
        <v>150</v>
      </c>
      <c r="AI65" s="31">
        <f>+Production!AI77</f>
        <v>150</v>
      </c>
      <c r="AJ65" s="31">
        <f>+Production!AJ77</f>
        <v>150</v>
      </c>
      <c r="AK65" s="31">
        <f>+Production!AK77</f>
        <v>150</v>
      </c>
      <c r="AL65" s="31">
        <f>+Production!AL77</f>
        <v>150</v>
      </c>
      <c r="AM65" s="31">
        <f>+Production!AM77</f>
        <v>150</v>
      </c>
      <c r="AN65" s="31">
        <f>+Production!AN77</f>
        <v>150</v>
      </c>
      <c r="AO65" s="31">
        <f>+Production!AO77</f>
        <v>150</v>
      </c>
      <c r="AP65" s="31">
        <f>+Production!AP77</f>
        <v>150</v>
      </c>
      <c r="AR65" s="31">
        <f>IF(AR18=0,0,+SUM(AR66:AR77)/AR18)</f>
        <v>0</v>
      </c>
      <c r="AS65" s="31">
        <f t="shared" ref="AS65:AV65" si="238">IF(AS18=0,0,+SUM(AS66:AS77)/AS18)</f>
        <v>0</v>
      </c>
      <c r="AT65" s="31">
        <f t="shared" si="238"/>
        <v>0</v>
      </c>
      <c r="AU65" s="31">
        <f t="shared" si="238"/>
        <v>0</v>
      </c>
      <c r="AV65" s="31">
        <f t="shared" si="238"/>
        <v>0</v>
      </c>
      <c r="AX65" s="31">
        <f t="shared" ref="AX65:BB65" si="239">IF(AX18=0,0,+SUM(AX66:AX77)/AX18)</f>
        <v>225.03030303030303</v>
      </c>
      <c r="AY65" s="31">
        <f t="shared" si="239"/>
        <v>0</v>
      </c>
      <c r="AZ65" s="31">
        <f t="shared" si="239"/>
        <v>0</v>
      </c>
      <c r="BA65" s="31">
        <f t="shared" si="239"/>
        <v>277.22132471728594</v>
      </c>
      <c r="BB65" s="31">
        <f t="shared" si="239"/>
        <v>150</v>
      </c>
      <c r="BD65" s="31">
        <f t="shared" ref="BD65:BH65" si="240">IF(BD18=0,0,+SUM(BD66:BD77)/BD18)</f>
        <v>150</v>
      </c>
      <c r="BE65" s="31">
        <f t="shared" si="240"/>
        <v>150</v>
      </c>
      <c r="BF65" s="31">
        <f t="shared" si="240"/>
        <v>150</v>
      </c>
      <c r="BG65" s="31">
        <f t="shared" si="240"/>
        <v>150</v>
      </c>
      <c r="BH65" s="31">
        <f t="shared" si="240"/>
        <v>150</v>
      </c>
      <c r="BJ65" s="31">
        <f>IF(BJ18=0,0,+SUM(BJ66:BJ77)/BJ18)</f>
        <v>150</v>
      </c>
      <c r="BK65" s="31">
        <f>+Production!AP77</f>
        <v>150</v>
      </c>
      <c r="BL65" s="31">
        <f>+Production!BK77</f>
        <v>150</v>
      </c>
      <c r="BM65" s="31">
        <f>+Production!BL77</f>
        <v>150</v>
      </c>
      <c r="BN65" s="31">
        <f>+Production!BM77</f>
        <v>150</v>
      </c>
      <c r="BP65" s="31">
        <f>IF(BP18=0,0,+SUM(BP66:BP77)/BP18)</f>
        <v>150</v>
      </c>
      <c r="BQ65" s="31">
        <f>+Production!BN77</f>
        <v>150</v>
      </c>
      <c r="BR65" s="31">
        <f>+Production!BQ77</f>
        <v>150</v>
      </c>
      <c r="BS65" s="31">
        <f>+Production!BR77</f>
        <v>150</v>
      </c>
      <c r="BT65" s="31">
        <f>+Production!BS77</f>
        <v>150</v>
      </c>
      <c r="BV65" s="31">
        <f>IF(BV18=0,0,+SUM(BV66:BV77)/BV18)</f>
        <v>150</v>
      </c>
      <c r="BW65" s="31">
        <f>+Production!BT77</f>
        <v>150</v>
      </c>
      <c r="BX65" s="31">
        <f>+Production!BW77</f>
        <v>150</v>
      </c>
      <c r="BY65" s="31">
        <f>+Production!BX77</f>
        <v>150</v>
      </c>
      <c r="BZ65" s="31">
        <f>+Production!BY77</f>
        <v>150</v>
      </c>
    </row>
    <row r="66" spans="2:78" s="16" customFormat="1" x14ac:dyDescent="0.25">
      <c r="B66" s="23" t="str">
        <f>+B7</f>
        <v>Professional</v>
      </c>
      <c r="C66" s="24"/>
      <c r="E66" s="16">
        <f>+E7*E$65</f>
        <v>0</v>
      </c>
      <c r="F66" s="16">
        <f t="shared" ref="F66:P66" si="241">+F7*F$65</f>
        <v>0</v>
      </c>
      <c r="G66" s="16">
        <f t="shared" si="241"/>
        <v>0</v>
      </c>
      <c r="H66" s="16">
        <f t="shared" si="241"/>
        <v>0</v>
      </c>
      <c r="I66" s="16">
        <f t="shared" si="241"/>
        <v>0</v>
      </c>
      <c r="J66" s="16">
        <f t="shared" si="241"/>
        <v>0</v>
      </c>
      <c r="K66" s="16">
        <f t="shared" si="241"/>
        <v>0</v>
      </c>
      <c r="L66" s="16">
        <f t="shared" si="241"/>
        <v>0</v>
      </c>
      <c r="M66" s="16">
        <f t="shared" si="241"/>
        <v>0</v>
      </c>
      <c r="N66" s="16">
        <f t="shared" si="241"/>
        <v>0</v>
      </c>
      <c r="O66" s="16">
        <f t="shared" si="241"/>
        <v>0</v>
      </c>
      <c r="P66" s="16">
        <f t="shared" si="241"/>
        <v>0</v>
      </c>
      <c r="R66" s="16">
        <f t="shared" ref="R66:AC66" si="242">+R7*R$65</f>
        <v>0</v>
      </c>
      <c r="S66" s="16">
        <f t="shared" si="242"/>
        <v>0</v>
      </c>
      <c r="T66" s="16">
        <f t="shared" si="242"/>
        <v>0</v>
      </c>
      <c r="U66" s="16">
        <f t="shared" si="242"/>
        <v>0</v>
      </c>
      <c r="V66" s="16">
        <f t="shared" si="242"/>
        <v>0</v>
      </c>
      <c r="W66" s="16">
        <f t="shared" si="242"/>
        <v>0</v>
      </c>
      <c r="X66" s="16">
        <f>+X7*X$65</f>
        <v>28200</v>
      </c>
      <c r="Y66" s="16">
        <f t="shared" si="242"/>
        <v>0</v>
      </c>
      <c r="Z66" s="16">
        <f t="shared" si="242"/>
        <v>0</v>
      </c>
      <c r="AA66" s="16">
        <f t="shared" si="242"/>
        <v>28050</v>
      </c>
      <c r="AB66" s="16">
        <f t="shared" si="242"/>
        <v>0</v>
      </c>
      <c r="AC66" s="16">
        <f t="shared" si="242"/>
        <v>0</v>
      </c>
      <c r="AE66" s="16">
        <f t="shared" ref="AE66:AP66" si="243">+AE7*AE$65</f>
        <v>0</v>
      </c>
      <c r="AF66" s="16">
        <f t="shared" si="243"/>
        <v>0</v>
      </c>
      <c r="AG66" s="16">
        <f t="shared" si="243"/>
        <v>0</v>
      </c>
      <c r="AH66" s="16">
        <f t="shared" si="243"/>
        <v>0</v>
      </c>
      <c r="AI66" s="16">
        <f t="shared" si="243"/>
        <v>0</v>
      </c>
      <c r="AJ66" s="16">
        <f t="shared" si="243"/>
        <v>0</v>
      </c>
      <c r="AK66" s="16">
        <f t="shared" si="243"/>
        <v>61950</v>
      </c>
      <c r="AL66" s="16">
        <f t="shared" si="243"/>
        <v>0</v>
      </c>
      <c r="AM66" s="16">
        <f t="shared" si="243"/>
        <v>0</v>
      </c>
      <c r="AN66" s="16">
        <f t="shared" si="243"/>
        <v>61800.000000000015</v>
      </c>
      <c r="AO66" s="16">
        <f t="shared" si="243"/>
        <v>0</v>
      </c>
      <c r="AP66" s="16">
        <f t="shared" si="243"/>
        <v>0</v>
      </c>
      <c r="AR66" s="16">
        <f t="shared" ref="AR66:AR76" si="244">SUM(E66:P66)</f>
        <v>0</v>
      </c>
      <c r="AS66" s="16">
        <f t="shared" ref="AS66:AS76" si="245">SUM(E66:G66)</f>
        <v>0</v>
      </c>
      <c r="AT66" s="16">
        <f t="shared" ref="AT66:AT76" si="246">SUM(H66:J66)</f>
        <v>0</v>
      </c>
      <c r="AU66" s="16">
        <f t="shared" ref="AU66:AU76" si="247">SUM(K66:M66)</f>
        <v>0</v>
      </c>
      <c r="AV66" s="16">
        <f t="shared" ref="AV66:AV76" si="248">SUM(N66:P66)</f>
        <v>0</v>
      </c>
      <c r="AX66" s="16">
        <f t="shared" ref="AX66:AX76" si="249">SUM(R66:AC66)</f>
        <v>56250</v>
      </c>
      <c r="AY66" s="16">
        <f t="shared" ref="AY66:AY76" si="250">SUM(R66:T66)</f>
        <v>0</v>
      </c>
      <c r="AZ66" s="16">
        <f t="shared" ref="AZ66:AZ76" si="251">SUM(U66:W66)</f>
        <v>0</v>
      </c>
      <c r="BA66" s="16">
        <f t="shared" ref="BA66:BA76" si="252">SUM(X66:Z66)</f>
        <v>28200</v>
      </c>
      <c r="BB66" s="16">
        <f t="shared" ref="BB66:BB76" si="253">SUM(AA66:AC66)</f>
        <v>28050</v>
      </c>
      <c r="BD66" s="16">
        <f t="shared" ref="BD66:BD76" si="254">SUM(AE66:AP66)</f>
        <v>123750.00000000001</v>
      </c>
      <c r="BE66" s="16">
        <f t="shared" ref="BE66:BE76" si="255">SUM(AE66:AG66)</f>
        <v>0</v>
      </c>
      <c r="BF66" s="16">
        <f t="shared" ref="BF66:BF76" si="256">SUM(AH66:AJ66)</f>
        <v>0</v>
      </c>
      <c r="BG66" s="16">
        <f t="shared" ref="BG66:BG76" si="257">SUM(AK66:AM66)</f>
        <v>61950</v>
      </c>
      <c r="BH66" s="16">
        <f t="shared" ref="BH66:BH76" si="258">SUM(AN66:AP66)</f>
        <v>61800.000000000015</v>
      </c>
      <c r="BJ66" s="16">
        <f t="shared" ref="BJ66:BJ76" si="259">SUM(BK66:BN66)</f>
        <v>204686.625</v>
      </c>
      <c r="BK66" s="16">
        <f t="shared" ref="BK66:BN66" si="260">+BK7*BK$65</f>
        <v>0</v>
      </c>
      <c r="BL66" s="16">
        <f t="shared" si="260"/>
        <v>0</v>
      </c>
      <c r="BM66" s="16">
        <f t="shared" si="260"/>
        <v>102300</v>
      </c>
      <c r="BN66" s="16">
        <f t="shared" si="260"/>
        <v>102386.62500000001</v>
      </c>
      <c r="BP66" s="16">
        <f t="shared" ref="BP66:BP76" si="261">SUM(BQ66:BT66)</f>
        <v>304466.25000000012</v>
      </c>
      <c r="BQ66" s="16">
        <f t="shared" ref="BQ66:BT66" si="262">+BQ7*BQ$65</f>
        <v>0</v>
      </c>
      <c r="BR66" s="16">
        <f t="shared" si="262"/>
        <v>0</v>
      </c>
      <c r="BS66" s="16">
        <f t="shared" si="262"/>
        <v>152250</v>
      </c>
      <c r="BT66" s="16">
        <f t="shared" si="262"/>
        <v>152216.25000000009</v>
      </c>
      <c r="BV66" s="16">
        <f t="shared" ref="BV66:BV76" si="263">SUM(BW66:BZ66)</f>
        <v>339195.36750000017</v>
      </c>
      <c r="BW66" s="16">
        <f t="shared" ref="BW66:BZ66" si="264">+BW7*BW$65</f>
        <v>0</v>
      </c>
      <c r="BX66" s="16">
        <f t="shared" si="264"/>
        <v>0</v>
      </c>
      <c r="BY66" s="16">
        <f t="shared" si="264"/>
        <v>169650</v>
      </c>
      <c r="BZ66" s="16">
        <f t="shared" si="264"/>
        <v>169545.36750000017</v>
      </c>
    </row>
    <row r="67" spans="2:78" s="16" customFormat="1" x14ac:dyDescent="0.25">
      <c r="B67" s="23" t="str">
        <f t="shared" ref="B67:B75" si="265">+B8</f>
        <v>PST</v>
      </c>
      <c r="C67" s="24"/>
      <c r="E67" s="16">
        <f t="shared" ref="E67:P76" si="266">+E8*E$65</f>
        <v>0</v>
      </c>
      <c r="F67" s="16">
        <f t="shared" si="266"/>
        <v>0</v>
      </c>
      <c r="G67" s="16">
        <f t="shared" si="266"/>
        <v>0</v>
      </c>
      <c r="H67" s="16">
        <f t="shared" si="266"/>
        <v>0</v>
      </c>
      <c r="I67" s="16">
        <f t="shared" si="266"/>
        <v>0</v>
      </c>
      <c r="J67" s="16">
        <f t="shared" si="266"/>
        <v>0</v>
      </c>
      <c r="K67" s="16">
        <f t="shared" si="266"/>
        <v>0</v>
      </c>
      <c r="L67" s="16">
        <f t="shared" si="266"/>
        <v>0</v>
      </c>
      <c r="M67" s="16">
        <f t="shared" si="266"/>
        <v>0</v>
      </c>
      <c r="N67" s="16">
        <f t="shared" si="266"/>
        <v>0</v>
      </c>
      <c r="O67" s="16">
        <f t="shared" si="266"/>
        <v>0</v>
      </c>
      <c r="P67" s="16">
        <f t="shared" si="266"/>
        <v>0</v>
      </c>
      <c r="R67" s="16">
        <f t="shared" ref="R67:AC67" si="267">+R8*R$65</f>
        <v>0</v>
      </c>
      <c r="S67" s="16">
        <f t="shared" si="267"/>
        <v>0</v>
      </c>
      <c r="T67" s="16">
        <f t="shared" si="267"/>
        <v>0</v>
      </c>
      <c r="U67" s="16">
        <f t="shared" si="267"/>
        <v>0</v>
      </c>
      <c r="V67" s="16">
        <f t="shared" si="267"/>
        <v>0</v>
      </c>
      <c r="W67" s="16">
        <f t="shared" si="267"/>
        <v>0</v>
      </c>
      <c r="X67" s="16">
        <f>+X8*X$65</f>
        <v>157500.00000000003</v>
      </c>
      <c r="Y67" s="16">
        <f t="shared" si="267"/>
        <v>0</v>
      </c>
      <c r="Z67" s="16">
        <f t="shared" si="267"/>
        <v>0</v>
      </c>
      <c r="AA67" s="16">
        <f t="shared" si="267"/>
        <v>157500.00000000003</v>
      </c>
      <c r="AB67" s="16">
        <f t="shared" si="267"/>
        <v>0</v>
      </c>
      <c r="AC67" s="16">
        <f t="shared" si="267"/>
        <v>0</v>
      </c>
      <c r="AE67" s="16">
        <f t="shared" ref="AE67:AP67" si="268">+AE8*AE$65</f>
        <v>173250.00000000006</v>
      </c>
      <c r="AF67" s="16">
        <f t="shared" si="268"/>
        <v>0</v>
      </c>
      <c r="AG67" s="16">
        <f t="shared" si="268"/>
        <v>0</v>
      </c>
      <c r="AH67" s="16">
        <f t="shared" si="268"/>
        <v>173250.00000000006</v>
      </c>
      <c r="AI67" s="16">
        <f t="shared" si="268"/>
        <v>0</v>
      </c>
      <c r="AJ67" s="16">
        <f t="shared" si="268"/>
        <v>0</v>
      </c>
      <c r="AK67" s="16">
        <f t="shared" si="268"/>
        <v>519750.00000000023</v>
      </c>
      <c r="AL67" s="16">
        <f t="shared" si="268"/>
        <v>0</v>
      </c>
      <c r="AM67" s="16">
        <f t="shared" si="268"/>
        <v>0</v>
      </c>
      <c r="AN67" s="16">
        <f t="shared" si="268"/>
        <v>519750.00000000023</v>
      </c>
      <c r="AO67" s="16">
        <f t="shared" si="268"/>
        <v>0</v>
      </c>
      <c r="AP67" s="16">
        <f t="shared" si="268"/>
        <v>0</v>
      </c>
      <c r="AR67" s="16">
        <f t="shared" si="244"/>
        <v>0</v>
      </c>
      <c r="AS67" s="16">
        <f t="shared" si="245"/>
        <v>0</v>
      </c>
      <c r="AT67" s="16">
        <f t="shared" si="246"/>
        <v>0</v>
      </c>
      <c r="AU67" s="16">
        <f t="shared" si="247"/>
        <v>0</v>
      </c>
      <c r="AV67" s="16">
        <f t="shared" si="248"/>
        <v>0</v>
      </c>
      <c r="AX67" s="16">
        <f t="shared" si="249"/>
        <v>315000.00000000006</v>
      </c>
      <c r="AY67" s="16">
        <f t="shared" si="250"/>
        <v>0</v>
      </c>
      <c r="AZ67" s="16">
        <f t="shared" si="251"/>
        <v>0</v>
      </c>
      <c r="BA67" s="16">
        <f t="shared" si="252"/>
        <v>157500.00000000003</v>
      </c>
      <c r="BB67" s="16">
        <f t="shared" si="253"/>
        <v>157500.00000000003</v>
      </c>
      <c r="BD67" s="16">
        <f t="shared" si="254"/>
        <v>1386000.0000000005</v>
      </c>
      <c r="BE67" s="16">
        <f t="shared" si="255"/>
        <v>173250.00000000006</v>
      </c>
      <c r="BF67" s="16">
        <f t="shared" si="256"/>
        <v>173250.00000000006</v>
      </c>
      <c r="BG67" s="16">
        <f t="shared" si="257"/>
        <v>519750.00000000023</v>
      </c>
      <c r="BH67" s="16">
        <f t="shared" si="258"/>
        <v>519750.00000000023</v>
      </c>
      <c r="BJ67" s="16">
        <f t="shared" si="259"/>
        <v>3051995.100000001</v>
      </c>
      <c r="BK67" s="16">
        <f t="shared" ref="BK67:BN67" si="269">+BK8*BK$65</f>
        <v>571725.00000000023</v>
      </c>
      <c r="BL67" s="16">
        <f t="shared" si="269"/>
        <v>571725.00000000023</v>
      </c>
      <c r="BM67" s="16">
        <f t="shared" si="269"/>
        <v>954272.55000000028</v>
      </c>
      <c r="BN67" s="16">
        <f t="shared" si="269"/>
        <v>954272.55000000028</v>
      </c>
      <c r="BP67" s="16">
        <f t="shared" si="261"/>
        <v>5065280.2200000025</v>
      </c>
      <c r="BQ67" s="16">
        <f t="shared" ref="BQ67:BT67" si="270">+BQ8*BQ$65</f>
        <v>1049699.8050000004</v>
      </c>
      <c r="BR67" s="16">
        <f t="shared" si="270"/>
        <v>1049699.8050000004</v>
      </c>
      <c r="BS67" s="16">
        <f t="shared" si="270"/>
        <v>1482940.3050000009</v>
      </c>
      <c r="BT67" s="16">
        <f t="shared" si="270"/>
        <v>1482940.3050000009</v>
      </c>
      <c r="BV67" s="16">
        <f t="shared" si="263"/>
        <v>7037474.8290000036</v>
      </c>
      <c r="BW67" s="16">
        <f t="shared" ref="BW67:BZ67" si="271">+BW8*BW$65</f>
        <v>1631234.335500001</v>
      </c>
      <c r="BX67" s="16">
        <f t="shared" si="271"/>
        <v>1631234.335500001</v>
      </c>
      <c r="BY67" s="16">
        <f t="shared" si="271"/>
        <v>1887503.0790000011</v>
      </c>
      <c r="BZ67" s="16">
        <f t="shared" si="271"/>
        <v>1887503.0790000011</v>
      </c>
    </row>
    <row r="68" spans="2:78" s="16" customFormat="1" x14ac:dyDescent="0.25">
      <c r="B68" s="23" t="str">
        <f t="shared" si="265"/>
        <v>Future years</v>
      </c>
      <c r="C68" s="24"/>
      <c r="E68" s="16">
        <f t="shared" si="266"/>
        <v>0</v>
      </c>
      <c r="F68" s="16">
        <f t="shared" si="266"/>
        <v>0</v>
      </c>
      <c r="G68" s="16">
        <f t="shared" si="266"/>
        <v>0</v>
      </c>
      <c r="H68" s="16">
        <f t="shared" si="266"/>
        <v>0</v>
      </c>
      <c r="I68" s="16">
        <f t="shared" si="266"/>
        <v>0</v>
      </c>
      <c r="J68" s="16">
        <f t="shared" si="266"/>
        <v>0</v>
      </c>
      <c r="K68" s="16">
        <f t="shared" si="266"/>
        <v>0</v>
      </c>
      <c r="L68" s="16">
        <f t="shared" si="266"/>
        <v>0</v>
      </c>
      <c r="M68" s="16">
        <f t="shared" si="266"/>
        <v>0</v>
      </c>
      <c r="N68" s="16">
        <f t="shared" si="266"/>
        <v>0</v>
      </c>
      <c r="O68" s="16">
        <f t="shared" si="266"/>
        <v>0</v>
      </c>
      <c r="P68" s="16">
        <f t="shared" si="266"/>
        <v>0</v>
      </c>
      <c r="R68" s="16">
        <f t="shared" ref="R68:AC68" si="272">+R9*R$65</f>
        <v>0</v>
      </c>
      <c r="S68" s="16">
        <f t="shared" si="272"/>
        <v>0</v>
      </c>
      <c r="T68" s="16">
        <f t="shared" si="272"/>
        <v>0</v>
      </c>
      <c r="U68" s="16">
        <f t="shared" si="272"/>
        <v>0</v>
      </c>
      <c r="V68" s="16">
        <f t="shared" si="272"/>
        <v>0</v>
      </c>
      <c r="W68" s="16">
        <f t="shared" si="272"/>
        <v>0</v>
      </c>
      <c r="X68" s="16">
        <f t="shared" si="272"/>
        <v>0</v>
      </c>
      <c r="Y68" s="16">
        <f t="shared" si="272"/>
        <v>0</v>
      </c>
      <c r="Z68" s="16">
        <f t="shared" si="272"/>
        <v>0</v>
      </c>
      <c r="AA68" s="16">
        <f t="shared" si="272"/>
        <v>0</v>
      </c>
      <c r="AB68" s="16">
        <f t="shared" si="272"/>
        <v>0</v>
      </c>
      <c r="AC68" s="16">
        <f t="shared" si="272"/>
        <v>0</v>
      </c>
      <c r="AE68" s="16">
        <f t="shared" ref="AE68:AP68" si="273">+AE9*AE$65</f>
        <v>0</v>
      </c>
      <c r="AF68" s="16">
        <f t="shared" si="273"/>
        <v>0</v>
      </c>
      <c r="AG68" s="16">
        <f t="shared" si="273"/>
        <v>0</v>
      </c>
      <c r="AH68" s="16">
        <f t="shared" si="273"/>
        <v>0</v>
      </c>
      <c r="AI68" s="16">
        <f t="shared" si="273"/>
        <v>0</v>
      </c>
      <c r="AJ68" s="16">
        <f t="shared" si="273"/>
        <v>0</v>
      </c>
      <c r="AK68" s="16">
        <f t="shared" si="273"/>
        <v>0</v>
      </c>
      <c r="AL68" s="16">
        <f t="shared" si="273"/>
        <v>0</v>
      </c>
      <c r="AM68" s="16">
        <f t="shared" si="273"/>
        <v>0</v>
      </c>
      <c r="AN68" s="16">
        <f t="shared" si="273"/>
        <v>0</v>
      </c>
      <c r="AO68" s="16">
        <f t="shared" si="273"/>
        <v>0</v>
      </c>
      <c r="AP68" s="16">
        <f t="shared" si="273"/>
        <v>0</v>
      </c>
      <c r="AR68" s="16">
        <f t="shared" si="244"/>
        <v>0</v>
      </c>
      <c r="AS68" s="16">
        <f t="shared" si="245"/>
        <v>0</v>
      </c>
      <c r="AT68" s="16">
        <f t="shared" si="246"/>
        <v>0</v>
      </c>
      <c r="AU68" s="16">
        <f t="shared" si="247"/>
        <v>0</v>
      </c>
      <c r="AV68" s="16">
        <f t="shared" si="248"/>
        <v>0</v>
      </c>
      <c r="AX68" s="16">
        <f t="shared" si="249"/>
        <v>0</v>
      </c>
      <c r="AY68" s="16">
        <f t="shared" si="250"/>
        <v>0</v>
      </c>
      <c r="AZ68" s="16">
        <f t="shared" si="251"/>
        <v>0</v>
      </c>
      <c r="BA68" s="16">
        <f t="shared" si="252"/>
        <v>0</v>
      </c>
      <c r="BB68" s="16">
        <f t="shared" si="253"/>
        <v>0</v>
      </c>
      <c r="BD68" s="16">
        <f t="shared" si="254"/>
        <v>0</v>
      </c>
      <c r="BE68" s="16">
        <f t="shared" si="255"/>
        <v>0</v>
      </c>
      <c r="BF68" s="16">
        <f t="shared" si="256"/>
        <v>0</v>
      </c>
      <c r="BG68" s="16">
        <f t="shared" si="257"/>
        <v>0</v>
      </c>
      <c r="BH68" s="16">
        <f t="shared" si="258"/>
        <v>0</v>
      </c>
      <c r="BJ68" s="16">
        <f t="shared" si="259"/>
        <v>0</v>
      </c>
      <c r="BK68" s="16">
        <f t="shared" ref="BK68:BN68" si="274">+BK9*BK$65</f>
        <v>0</v>
      </c>
      <c r="BL68" s="16">
        <f t="shared" si="274"/>
        <v>0</v>
      </c>
      <c r="BM68" s="16">
        <f t="shared" si="274"/>
        <v>0</v>
      </c>
      <c r="BN68" s="16">
        <f t="shared" si="274"/>
        <v>0</v>
      </c>
      <c r="BP68" s="16">
        <f t="shared" si="261"/>
        <v>0</v>
      </c>
      <c r="BQ68" s="16">
        <f t="shared" ref="BQ68:BT68" si="275">+BQ9*BQ$65</f>
        <v>0</v>
      </c>
      <c r="BR68" s="16">
        <f t="shared" si="275"/>
        <v>0</v>
      </c>
      <c r="BS68" s="16">
        <f t="shared" si="275"/>
        <v>0</v>
      </c>
      <c r="BT68" s="16">
        <f t="shared" si="275"/>
        <v>0</v>
      </c>
      <c r="BV68" s="16">
        <f t="shared" si="263"/>
        <v>0</v>
      </c>
      <c r="BW68" s="16">
        <f t="shared" ref="BW68:BZ68" si="276">+BW9*BW$65</f>
        <v>0</v>
      </c>
      <c r="BX68" s="16">
        <f t="shared" si="276"/>
        <v>0</v>
      </c>
      <c r="BY68" s="16">
        <f t="shared" si="276"/>
        <v>0</v>
      </c>
      <c r="BZ68" s="16">
        <f t="shared" si="276"/>
        <v>0</v>
      </c>
    </row>
    <row r="69" spans="2:78" s="16" customFormat="1" x14ac:dyDescent="0.25">
      <c r="B69" s="23" t="str">
        <f t="shared" si="265"/>
        <v>Customer4</v>
      </c>
      <c r="C69" s="24"/>
      <c r="E69" s="16">
        <f t="shared" si="266"/>
        <v>0</v>
      </c>
      <c r="F69" s="16">
        <f t="shared" si="266"/>
        <v>0</v>
      </c>
      <c r="G69" s="16">
        <f t="shared" si="266"/>
        <v>0</v>
      </c>
      <c r="H69" s="16">
        <f t="shared" si="266"/>
        <v>0</v>
      </c>
      <c r="I69" s="16">
        <f t="shared" si="266"/>
        <v>0</v>
      </c>
      <c r="J69" s="16">
        <f t="shared" si="266"/>
        <v>0</v>
      </c>
      <c r="K69" s="16">
        <f t="shared" si="266"/>
        <v>0</v>
      </c>
      <c r="L69" s="16">
        <f t="shared" si="266"/>
        <v>0</v>
      </c>
      <c r="M69" s="16">
        <f t="shared" si="266"/>
        <v>0</v>
      </c>
      <c r="N69" s="16">
        <f t="shared" si="266"/>
        <v>0</v>
      </c>
      <c r="O69" s="16">
        <f t="shared" si="266"/>
        <v>0</v>
      </c>
      <c r="P69" s="16">
        <f t="shared" si="266"/>
        <v>0</v>
      </c>
      <c r="R69" s="16">
        <f t="shared" ref="R69:AC69" si="277">+R10*R$65</f>
        <v>0</v>
      </c>
      <c r="S69" s="16">
        <f t="shared" si="277"/>
        <v>0</v>
      </c>
      <c r="T69" s="16">
        <f t="shared" si="277"/>
        <v>0</v>
      </c>
      <c r="U69" s="16">
        <f t="shared" si="277"/>
        <v>0</v>
      </c>
      <c r="V69" s="16">
        <f>+X7*V$65</f>
        <v>28200</v>
      </c>
      <c r="W69" s="16">
        <f t="shared" si="277"/>
        <v>0</v>
      </c>
      <c r="X69" s="16">
        <f t="shared" si="277"/>
        <v>0</v>
      </c>
      <c r="Y69" s="16">
        <f t="shared" si="277"/>
        <v>0</v>
      </c>
      <c r="Z69" s="16">
        <f t="shared" si="277"/>
        <v>0</v>
      </c>
      <c r="AA69" s="16">
        <f t="shared" si="277"/>
        <v>0</v>
      </c>
      <c r="AB69" s="16">
        <f t="shared" si="277"/>
        <v>0</v>
      </c>
      <c r="AC69" s="16">
        <f t="shared" si="277"/>
        <v>0</v>
      </c>
      <c r="AE69" s="16">
        <f t="shared" ref="AE69:AP69" si="278">+AE10*AE$65</f>
        <v>0</v>
      </c>
      <c r="AF69" s="16">
        <f t="shared" si="278"/>
        <v>0</v>
      </c>
      <c r="AG69" s="16">
        <f t="shared" si="278"/>
        <v>0</v>
      </c>
      <c r="AH69" s="16">
        <f t="shared" si="278"/>
        <v>0</v>
      </c>
      <c r="AI69" s="16">
        <f t="shared" si="278"/>
        <v>0</v>
      </c>
      <c r="AJ69" s="16">
        <f t="shared" si="278"/>
        <v>0</v>
      </c>
      <c r="AK69" s="16">
        <f t="shared" si="278"/>
        <v>0</v>
      </c>
      <c r="AL69" s="16">
        <f t="shared" si="278"/>
        <v>0</v>
      </c>
      <c r="AM69" s="16">
        <f t="shared" si="278"/>
        <v>0</v>
      </c>
      <c r="AN69" s="16">
        <f t="shared" si="278"/>
        <v>0</v>
      </c>
      <c r="AO69" s="16">
        <f t="shared" si="278"/>
        <v>0</v>
      </c>
      <c r="AP69" s="16">
        <f t="shared" si="278"/>
        <v>0</v>
      </c>
      <c r="AR69" s="16">
        <f t="shared" si="244"/>
        <v>0</v>
      </c>
      <c r="AS69" s="16">
        <f t="shared" si="245"/>
        <v>0</v>
      </c>
      <c r="AT69" s="16">
        <f t="shared" si="246"/>
        <v>0</v>
      </c>
      <c r="AU69" s="16">
        <f t="shared" si="247"/>
        <v>0</v>
      </c>
      <c r="AV69" s="16">
        <f t="shared" si="248"/>
        <v>0</v>
      </c>
      <c r="AX69" s="16">
        <f t="shared" si="249"/>
        <v>28200</v>
      </c>
      <c r="AY69" s="16">
        <f t="shared" si="250"/>
        <v>0</v>
      </c>
      <c r="AZ69" s="16">
        <f t="shared" si="251"/>
        <v>28200</v>
      </c>
      <c r="BA69" s="16">
        <f t="shared" si="252"/>
        <v>0</v>
      </c>
      <c r="BB69" s="16">
        <f t="shared" si="253"/>
        <v>0</v>
      </c>
      <c r="BD69" s="16">
        <f t="shared" si="254"/>
        <v>0</v>
      </c>
      <c r="BE69" s="16">
        <f t="shared" si="255"/>
        <v>0</v>
      </c>
      <c r="BF69" s="16">
        <f t="shared" si="256"/>
        <v>0</v>
      </c>
      <c r="BG69" s="16">
        <f t="shared" si="257"/>
        <v>0</v>
      </c>
      <c r="BH69" s="16">
        <f t="shared" si="258"/>
        <v>0</v>
      </c>
      <c r="BJ69" s="16">
        <f t="shared" si="259"/>
        <v>0</v>
      </c>
      <c r="BK69" s="16">
        <f t="shared" ref="BK69:BN69" si="279">+BK10*BK$65</f>
        <v>0</v>
      </c>
      <c r="BL69" s="16">
        <f t="shared" si="279"/>
        <v>0</v>
      </c>
      <c r="BM69" s="16">
        <f t="shared" si="279"/>
        <v>0</v>
      </c>
      <c r="BN69" s="16">
        <f t="shared" si="279"/>
        <v>0</v>
      </c>
      <c r="BP69" s="16">
        <f t="shared" si="261"/>
        <v>0</v>
      </c>
      <c r="BQ69" s="16">
        <f t="shared" ref="BQ69:BT69" si="280">+BQ10*BQ$65</f>
        <v>0</v>
      </c>
      <c r="BR69" s="16">
        <f t="shared" si="280"/>
        <v>0</v>
      </c>
      <c r="BS69" s="16">
        <f t="shared" si="280"/>
        <v>0</v>
      </c>
      <c r="BT69" s="16">
        <f t="shared" si="280"/>
        <v>0</v>
      </c>
      <c r="BV69" s="16">
        <f t="shared" si="263"/>
        <v>0</v>
      </c>
      <c r="BW69" s="16">
        <f t="shared" ref="BW69:BZ69" si="281">+BW10*BW$65</f>
        <v>0</v>
      </c>
      <c r="BX69" s="16">
        <f t="shared" si="281"/>
        <v>0</v>
      </c>
      <c r="BY69" s="16">
        <f t="shared" si="281"/>
        <v>0</v>
      </c>
      <c r="BZ69" s="16">
        <f t="shared" si="281"/>
        <v>0</v>
      </c>
    </row>
    <row r="70" spans="2:78" s="16" customFormat="1" x14ac:dyDescent="0.25">
      <c r="B70" s="23" t="str">
        <f t="shared" si="265"/>
        <v>Customer5</v>
      </c>
      <c r="C70" s="24"/>
      <c r="E70" s="16">
        <f t="shared" si="266"/>
        <v>0</v>
      </c>
      <c r="F70" s="16">
        <f t="shared" si="266"/>
        <v>0</v>
      </c>
      <c r="G70" s="16">
        <f t="shared" si="266"/>
        <v>0</v>
      </c>
      <c r="H70" s="16">
        <f t="shared" si="266"/>
        <v>0</v>
      </c>
      <c r="I70" s="16">
        <f t="shared" si="266"/>
        <v>0</v>
      </c>
      <c r="J70" s="16">
        <f t="shared" si="266"/>
        <v>0</v>
      </c>
      <c r="K70" s="16">
        <f t="shared" si="266"/>
        <v>0</v>
      </c>
      <c r="L70" s="16">
        <f t="shared" si="266"/>
        <v>0</v>
      </c>
      <c r="M70" s="16">
        <f t="shared" si="266"/>
        <v>0</v>
      </c>
      <c r="N70" s="16">
        <f t="shared" si="266"/>
        <v>0</v>
      </c>
      <c r="O70" s="16">
        <f t="shared" si="266"/>
        <v>0</v>
      </c>
      <c r="P70" s="16">
        <f t="shared" si="266"/>
        <v>0</v>
      </c>
      <c r="R70" s="16">
        <f t="shared" ref="R70:AC70" si="282">+R11*R$65</f>
        <v>0</v>
      </c>
      <c r="S70" s="16">
        <f t="shared" si="282"/>
        <v>0</v>
      </c>
      <c r="T70" s="16">
        <f t="shared" si="282"/>
        <v>0</v>
      </c>
      <c r="U70" s="16">
        <f t="shared" si="282"/>
        <v>0</v>
      </c>
      <c r="V70" s="16">
        <f t="shared" si="282"/>
        <v>0</v>
      </c>
      <c r="W70" s="16">
        <f t="shared" si="282"/>
        <v>0</v>
      </c>
      <c r="X70" s="16">
        <f>+X8*X$65</f>
        <v>157500.00000000003</v>
      </c>
      <c r="Y70" s="16">
        <f t="shared" si="282"/>
        <v>0</v>
      </c>
      <c r="Z70" s="16">
        <f t="shared" si="282"/>
        <v>0</v>
      </c>
      <c r="AA70" s="16">
        <f t="shared" si="282"/>
        <v>0</v>
      </c>
      <c r="AB70" s="16">
        <f t="shared" si="282"/>
        <v>0</v>
      </c>
      <c r="AC70" s="16">
        <f t="shared" si="282"/>
        <v>0</v>
      </c>
      <c r="AE70" s="16">
        <f t="shared" ref="AE70:AP70" si="283">+AE11*AE$65</f>
        <v>0</v>
      </c>
      <c r="AF70" s="16">
        <f t="shared" si="283"/>
        <v>0</v>
      </c>
      <c r="AG70" s="16">
        <f t="shared" si="283"/>
        <v>0</v>
      </c>
      <c r="AH70" s="16">
        <f t="shared" si="283"/>
        <v>0</v>
      </c>
      <c r="AI70" s="16">
        <f t="shared" si="283"/>
        <v>0</v>
      </c>
      <c r="AJ70" s="16">
        <f t="shared" si="283"/>
        <v>0</v>
      </c>
      <c r="AK70" s="16">
        <f t="shared" si="283"/>
        <v>0</v>
      </c>
      <c r="AL70" s="16">
        <f t="shared" si="283"/>
        <v>0</v>
      </c>
      <c r="AM70" s="16">
        <f t="shared" si="283"/>
        <v>0</v>
      </c>
      <c r="AN70" s="16">
        <f t="shared" si="283"/>
        <v>0</v>
      </c>
      <c r="AO70" s="16">
        <f t="shared" si="283"/>
        <v>0</v>
      </c>
      <c r="AP70" s="16">
        <f t="shared" si="283"/>
        <v>0</v>
      </c>
      <c r="AR70" s="16">
        <f t="shared" si="244"/>
        <v>0</v>
      </c>
      <c r="AS70" s="16">
        <f t="shared" si="245"/>
        <v>0</v>
      </c>
      <c r="AT70" s="16">
        <f t="shared" si="246"/>
        <v>0</v>
      </c>
      <c r="AU70" s="16">
        <f t="shared" si="247"/>
        <v>0</v>
      </c>
      <c r="AV70" s="16">
        <f t="shared" si="248"/>
        <v>0</v>
      </c>
      <c r="AX70" s="16">
        <f t="shared" si="249"/>
        <v>157500.00000000003</v>
      </c>
      <c r="AY70" s="16">
        <f t="shared" si="250"/>
        <v>0</v>
      </c>
      <c r="AZ70" s="16">
        <f t="shared" si="251"/>
        <v>0</v>
      </c>
      <c r="BA70" s="16">
        <f t="shared" si="252"/>
        <v>157500.00000000003</v>
      </c>
      <c r="BB70" s="16">
        <f t="shared" si="253"/>
        <v>0</v>
      </c>
      <c r="BD70" s="16">
        <f t="shared" si="254"/>
        <v>0</v>
      </c>
      <c r="BE70" s="16">
        <f t="shared" si="255"/>
        <v>0</v>
      </c>
      <c r="BF70" s="16">
        <f t="shared" si="256"/>
        <v>0</v>
      </c>
      <c r="BG70" s="16">
        <f t="shared" si="257"/>
        <v>0</v>
      </c>
      <c r="BH70" s="16">
        <f t="shared" si="258"/>
        <v>0</v>
      </c>
      <c r="BJ70" s="16">
        <f t="shared" si="259"/>
        <v>0</v>
      </c>
      <c r="BK70" s="16">
        <f t="shared" ref="BK70:BN70" si="284">+BK11*BK$65</f>
        <v>0</v>
      </c>
      <c r="BL70" s="16">
        <f t="shared" si="284"/>
        <v>0</v>
      </c>
      <c r="BM70" s="16">
        <f t="shared" si="284"/>
        <v>0</v>
      </c>
      <c r="BN70" s="16">
        <f t="shared" si="284"/>
        <v>0</v>
      </c>
      <c r="BP70" s="16">
        <f t="shared" si="261"/>
        <v>0</v>
      </c>
      <c r="BQ70" s="16">
        <f t="shared" ref="BQ70:BT70" si="285">+BQ11*BQ$65</f>
        <v>0</v>
      </c>
      <c r="BR70" s="16">
        <f t="shared" si="285"/>
        <v>0</v>
      </c>
      <c r="BS70" s="16">
        <f t="shared" si="285"/>
        <v>0</v>
      </c>
      <c r="BT70" s="16">
        <f t="shared" si="285"/>
        <v>0</v>
      </c>
      <c r="BV70" s="16">
        <f t="shared" si="263"/>
        <v>0</v>
      </c>
      <c r="BW70" s="16">
        <f t="shared" ref="BW70:BZ70" si="286">+BW11*BW$65</f>
        <v>0</v>
      </c>
      <c r="BX70" s="16">
        <f t="shared" si="286"/>
        <v>0</v>
      </c>
      <c r="BY70" s="16">
        <f t="shared" si="286"/>
        <v>0</v>
      </c>
      <c r="BZ70" s="16">
        <f t="shared" si="286"/>
        <v>0</v>
      </c>
    </row>
    <row r="71" spans="2:78" s="16" customFormat="1" x14ac:dyDescent="0.25">
      <c r="B71" s="23" t="str">
        <f t="shared" si="265"/>
        <v>Customer6</v>
      </c>
      <c r="C71" s="24"/>
      <c r="E71" s="16">
        <f t="shared" si="266"/>
        <v>0</v>
      </c>
      <c r="F71" s="16">
        <f t="shared" si="266"/>
        <v>0</v>
      </c>
      <c r="G71" s="16">
        <f t="shared" si="266"/>
        <v>0</v>
      </c>
      <c r="H71" s="16">
        <f t="shared" si="266"/>
        <v>0</v>
      </c>
      <c r="I71" s="16">
        <f t="shared" si="266"/>
        <v>0</v>
      </c>
      <c r="J71" s="16">
        <f t="shared" si="266"/>
        <v>0</v>
      </c>
      <c r="K71" s="16">
        <f t="shared" si="266"/>
        <v>0</v>
      </c>
      <c r="L71" s="16">
        <f t="shared" si="266"/>
        <v>0</v>
      </c>
      <c r="M71" s="16">
        <f t="shared" si="266"/>
        <v>0</v>
      </c>
      <c r="N71" s="16">
        <f t="shared" si="266"/>
        <v>0</v>
      </c>
      <c r="O71" s="16">
        <f t="shared" si="266"/>
        <v>0</v>
      </c>
      <c r="P71" s="16">
        <f t="shared" si="266"/>
        <v>0</v>
      </c>
      <c r="R71" s="16">
        <f t="shared" ref="R71:AC71" si="287">+R12*R$65</f>
        <v>0</v>
      </c>
      <c r="S71" s="16">
        <f t="shared" si="287"/>
        <v>0</v>
      </c>
      <c r="T71" s="16">
        <f t="shared" si="287"/>
        <v>0</v>
      </c>
      <c r="U71" s="16">
        <f t="shared" si="287"/>
        <v>0</v>
      </c>
      <c r="V71" s="16">
        <f t="shared" si="287"/>
        <v>0</v>
      </c>
      <c r="W71" s="16">
        <f t="shared" si="287"/>
        <v>0</v>
      </c>
      <c r="X71" s="16">
        <f t="shared" si="287"/>
        <v>0</v>
      </c>
      <c r="Y71" s="16">
        <f t="shared" si="287"/>
        <v>0</v>
      </c>
      <c r="Z71" s="16">
        <f t="shared" si="287"/>
        <v>0</v>
      </c>
      <c r="AA71" s="16">
        <f t="shared" si="287"/>
        <v>0</v>
      </c>
      <c r="AB71" s="16">
        <f t="shared" si="287"/>
        <v>0</v>
      </c>
      <c r="AC71" s="16">
        <f t="shared" si="287"/>
        <v>0</v>
      </c>
      <c r="AE71" s="16">
        <f t="shared" ref="AE71:AP71" si="288">+AE12*AE$65</f>
        <v>0</v>
      </c>
      <c r="AF71" s="16">
        <f t="shared" si="288"/>
        <v>0</v>
      </c>
      <c r="AG71" s="16">
        <f t="shared" si="288"/>
        <v>0</v>
      </c>
      <c r="AH71" s="16">
        <f t="shared" si="288"/>
        <v>0</v>
      </c>
      <c r="AI71" s="16">
        <f t="shared" si="288"/>
        <v>0</v>
      </c>
      <c r="AJ71" s="16">
        <f t="shared" si="288"/>
        <v>0</v>
      </c>
      <c r="AK71" s="16">
        <f t="shared" si="288"/>
        <v>0</v>
      </c>
      <c r="AL71" s="16">
        <f t="shared" si="288"/>
        <v>0</v>
      </c>
      <c r="AM71" s="16">
        <f t="shared" si="288"/>
        <v>0</v>
      </c>
      <c r="AN71" s="16">
        <f t="shared" si="288"/>
        <v>0</v>
      </c>
      <c r="AO71" s="16">
        <f t="shared" si="288"/>
        <v>0</v>
      </c>
      <c r="AP71" s="16">
        <f t="shared" si="288"/>
        <v>0</v>
      </c>
      <c r="AR71" s="16">
        <f t="shared" si="244"/>
        <v>0</v>
      </c>
      <c r="AS71" s="16">
        <f t="shared" si="245"/>
        <v>0</v>
      </c>
      <c r="AT71" s="16">
        <f t="shared" si="246"/>
        <v>0</v>
      </c>
      <c r="AU71" s="16">
        <f t="shared" si="247"/>
        <v>0</v>
      </c>
      <c r="AV71" s="16">
        <f t="shared" si="248"/>
        <v>0</v>
      </c>
      <c r="AX71" s="16">
        <f t="shared" si="249"/>
        <v>0</v>
      </c>
      <c r="AY71" s="16">
        <f t="shared" si="250"/>
        <v>0</v>
      </c>
      <c r="AZ71" s="16">
        <f t="shared" si="251"/>
        <v>0</v>
      </c>
      <c r="BA71" s="16">
        <f t="shared" si="252"/>
        <v>0</v>
      </c>
      <c r="BB71" s="16">
        <f t="shared" si="253"/>
        <v>0</v>
      </c>
      <c r="BD71" s="16">
        <f t="shared" si="254"/>
        <v>0</v>
      </c>
      <c r="BE71" s="16">
        <f t="shared" si="255"/>
        <v>0</v>
      </c>
      <c r="BF71" s="16">
        <f t="shared" si="256"/>
        <v>0</v>
      </c>
      <c r="BG71" s="16">
        <f t="shared" si="257"/>
        <v>0</v>
      </c>
      <c r="BH71" s="16">
        <f t="shared" si="258"/>
        <v>0</v>
      </c>
      <c r="BJ71" s="16">
        <f t="shared" si="259"/>
        <v>0</v>
      </c>
      <c r="BK71" s="16">
        <f t="shared" ref="BK71:BN71" si="289">+BK12*BK$65</f>
        <v>0</v>
      </c>
      <c r="BL71" s="16">
        <f t="shared" si="289"/>
        <v>0</v>
      </c>
      <c r="BM71" s="16">
        <f t="shared" si="289"/>
        <v>0</v>
      </c>
      <c r="BN71" s="16">
        <f t="shared" si="289"/>
        <v>0</v>
      </c>
      <c r="BP71" s="16">
        <f t="shared" si="261"/>
        <v>0</v>
      </c>
      <c r="BQ71" s="16">
        <f t="shared" ref="BQ71:BT71" si="290">+BQ12*BQ$65</f>
        <v>0</v>
      </c>
      <c r="BR71" s="16">
        <f t="shared" si="290"/>
        <v>0</v>
      </c>
      <c r="BS71" s="16">
        <f t="shared" si="290"/>
        <v>0</v>
      </c>
      <c r="BT71" s="16">
        <f t="shared" si="290"/>
        <v>0</v>
      </c>
      <c r="BV71" s="16">
        <f t="shared" si="263"/>
        <v>0</v>
      </c>
      <c r="BW71" s="16">
        <f t="shared" ref="BW71:BZ71" si="291">+BW12*BW$65</f>
        <v>0</v>
      </c>
      <c r="BX71" s="16">
        <f t="shared" si="291"/>
        <v>0</v>
      </c>
      <c r="BY71" s="16">
        <f t="shared" si="291"/>
        <v>0</v>
      </c>
      <c r="BZ71" s="16">
        <f t="shared" si="291"/>
        <v>0</v>
      </c>
    </row>
    <row r="72" spans="2:78" s="16" customFormat="1" x14ac:dyDescent="0.25">
      <c r="B72" s="23" t="str">
        <f t="shared" si="265"/>
        <v>Customer7</v>
      </c>
      <c r="C72" s="24"/>
      <c r="E72" s="16">
        <f t="shared" si="266"/>
        <v>0</v>
      </c>
      <c r="F72" s="16">
        <f t="shared" si="266"/>
        <v>0</v>
      </c>
      <c r="G72" s="16">
        <f t="shared" si="266"/>
        <v>0</v>
      </c>
      <c r="H72" s="16">
        <f t="shared" si="266"/>
        <v>0</v>
      </c>
      <c r="I72" s="16">
        <f t="shared" si="266"/>
        <v>0</v>
      </c>
      <c r="J72" s="16">
        <f t="shared" si="266"/>
        <v>0</v>
      </c>
      <c r="K72" s="16">
        <f t="shared" si="266"/>
        <v>0</v>
      </c>
      <c r="L72" s="16">
        <f t="shared" si="266"/>
        <v>0</v>
      </c>
      <c r="M72" s="16">
        <f t="shared" si="266"/>
        <v>0</v>
      </c>
      <c r="N72" s="16">
        <f t="shared" si="266"/>
        <v>0</v>
      </c>
      <c r="O72" s="16">
        <f t="shared" si="266"/>
        <v>0</v>
      </c>
      <c r="P72" s="16">
        <f t="shared" si="266"/>
        <v>0</v>
      </c>
      <c r="R72" s="16">
        <f t="shared" ref="R72:AC72" si="292">+R13*R$65</f>
        <v>0</v>
      </c>
      <c r="S72" s="16">
        <f t="shared" si="292"/>
        <v>0</v>
      </c>
      <c r="T72" s="16">
        <f t="shared" si="292"/>
        <v>0</v>
      </c>
      <c r="U72" s="16">
        <f t="shared" si="292"/>
        <v>0</v>
      </c>
      <c r="V72" s="16">
        <f t="shared" si="292"/>
        <v>0</v>
      </c>
      <c r="W72" s="16">
        <f t="shared" si="292"/>
        <v>0</v>
      </c>
      <c r="X72" s="16">
        <f t="shared" si="292"/>
        <v>0</v>
      </c>
      <c r="Y72" s="16">
        <f t="shared" si="292"/>
        <v>0</v>
      </c>
      <c r="Z72" s="16">
        <f t="shared" si="292"/>
        <v>0</v>
      </c>
      <c r="AA72" s="16">
        <f t="shared" si="292"/>
        <v>0</v>
      </c>
      <c r="AB72" s="16">
        <f t="shared" si="292"/>
        <v>0</v>
      </c>
      <c r="AC72" s="16">
        <f t="shared" si="292"/>
        <v>0</v>
      </c>
      <c r="AE72" s="16">
        <f t="shared" ref="AE72:AP72" si="293">+AE13*AE$65</f>
        <v>0</v>
      </c>
      <c r="AF72" s="16">
        <f t="shared" si="293"/>
        <v>0</v>
      </c>
      <c r="AG72" s="16">
        <f t="shared" si="293"/>
        <v>0</v>
      </c>
      <c r="AH72" s="16">
        <f t="shared" si="293"/>
        <v>0</v>
      </c>
      <c r="AI72" s="16">
        <f t="shared" si="293"/>
        <v>0</v>
      </c>
      <c r="AJ72" s="16">
        <f t="shared" si="293"/>
        <v>0</v>
      </c>
      <c r="AK72" s="16">
        <f t="shared" si="293"/>
        <v>0</v>
      </c>
      <c r="AL72" s="16">
        <f t="shared" si="293"/>
        <v>0</v>
      </c>
      <c r="AM72" s="16">
        <f t="shared" si="293"/>
        <v>0</v>
      </c>
      <c r="AN72" s="16">
        <f t="shared" si="293"/>
        <v>0</v>
      </c>
      <c r="AO72" s="16">
        <f t="shared" si="293"/>
        <v>0</v>
      </c>
      <c r="AP72" s="16">
        <f t="shared" si="293"/>
        <v>0</v>
      </c>
      <c r="AR72" s="16">
        <f t="shared" si="244"/>
        <v>0</v>
      </c>
      <c r="AS72" s="16">
        <f t="shared" si="245"/>
        <v>0</v>
      </c>
      <c r="AT72" s="16">
        <f t="shared" si="246"/>
        <v>0</v>
      </c>
      <c r="AU72" s="16">
        <f t="shared" si="247"/>
        <v>0</v>
      </c>
      <c r="AV72" s="16">
        <f t="shared" si="248"/>
        <v>0</v>
      </c>
      <c r="AX72" s="16">
        <f t="shared" si="249"/>
        <v>0</v>
      </c>
      <c r="AY72" s="16">
        <f t="shared" si="250"/>
        <v>0</v>
      </c>
      <c r="AZ72" s="16">
        <f t="shared" si="251"/>
        <v>0</v>
      </c>
      <c r="BA72" s="16">
        <f t="shared" si="252"/>
        <v>0</v>
      </c>
      <c r="BB72" s="16">
        <f t="shared" si="253"/>
        <v>0</v>
      </c>
      <c r="BD72" s="16">
        <f t="shared" si="254"/>
        <v>0</v>
      </c>
      <c r="BE72" s="16">
        <f t="shared" si="255"/>
        <v>0</v>
      </c>
      <c r="BF72" s="16">
        <f t="shared" si="256"/>
        <v>0</v>
      </c>
      <c r="BG72" s="16">
        <f t="shared" si="257"/>
        <v>0</v>
      </c>
      <c r="BH72" s="16">
        <f t="shared" si="258"/>
        <v>0</v>
      </c>
      <c r="BJ72" s="16">
        <f t="shared" si="259"/>
        <v>0</v>
      </c>
      <c r="BK72" s="16">
        <f t="shared" ref="BK72:BN72" si="294">+BK13*BK$65</f>
        <v>0</v>
      </c>
      <c r="BL72" s="16">
        <f t="shared" si="294"/>
        <v>0</v>
      </c>
      <c r="BM72" s="16">
        <f t="shared" si="294"/>
        <v>0</v>
      </c>
      <c r="BN72" s="16">
        <f t="shared" si="294"/>
        <v>0</v>
      </c>
      <c r="BP72" s="16">
        <f t="shared" si="261"/>
        <v>0</v>
      </c>
      <c r="BQ72" s="16">
        <f t="shared" ref="BQ72:BT72" si="295">+BQ13*BQ$65</f>
        <v>0</v>
      </c>
      <c r="BR72" s="16">
        <f t="shared" si="295"/>
        <v>0</v>
      </c>
      <c r="BS72" s="16">
        <f t="shared" si="295"/>
        <v>0</v>
      </c>
      <c r="BT72" s="16">
        <f t="shared" si="295"/>
        <v>0</v>
      </c>
      <c r="BV72" s="16">
        <f t="shared" si="263"/>
        <v>0</v>
      </c>
      <c r="BW72" s="16">
        <f t="shared" ref="BW72:BZ72" si="296">+BW13*BW$65</f>
        <v>0</v>
      </c>
      <c r="BX72" s="16">
        <f t="shared" si="296"/>
        <v>0</v>
      </c>
      <c r="BY72" s="16">
        <f t="shared" si="296"/>
        <v>0</v>
      </c>
      <c r="BZ72" s="16">
        <f t="shared" si="296"/>
        <v>0</v>
      </c>
    </row>
    <row r="73" spans="2:78" s="16" customFormat="1" x14ac:dyDescent="0.25">
      <c r="B73" s="23" t="str">
        <f t="shared" si="265"/>
        <v>Customer8</v>
      </c>
      <c r="C73" s="24"/>
      <c r="E73" s="16">
        <f t="shared" si="266"/>
        <v>0</v>
      </c>
      <c r="F73" s="16">
        <f t="shared" si="266"/>
        <v>0</v>
      </c>
      <c r="G73" s="16">
        <f t="shared" si="266"/>
        <v>0</v>
      </c>
      <c r="H73" s="16">
        <f t="shared" si="266"/>
        <v>0</v>
      </c>
      <c r="I73" s="16">
        <f t="shared" si="266"/>
        <v>0</v>
      </c>
      <c r="J73" s="16">
        <f t="shared" si="266"/>
        <v>0</v>
      </c>
      <c r="K73" s="16">
        <f t="shared" si="266"/>
        <v>0</v>
      </c>
      <c r="L73" s="16">
        <f t="shared" si="266"/>
        <v>0</v>
      </c>
      <c r="M73" s="16">
        <f t="shared" si="266"/>
        <v>0</v>
      </c>
      <c r="N73" s="16">
        <f t="shared" si="266"/>
        <v>0</v>
      </c>
      <c r="O73" s="16">
        <f t="shared" si="266"/>
        <v>0</v>
      </c>
      <c r="P73" s="16">
        <f t="shared" si="266"/>
        <v>0</v>
      </c>
      <c r="R73" s="16">
        <f t="shared" ref="R73:AC73" si="297">+R14*R$65</f>
        <v>0</v>
      </c>
      <c r="S73" s="16">
        <f t="shared" si="297"/>
        <v>0</v>
      </c>
      <c r="T73" s="16">
        <f t="shared" si="297"/>
        <v>0</v>
      </c>
      <c r="U73" s="16">
        <f t="shared" si="297"/>
        <v>0</v>
      </c>
      <c r="V73" s="16">
        <f t="shared" si="297"/>
        <v>0</v>
      </c>
      <c r="W73" s="16">
        <f t="shared" si="297"/>
        <v>0</v>
      </c>
      <c r="X73" s="16">
        <f t="shared" si="297"/>
        <v>0</v>
      </c>
      <c r="Y73" s="16">
        <f t="shared" si="297"/>
        <v>0</v>
      </c>
      <c r="Z73" s="16">
        <f t="shared" si="297"/>
        <v>0</v>
      </c>
      <c r="AA73" s="16">
        <f t="shared" si="297"/>
        <v>0</v>
      </c>
      <c r="AB73" s="16">
        <f t="shared" si="297"/>
        <v>0</v>
      </c>
      <c r="AC73" s="16">
        <f t="shared" si="297"/>
        <v>0</v>
      </c>
      <c r="AE73" s="16">
        <f t="shared" ref="AE73:AP73" si="298">+AE14*AE$65</f>
        <v>0</v>
      </c>
      <c r="AF73" s="16">
        <f t="shared" si="298"/>
        <v>0</v>
      </c>
      <c r="AG73" s="16">
        <f t="shared" si="298"/>
        <v>0</v>
      </c>
      <c r="AH73" s="16">
        <f t="shared" si="298"/>
        <v>0</v>
      </c>
      <c r="AI73" s="16">
        <f t="shared" si="298"/>
        <v>0</v>
      </c>
      <c r="AJ73" s="16">
        <f t="shared" si="298"/>
        <v>0</v>
      </c>
      <c r="AK73" s="16">
        <f t="shared" si="298"/>
        <v>0</v>
      </c>
      <c r="AL73" s="16">
        <f t="shared" si="298"/>
        <v>0</v>
      </c>
      <c r="AM73" s="16">
        <f t="shared" si="298"/>
        <v>0</v>
      </c>
      <c r="AN73" s="16">
        <f t="shared" si="298"/>
        <v>0</v>
      </c>
      <c r="AO73" s="16">
        <f t="shared" si="298"/>
        <v>0</v>
      </c>
      <c r="AP73" s="16">
        <f t="shared" si="298"/>
        <v>0</v>
      </c>
      <c r="AR73" s="16">
        <f t="shared" si="244"/>
        <v>0</v>
      </c>
      <c r="AS73" s="16">
        <f t="shared" si="245"/>
        <v>0</v>
      </c>
      <c r="AT73" s="16">
        <f t="shared" si="246"/>
        <v>0</v>
      </c>
      <c r="AU73" s="16">
        <f t="shared" si="247"/>
        <v>0</v>
      </c>
      <c r="AV73" s="16">
        <f t="shared" si="248"/>
        <v>0</v>
      </c>
      <c r="AX73" s="16">
        <f t="shared" si="249"/>
        <v>0</v>
      </c>
      <c r="AY73" s="16">
        <f t="shared" si="250"/>
        <v>0</v>
      </c>
      <c r="AZ73" s="16">
        <f t="shared" si="251"/>
        <v>0</v>
      </c>
      <c r="BA73" s="16">
        <f t="shared" si="252"/>
        <v>0</v>
      </c>
      <c r="BB73" s="16">
        <f t="shared" si="253"/>
        <v>0</v>
      </c>
      <c r="BD73" s="16">
        <f t="shared" si="254"/>
        <v>0</v>
      </c>
      <c r="BE73" s="16">
        <f t="shared" si="255"/>
        <v>0</v>
      </c>
      <c r="BF73" s="16">
        <f t="shared" si="256"/>
        <v>0</v>
      </c>
      <c r="BG73" s="16">
        <f t="shared" si="257"/>
        <v>0</v>
      </c>
      <c r="BH73" s="16">
        <f t="shared" si="258"/>
        <v>0</v>
      </c>
      <c r="BJ73" s="16">
        <f t="shared" si="259"/>
        <v>0</v>
      </c>
      <c r="BK73" s="16">
        <f t="shared" ref="BK73:BN73" si="299">+BK14*BK$65</f>
        <v>0</v>
      </c>
      <c r="BL73" s="16">
        <f t="shared" si="299"/>
        <v>0</v>
      </c>
      <c r="BM73" s="16">
        <f t="shared" si="299"/>
        <v>0</v>
      </c>
      <c r="BN73" s="16">
        <f t="shared" si="299"/>
        <v>0</v>
      </c>
      <c r="BP73" s="16">
        <f t="shared" si="261"/>
        <v>0</v>
      </c>
      <c r="BQ73" s="16">
        <f t="shared" ref="BQ73:BT73" si="300">+BQ14*BQ$65</f>
        <v>0</v>
      </c>
      <c r="BR73" s="16">
        <f t="shared" si="300"/>
        <v>0</v>
      </c>
      <c r="BS73" s="16">
        <f t="shared" si="300"/>
        <v>0</v>
      </c>
      <c r="BT73" s="16">
        <f t="shared" si="300"/>
        <v>0</v>
      </c>
      <c r="BV73" s="16">
        <f t="shared" si="263"/>
        <v>0</v>
      </c>
      <c r="BW73" s="16">
        <f t="shared" ref="BW73:BZ73" si="301">+BW14*BW$65</f>
        <v>0</v>
      </c>
      <c r="BX73" s="16">
        <f t="shared" si="301"/>
        <v>0</v>
      </c>
      <c r="BY73" s="16">
        <f t="shared" si="301"/>
        <v>0</v>
      </c>
      <c r="BZ73" s="16">
        <f t="shared" si="301"/>
        <v>0</v>
      </c>
    </row>
    <row r="74" spans="2:78" s="16" customFormat="1" x14ac:dyDescent="0.25">
      <c r="B74" s="23" t="str">
        <f t="shared" si="265"/>
        <v>Customer9</v>
      </c>
      <c r="C74" s="24"/>
      <c r="E74" s="16">
        <f t="shared" si="266"/>
        <v>0</v>
      </c>
      <c r="F74" s="16">
        <f t="shared" si="266"/>
        <v>0</v>
      </c>
      <c r="G74" s="16">
        <f t="shared" si="266"/>
        <v>0</v>
      </c>
      <c r="H74" s="16">
        <f t="shared" si="266"/>
        <v>0</v>
      </c>
      <c r="I74" s="16">
        <f t="shared" si="266"/>
        <v>0</v>
      </c>
      <c r="J74" s="16">
        <f t="shared" si="266"/>
        <v>0</v>
      </c>
      <c r="K74" s="16">
        <f t="shared" si="266"/>
        <v>0</v>
      </c>
      <c r="L74" s="16">
        <f t="shared" si="266"/>
        <v>0</v>
      </c>
      <c r="M74" s="16">
        <f t="shared" si="266"/>
        <v>0</v>
      </c>
      <c r="N74" s="16">
        <f t="shared" si="266"/>
        <v>0</v>
      </c>
      <c r="O74" s="16">
        <f t="shared" si="266"/>
        <v>0</v>
      </c>
      <c r="P74" s="16">
        <f t="shared" si="266"/>
        <v>0</v>
      </c>
      <c r="R74" s="16">
        <f t="shared" ref="R74:AC74" si="302">+R15*R$65</f>
        <v>0</v>
      </c>
      <c r="S74" s="16">
        <f t="shared" si="302"/>
        <v>0</v>
      </c>
      <c r="T74" s="16">
        <f t="shared" si="302"/>
        <v>0</v>
      </c>
      <c r="U74" s="16">
        <f t="shared" si="302"/>
        <v>0</v>
      </c>
      <c r="V74" s="16">
        <f t="shared" si="302"/>
        <v>0</v>
      </c>
      <c r="W74" s="16">
        <f t="shared" si="302"/>
        <v>0</v>
      </c>
      <c r="X74" s="16">
        <f t="shared" si="302"/>
        <v>0</v>
      </c>
      <c r="Y74" s="16">
        <f t="shared" si="302"/>
        <v>0</v>
      </c>
      <c r="Z74" s="16">
        <f t="shared" si="302"/>
        <v>0</v>
      </c>
      <c r="AA74" s="16">
        <f t="shared" si="302"/>
        <v>0</v>
      </c>
      <c r="AB74" s="16">
        <f t="shared" si="302"/>
        <v>0</v>
      </c>
      <c r="AC74" s="16">
        <f t="shared" si="302"/>
        <v>0</v>
      </c>
      <c r="AE74" s="16">
        <f t="shared" ref="AE74:AP74" si="303">+AE15*AE$65</f>
        <v>0</v>
      </c>
      <c r="AF74" s="16">
        <f t="shared" si="303"/>
        <v>0</v>
      </c>
      <c r="AG74" s="16">
        <f t="shared" si="303"/>
        <v>0</v>
      </c>
      <c r="AH74" s="16">
        <f t="shared" si="303"/>
        <v>0</v>
      </c>
      <c r="AI74" s="16">
        <f t="shared" si="303"/>
        <v>0</v>
      </c>
      <c r="AJ74" s="16">
        <f t="shared" si="303"/>
        <v>0</v>
      </c>
      <c r="AK74" s="16">
        <f t="shared" si="303"/>
        <v>0</v>
      </c>
      <c r="AL74" s="16">
        <f t="shared" si="303"/>
        <v>0</v>
      </c>
      <c r="AM74" s="16">
        <f t="shared" si="303"/>
        <v>0</v>
      </c>
      <c r="AN74" s="16">
        <f t="shared" si="303"/>
        <v>0</v>
      </c>
      <c r="AO74" s="16">
        <f t="shared" si="303"/>
        <v>0</v>
      </c>
      <c r="AP74" s="16">
        <f t="shared" si="303"/>
        <v>0</v>
      </c>
      <c r="AR74" s="16">
        <f t="shared" si="244"/>
        <v>0</v>
      </c>
      <c r="AS74" s="16">
        <f t="shared" si="245"/>
        <v>0</v>
      </c>
      <c r="AT74" s="16">
        <f t="shared" si="246"/>
        <v>0</v>
      </c>
      <c r="AU74" s="16">
        <f t="shared" si="247"/>
        <v>0</v>
      </c>
      <c r="AV74" s="16">
        <f t="shared" si="248"/>
        <v>0</v>
      </c>
      <c r="AX74" s="16">
        <f t="shared" si="249"/>
        <v>0</v>
      </c>
      <c r="AY74" s="16">
        <f t="shared" si="250"/>
        <v>0</v>
      </c>
      <c r="AZ74" s="16">
        <f t="shared" si="251"/>
        <v>0</v>
      </c>
      <c r="BA74" s="16">
        <f t="shared" si="252"/>
        <v>0</v>
      </c>
      <c r="BB74" s="16">
        <f t="shared" si="253"/>
        <v>0</v>
      </c>
      <c r="BD74" s="16">
        <f t="shared" si="254"/>
        <v>0</v>
      </c>
      <c r="BE74" s="16">
        <f t="shared" si="255"/>
        <v>0</v>
      </c>
      <c r="BF74" s="16">
        <f t="shared" si="256"/>
        <v>0</v>
      </c>
      <c r="BG74" s="16">
        <f t="shared" si="257"/>
        <v>0</v>
      </c>
      <c r="BH74" s="16">
        <f t="shared" si="258"/>
        <v>0</v>
      </c>
      <c r="BJ74" s="16">
        <f t="shared" si="259"/>
        <v>0</v>
      </c>
      <c r="BK74" s="16">
        <f t="shared" ref="BK74:BN74" si="304">+BK15*BK$65</f>
        <v>0</v>
      </c>
      <c r="BL74" s="16">
        <f t="shared" si="304"/>
        <v>0</v>
      </c>
      <c r="BM74" s="16">
        <f t="shared" si="304"/>
        <v>0</v>
      </c>
      <c r="BN74" s="16">
        <f t="shared" si="304"/>
        <v>0</v>
      </c>
      <c r="BP74" s="16">
        <f t="shared" si="261"/>
        <v>0</v>
      </c>
      <c r="BQ74" s="16">
        <f t="shared" ref="BQ74:BT74" si="305">+BQ15*BQ$65</f>
        <v>0</v>
      </c>
      <c r="BR74" s="16">
        <f t="shared" si="305"/>
        <v>0</v>
      </c>
      <c r="BS74" s="16">
        <f t="shared" si="305"/>
        <v>0</v>
      </c>
      <c r="BT74" s="16">
        <f t="shared" si="305"/>
        <v>0</v>
      </c>
      <c r="BV74" s="16">
        <f t="shared" si="263"/>
        <v>0</v>
      </c>
      <c r="BW74" s="16">
        <f t="shared" ref="BW74:BZ74" si="306">+BW15*BW$65</f>
        <v>0</v>
      </c>
      <c r="BX74" s="16">
        <f t="shared" si="306"/>
        <v>0</v>
      </c>
      <c r="BY74" s="16">
        <f t="shared" si="306"/>
        <v>0</v>
      </c>
      <c r="BZ74" s="16">
        <f t="shared" si="306"/>
        <v>0</v>
      </c>
    </row>
    <row r="75" spans="2:78" s="16" customFormat="1" x14ac:dyDescent="0.25">
      <c r="B75" s="23" t="str">
        <f t="shared" si="265"/>
        <v>Customer10</v>
      </c>
      <c r="C75" s="24"/>
      <c r="E75" s="16">
        <f t="shared" si="266"/>
        <v>0</v>
      </c>
      <c r="F75" s="16">
        <f t="shared" si="266"/>
        <v>0</v>
      </c>
      <c r="G75" s="16">
        <f t="shared" si="266"/>
        <v>0</v>
      </c>
      <c r="H75" s="16">
        <f t="shared" si="266"/>
        <v>0</v>
      </c>
      <c r="I75" s="16">
        <f t="shared" si="266"/>
        <v>0</v>
      </c>
      <c r="J75" s="16">
        <f t="shared" si="266"/>
        <v>0</v>
      </c>
      <c r="K75" s="16">
        <f t="shared" si="266"/>
        <v>0</v>
      </c>
      <c r="L75" s="16">
        <f t="shared" si="266"/>
        <v>0</v>
      </c>
      <c r="M75" s="16">
        <f t="shared" si="266"/>
        <v>0</v>
      </c>
      <c r="N75" s="16">
        <f t="shared" si="266"/>
        <v>0</v>
      </c>
      <c r="O75" s="16">
        <f t="shared" si="266"/>
        <v>0</v>
      </c>
      <c r="P75" s="16">
        <f t="shared" si="266"/>
        <v>0</v>
      </c>
      <c r="R75" s="16">
        <f t="shared" ref="R75:AC75" si="307">+R16*R$65</f>
        <v>0</v>
      </c>
      <c r="S75" s="16">
        <f t="shared" si="307"/>
        <v>0</v>
      </c>
      <c r="T75" s="16">
        <f t="shared" si="307"/>
        <v>0</v>
      </c>
      <c r="U75" s="16">
        <f t="shared" si="307"/>
        <v>0</v>
      </c>
      <c r="V75" s="16">
        <f t="shared" si="307"/>
        <v>0</v>
      </c>
      <c r="W75" s="16">
        <f t="shared" si="307"/>
        <v>0</v>
      </c>
      <c r="X75" s="16">
        <f t="shared" si="307"/>
        <v>0</v>
      </c>
      <c r="Y75" s="16">
        <f t="shared" si="307"/>
        <v>0</v>
      </c>
      <c r="Z75" s="16">
        <f t="shared" si="307"/>
        <v>0</v>
      </c>
      <c r="AA75" s="16">
        <f t="shared" si="307"/>
        <v>0</v>
      </c>
      <c r="AB75" s="16">
        <f t="shared" si="307"/>
        <v>0</v>
      </c>
      <c r="AC75" s="16">
        <f t="shared" si="307"/>
        <v>0</v>
      </c>
      <c r="AE75" s="16">
        <f t="shared" ref="AE75:AP75" si="308">+AE16*AE$65</f>
        <v>0</v>
      </c>
      <c r="AF75" s="16">
        <f t="shared" si="308"/>
        <v>0</v>
      </c>
      <c r="AG75" s="16">
        <f t="shared" si="308"/>
        <v>0</v>
      </c>
      <c r="AH75" s="16">
        <f t="shared" si="308"/>
        <v>0</v>
      </c>
      <c r="AI75" s="16">
        <f t="shared" si="308"/>
        <v>0</v>
      </c>
      <c r="AJ75" s="16">
        <f t="shared" si="308"/>
        <v>0</v>
      </c>
      <c r="AK75" s="16">
        <f t="shared" si="308"/>
        <v>0</v>
      </c>
      <c r="AL75" s="16">
        <f t="shared" si="308"/>
        <v>0</v>
      </c>
      <c r="AM75" s="16">
        <f t="shared" si="308"/>
        <v>0</v>
      </c>
      <c r="AN75" s="16">
        <f t="shared" si="308"/>
        <v>0</v>
      </c>
      <c r="AO75" s="16">
        <f t="shared" si="308"/>
        <v>0</v>
      </c>
      <c r="AP75" s="16">
        <f t="shared" si="308"/>
        <v>0</v>
      </c>
      <c r="AR75" s="16">
        <f t="shared" si="244"/>
        <v>0</v>
      </c>
      <c r="AS75" s="16">
        <f t="shared" si="245"/>
        <v>0</v>
      </c>
      <c r="AT75" s="16">
        <f t="shared" si="246"/>
        <v>0</v>
      </c>
      <c r="AU75" s="16">
        <f t="shared" si="247"/>
        <v>0</v>
      </c>
      <c r="AV75" s="16">
        <f t="shared" si="248"/>
        <v>0</v>
      </c>
      <c r="AX75" s="16">
        <f t="shared" si="249"/>
        <v>0</v>
      </c>
      <c r="AY75" s="16">
        <f t="shared" si="250"/>
        <v>0</v>
      </c>
      <c r="AZ75" s="16">
        <f t="shared" si="251"/>
        <v>0</v>
      </c>
      <c r="BA75" s="16">
        <f t="shared" si="252"/>
        <v>0</v>
      </c>
      <c r="BB75" s="16">
        <f t="shared" si="253"/>
        <v>0</v>
      </c>
      <c r="BD75" s="16">
        <f t="shared" si="254"/>
        <v>0</v>
      </c>
      <c r="BE75" s="16">
        <f t="shared" si="255"/>
        <v>0</v>
      </c>
      <c r="BF75" s="16">
        <f t="shared" si="256"/>
        <v>0</v>
      </c>
      <c r="BG75" s="16">
        <f t="shared" si="257"/>
        <v>0</v>
      </c>
      <c r="BH75" s="16">
        <f t="shared" si="258"/>
        <v>0</v>
      </c>
      <c r="BJ75" s="16">
        <f t="shared" si="259"/>
        <v>0</v>
      </c>
      <c r="BK75" s="16">
        <f t="shared" ref="BK75:BN75" si="309">+BK16*BK$65</f>
        <v>0</v>
      </c>
      <c r="BL75" s="16">
        <f t="shared" si="309"/>
        <v>0</v>
      </c>
      <c r="BM75" s="16">
        <f t="shared" si="309"/>
        <v>0</v>
      </c>
      <c r="BN75" s="16">
        <f t="shared" si="309"/>
        <v>0</v>
      </c>
      <c r="BP75" s="16">
        <f t="shared" si="261"/>
        <v>0</v>
      </c>
      <c r="BQ75" s="16">
        <f t="shared" ref="BQ75:BT75" si="310">+BQ16*BQ$65</f>
        <v>0</v>
      </c>
      <c r="BR75" s="16">
        <f t="shared" si="310"/>
        <v>0</v>
      </c>
      <c r="BS75" s="16">
        <f t="shared" si="310"/>
        <v>0</v>
      </c>
      <c r="BT75" s="16">
        <f t="shared" si="310"/>
        <v>0</v>
      </c>
      <c r="BV75" s="16">
        <f t="shared" si="263"/>
        <v>0</v>
      </c>
      <c r="BW75" s="16">
        <f t="shared" ref="BW75:BZ75" si="311">+BW16*BW$65</f>
        <v>0</v>
      </c>
      <c r="BX75" s="16">
        <f t="shared" si="311"/>
        <v>0</v>
      </c>
      <c r="BY75" s="16">
        <f t="shared" si="311"/>
        <v>0</v>
      </c>
      <c r="BZ75" s="16">
        <f t="shared" si="311"/>
        <v>0</v>
      </c>
    </row>
    <row r="76" spans="2:78" s="16" customFormat="1" x14ac:dyDescent="0.25">
      <c r="B76" s="23" t="s">
        <v>270</v>
      </c>
      <c r="C76" s="46">
        <v>0.02</v>
      </c>
      <c r="E76" s="16">
        <f t="shared" si="266"/>
        <v>0</v>
      </c>
      <c r="F76" s="16">
        <f t="shared" si="266"/>
        <v>0</v>
      </c>
      <c r="G76" s="16">
        <f t="shared" si="266"/>
        <v>0</v>
      </c>
      <c r="H76" s="16">
        <f t="shared" si="266"/>
        <v>0</v>
      </c>
      <c r="I76" s="16">
        <f t="shared" si="266"/>
        <v>0</v>
      </c>
      <c r="J76" s="16">
        <f t="shared" si="266"/>
        <v>0</v>
      </c>
      <c r="K76" s="16">
        <f t="shared" si="266"/>
        <v>0</v>
      </c>
      <c r="L76" s="16">
        <f t="shared" si="266"/>
        <v>0</v>
      </c>
      <c r="M76" s="16">
        <f t="shared" si="266"/>
        <v>0</v>
      </c>
      <c r="N76" s="16">
        <f t="shared" si="266"/>
        <v>0</v>
      </c>
      <c r="O76" s="16">
        <f t="shared" si="266"/>
        <v>0</v>
      </c>
      <c r="P76" s="16">
        <f t="shared" si="266"/>
        <v>0</v>
      </c>
      <c r="R76" s="16">
        <f t="shared" ref="R76:AC76" si="312">+R17*R$65</f>
        <v>0</v>
      </c>
      <c r="S76" s="16">
        <f t="shared" si="312"/>
        <v>0</v>
      </c>
      <c r="T76" s="16">
        <f t="shared" si="312"/>
        <v>0</v>
      </c>
      <c r="U76" s="16">
        <f t="shared" si="312"/>
        <v>0</v>
      </c>
      <c r="V76" s="16">
        <f t="shared" si="312"/>
        <v>0</v>
      </c>
      <c r="W76" s="16">
        <f t="shared" si="312"/>
        <v>0</v>
      </c>
      <c r="X76" s="16">
        <f t="shared" si="312"/>
        <v>0</v>
      </c>
      <c r="Y76" s="16">
        <f t="shared" si="312"/>
        <v>0</v>
      </c>
      <c r="Z76" s="16">
        <f t="shared" si="312"/>
        <v>0</v>
      </c>
      <c r="AA76" s="16">
        <f t="shared" si="312"/>
        <v>0</v>
      </c>
      <c r="AB76" s="16">
        <f t="shared" si="312"/>
        <v>0</v>
      </c>
      <c r="AC76" s="16">
        <f t="shared" si="312"/>
        <v>0</v>
      </c>
      <c r="AE76" s="16">
        <f t="shared" ref="AE76:AP76" si="313">+AE17*AE$65</f>
        <v>0</v>
      </c>
      <c r="AF76" s="16">
        <f t="shared" si="313"/>
        <v>0</v>
      </c>
      <c r="AG76" s="16">
        <f t="shared" si="313"/>
        <v>0</v>
      </c>
      <c r="AH76" s="16">
        <f t="shared" si="313"/>
        <v>0</v>
      </c>
      <c r="AI76" s="16">
        <f t="shared" si="313"/>
        <v>0</v>
      </c>
      <c r="AJ76" s="16">
        <f t="shared" si="313"/>
        <v>0</v>
      </c>
      <c r="AK76" s="16">
        <f t="shared" si="313"/>
        <v>0</v>
      </c>
      <c r="AL76" s="16">
        <f t="shared" si="313"/>
        <v>0</v>
      </c>
      <c r="AM76" s="16">
        <f t="shared" si="313"/>
        <v>0</v>
      </c>
      <c r="AN76" s="16">
        <f t="shared" si="313"/>
        <v>0</v>
      </c>
      <c r="AO76" s="16">
        <f t="shared" si="313"/>
        <v>0</v>
      </c>
      <c r="AP76" s="16">
        <f t="shared" si="313"/>
        <v>0</v>
      </c>
      <c r="AR76" s="16">
        <f t="shared" si="244"/>
        <v>0</v>
      </c>
      <c r="AS76" s="16">
        <f t="shared" si="245"/>
        <v>0</v>
      </c>
      <c r="AT76" s="16">
        <f t="shared" si="246"/>
        <v>0</v>
      </c>
      <c r="AU76" s="16">
        <f t="shared" si="247"/>
        <v>0</v>
      </c>
      <c r="AV76" s="16">
        <f t="shared" si="248"/>
        <v>0</v>
      </c>
      <c r="AX76" s="16">
        <f t="shared" si="249"/>
        <v>0</v>
      </c>
      <c r="AY76" s="16">
        <f t="shared" si="250"/>
        <v>0</v>
      </c>
      <c r="AZ76" s="16">
        <f t="shared" si="251"/>
        <v>0</v>
      </c>
      <c r="BA76" s="16">
        <f t="shared" si="252"/>
        <v>0</v>
      </c>
      <c r="BB76" s="16">
        <f t="shared" si="253"/>
        <v>0</v>
      </c>
      <c r="BD76" s="16">
        <f t="shared" si="254"/>
        <v>0</v>
      </c>
      <c r="BE76" s="16">
        <f t="shared" si="255"/>
        <v>0</v>
      </c>
      <c r="BF76" s="16">
        <f t="shared" si="256"/>
        <v>0</v>
      </c>
      <c r="BG76" s="16">
        <f t="shared" si="257"/>
        <v>0</v>
      </c>
      <c r="BH76" s="16">
        <f t="shared" si="258"/>
        <v>0</v>
      </c>
      <c r="BJ76" s="16">
        <f t="shared" si="259"/>
        <v>0</v>
      </c>
      <c r="BK76" s="16">
        <f t="shared" ref="BK76:BN76" si="314">+BK17*BK$65</f>
        <v>0</v>
      </c>
      <c r="BL76" s="16">
        <f t="shared" si="314"/>
        <v>0</v>
      </c>
      <c r="BM76" s="16">
        <f t="shared" si="314"/>
        <v>0</v>
      </c>
      <c r="BN76" s="16">
        <f t="shared" si="314"/>
        <v>0</v>
      </c>
      <c r="BP76" s="16">
        <f t="shared" si="261"/>
        <v>0</v>
      </c>
      <c r="BQ76" s="16">
        <f t="shared" ref="BQ76:BT76" si="315">+BQ17*BQ$65</f>
        <v>0</v>
      </c>
      <c r="BR76" s="16">
        <f t="shared" si="315"/>
        <v>0</v>
      </c>
      <c r="BS76" s="16">
        <f t="shared" si="315"/>
        <v>0</v>
      </c>
      <c r="BT76" s="16">
        <f t="shared" si="315"/>
        <v>0</v>
      </c>
      <c r="BV76" s="16">
        <f t="shared" si="263"/>
        <v>0</v>
      </c>
      <c r="BW76" s="16">
        <f t="shared" ref="BW76:BZ76" si="316">+BW17*BW$65</f>
        <v>0</v>
      </c>
      <c r="BX76" s="16">
        <f t="shared" si="316"/>
        <v>0</v>
      </c>
      <c r="BY76" s="16">
        <f t="shared" si="316"/>
        <v>0</v>
      </c>
      <c r="BZ76" s="16">
        <f t="shared" si="316"/>
        <v>0</v>
      </c>
    </row>
    <row r="77" spans="2:78" s="16" customFormat="1" x14ac:dyDescent="0.25">
      <c r="B77" s="23"/>
      <c r="C77" s="24"/>
    </row>
    <row r="78" spans="2:78" s="16" customFormat="1" x14ac:dyDescent="0.25">
      <c r="B78" s="23" t="s">
        <v>227</v>
      </c>
      <c r="C78" s="24"/>
      <c r="E78" s="17">
        <f>SUM(E66:E77)</f>
        <v>0</v>
      </c>
      <c r="F78" s="17">
        <f t="shared" ref="F78:P78" si="317">SUM(F66:F77)</f>
        <v>0</v>
      </c>
      <c r="G78" s="17">
        <f t="shared" si="317"/>
        <v>0</v>
      </c>
      <c r="H78" s="17">
        <f t="shared" si="317"/>
        <v>0</v>
      </c>
      <c r="I78" s="17">
        <f t="shared" si="317"/>
        <v>0</v>
      </c>
      <c r="J78" s="17">
        <f t="shared" si="317"/>
        <v>0</v>
      </c>
      <c r="K78" s="17">
        <f t="shared" si="317"/>
        <v>0</v>
      </c>
      <c r="L78" s="17">
        <f t="shared" si="317"/>
        <v>0</v>
      </c>
      <c r="M78" s="17">
        <f t="shared" si="317"/>
        <v>0</v>
      </c>
      <c r="N78" s="17">
        <f t="shared" si="317"/>
        <v>0</v>
      </c>
      <c r="O78" s="17">
        <f t="shared" si="317"/>
        <v>0</v>
      </c>
      <c r="P78" s="17">
        <f t="shared" si="317"/>
        <v>0</v>
      </c>
      <c r="R78" s="17">
        <f>SUM(R66:R77)</f>
        <v>0</v>
      </c>
      <c r="S78" s="17">
        <f t="shared" ref="S78" si="318">SUM(S66:S77)</f>
        <v>0</v>
      </c>
      <c r="T78" s="17">
        <f t="shared" ref="T78" si="319">SUM(T66:T77)</f>
        <v>0</v>
      </c>
      <c r="U78" s="17">
        <f t="shared" ref="U78" si="320">SUM(U66:U77)</f>
        <v>0</v>
      </c>
      <c r="V78" s="17">
        <f t="shared" ref="V78" si="321">SUM(V66:V77)</f>
        <v>28200</v>
      </c>
      <c r="W78" s="17">
        <f t="shared" ref="W78" si="322">SUM(W66:W77)</f>
        <v>0</v>
      </c>
      <c r="X78" s="17">
        <f t="shared" ref="X78" si="323">SUM(X66:X77)</f>
        <v>343200.00000000006</v>
      </c>
      <c r="Y78" s="17">
        <f t="shared" ref="Y78" si="324">SUM(Y66:Y77)</f>
        <v>0</v>
      </c>
      <c r="Z78" s="17">
        <f t="shared" ref="Z78" si="325">SUM(Z66:Z77)</f>
        <v>0</v>
      </c>
      <c r="AA78" s="17">
        <f t="shared" ref="AA78" si="326">SUM(AA66:AA77)</f>
        <v>185550.00000000003</v>
      </c>
      <c r="AB78" s="17">
        <f t="shared" ref="AB78" si="327">SUM(AB66:AB77)</f>
        <v>0</v>
      </c>
      <c r="AC78" s="17">
        <f t="shared" ref="AC78" si="328">SUM(AC66:AC77)</f>
        <v>0</v>
      </c>
      <c r="AE78" s="17">
        <f>SUM(AE66:AE77)</f>
        <v>173250.00000000006</v>
      </c>
      <c r="AF78" s="17">
        <f t="shared" ref="AF78" si="329">SUM(AF66:AF77)</f>
        <v>0</v>
      </c>
      <c r="AG78" s="17">
        <f t="shared" ref="AG78" si="330">SUM(AG66:AG77)</f>
        <v>0</v>
      </c>
      <c r="AH78" s="17">
        <f t="shared" ref="AH78" si="331">SUM(AH66:AH77)</f>
        <v>173250.00000000006</v>
      </c>
      <c r="AI78" s="17">
        <f t="shared" ref="AI78" si="332">SUM(AI66:AI77)</f>
        <v>0</v>
      </c>
      <c r="AJ78" s="17">
        <f t="shared" ref="AJ78" si="333">SUM(AJ66:AJ77)</f>
        <v>0</v>
      </c>
      <c r="AK78" s="17">
        <f t="shared" ref="AK78" si="334">SUM(AK66:AK77)</f>
        <v>581700.00000000023</v>
      </c>
      <c r="AL78" s="17">
        <f t="shared" ref="AL78" si="335">SUM(AL66:AL77)</f>
        <v>0</v>
      </c>
      <c r="AM78" s="17">
        <f t="shared" ref="AM78" si="336">SUM(AM66:AM77)</f>
        <v>0</v>
      </c>
      <c r="AN78" s="17">
        <f t="shared" ref="AN78" si="337">SUM(AN66:AN77)</f>
        <v>581550.00000000023</v>
      </c>
      <c r="AO78" s="17">
        <f t="shared" ref="AO78" si="338">SUM(AO66:AO77)</f>
        <v>0</v>
      </c>
      <c r="AP78" s="17">
        <f t="shared" ref="AP78:AV78" si="339">SUM(AP66:AP77)</f>
        <v>0</v>
      </c>
      <c r="AR78" s="17">
        <f t="shared" si="339"/>
        <v>0</v>
      </c>
      <c r="AS78" s="17">
        <f t="shared" si="339"/>
        <v>0</v>
      </c>
      <c r="AT78" s="17">
        <f t="shared" si="339"/>
        <v>0</v>
      </c>
      <c r="AU78" s="17">
        <f t="shared" si="339"/>
        <v>0</v>
      </c>
      <c r="AV78" s="17">
        <f t="shared" si="339"/>
        <v>0</v>
      </c>
      <c r="AX78" s="17">
        <f t="shared" ref="AX78:BB78" si="340">SUM(AX66:AX77)</f>
        <v>556950.00000000012</v>
      </c>
      <c r="AY78" s="17">
        <f t="shared" si="340"/>
        <v>0</v>
      </c>
      <c r="AZ78" s="17">
        <f t="shared" si="340"/>
        <v>28200</v>
      </c>
      <c r="BA78" s="17">
        <f t="shared" si="340"/>
        <v>343200.00000000006</v>
      </c>
      <c r="BB78" s="17">
        <f t="shared" si="340"/>
        <v>185550.00000000003</v>
      </c>
      <c r="BD78" s="17">
        <f t="shared" ref="BD78:BH78" si="341">SUM(BD66:BD77)</f>
        <v>1509750.0000000005</v>
      </c>
      <c r="BE78" s="17">
        <f t="shared" si="341"/>
        <v>173250.00000000006</v>
      </c>
      <c r="BF78" s="17">
        <f t="shared" si="341"/>
        <v>173250.00000000006</v>
      </c>
      <c r="BG78" s="17">
        <f t="shared" si="341"/>
        <v>581700.00000000023</v>
      </c>
      <c r="BH78" s="17">
        <f t="shared" si="341"/>
        <v>581550.00000000023</v>
      </c>
      <c r="BJ78" s="17">
        <f t="shared" ref="BJ78:BN78" si="342">SUM(BJ66:BJ77)</f>
        <v>3256681.725000001</v>
      </c>
      <c r="BK78" s="17">
        <f t="shared" si="342"/>
        <v>571725.00000000023</v>
      </c>
      <c r="BL78" s="17">
        <f t="shared" si="342"/>
        <v>571725.00000000023</v>
      </c>
      <c r="BM78" s="17">
        <f t="shared" si="342"/>
        <v>1056572.5500000003</v>
      </c>
      <c r="BN78" s="17">
        <f t="shared" si="342"/>
        <v>1056659.1750000003</v>
      </c>
      <c r="BP78" s="17">
        <f t="shared" ref="BP78:BT78" si="343">SUM(BP66:BP77)</f>
        <v>5369746.4700000025</v>
      </c>
      <c r="BQ78" s="17">
        <f t="shared" si="343"/>
        <v>1049699.8050000004</v>
      </c>
      <c r="BR78" s="17">
        <f t="shared" si="343"/>
        <v>1049699.8050000004</v>
      </c>
      <c r="BS78" s="17">
        <f t="shared" si="343"/>
        <v>1635190.3050000009</v>
      </c>
      <c r="BT78" s="17">
        <f t="shared" si="343"/>
        <v>1635156.5550000009</v>
      </c>
      <c r="BV78" s="17">
        <f t="shared" ref="BV78:BZ78" si="344">SUM(BV66:BV77)</f>
        <v>7376670.1965000033</v>
      </c>
      <c r="BW78" s="17">
        <f t="shared" si="344"/>
        <v>1631234.335500001</v>
      </c>
      <c r="BX78" s="17">
        <f t="shared" si="344"/>
        <v>1631234.335500001</v>
      </c>
      <c r="BY78" s="17">
        <f t="shared" si="344"/>
        <v>2057153.0790000011</v>
      </c>
      <c r="BZ78" s="17">
        <f t="shared" si="344"/>
        <v>2057048.4465000012</v>
      </c>
    </row>
    <row r="79" spans="2:78" s="16" customFormat="1" x14ac:dyDescent="0.25">
      <c r="B79" s="23" t="s">
        <v>346</v>
      </c>
      <c r="C79" s="24"/>
      <c r="E79" s="29">
        <f t="shared" ref="E79:P79" si="345">IF(E46=0,0,1-(E78/E46))</f>
        <v>0</v>
      </c>
      <c r="F79" s="29">
        <f t="shared" si="345"/>
        <v>0</v>
      </c>
      <c r="G79" s="29">
        <f t="shared" si="345"/>
        <v>0</v>
      </c>
      <c r="H79" s="29">
        <f t="shared" si="345"/>
        <v>0</v>
      </c>
      <c r="I79" s="29">
        <f t="shared" si="345"/>
        <v>0</v>
      </c>
      <c r="J79" s="29">
        <f t="shared" si="345"/>
        <v>0</v>
      </c>
      <c r="K79" s="29">
        <f t="shared" si="345"/>
        <v>0</v>
      </c>
      <c r="L79" s="29">
        <f t="shared" si="345"/>
        <v>0</v>
      </c>
      <c r="M79" s="29">
        <f t="shared" si="345"/>
        <v>0</v>
      </c>
      <c r="N79" s="29">
        <f t="shared" si="345"/>
        <v>0</v>
      </c>
      <c r="O79" s="29">
        <f t="shared" si="345"/>
        <v>0</v>
      </c>
      <c r="P79" s="29">
        <f t="shared" si="345"/>
        <v>0</v>
      </c>
      <c r="R79" s="29">
        <f t="shared" ref="R79:W79" si="346">IF(R46=0,0,1-(R78/R46))</f>
        <v>0</v>
      </c>
      <c r="S79" s="29">
        <f t="shared" si="346"/>
        <v>0</v>
      </c>
      <c r="T79" s="29">
        <f t="shared" si="346"/>
        <v>0</v>
      </c>
      <c r="U79" s="29">
        <f t="shared" si="346"/>
        <v>0</v>
      </c>
      <c r="V79" s="29">
        <f t="shared" si="346"/>
        <v>0</v>
      </c>
      <c r="W79" s="29">
        <f t="shared" si="346"/>
        <v>0</v>
      </c>
      <c r="X79" s="29">
        <f>IF(X46=0,0,1-(X78/X46))</f>
        <v>-0.38610662358642966</v>
      </c>
      <c r="Y79" s="29">
        <f t="shared" ref="Y79:AC79" si="347">IF(Y46=0,0,1-(Y78/Y46))</f>
        <v>0</v>
      </c>
      <c r="Z79" s="29">
        <f t="shared" si="347"/>
        <v>0</v>
      </c>
      <c r="AA79" s="29">
        <f t="shared" si="347"/>
        <v>0.25000000000000011</v>
      </c>
      <c r="AB79" s="29">
        <f t="shared" si="347"/>
        <v>0</v>
      </c>
      <c r="AC79" s="29">
        <f t="shared" si="347"/>
        <v>0</v>
      </c>
      <c r="AE79" s="29">
        <f t="shared" ref="AE79:AP79" si="348">IF(AE46=0,0,1-(AE78/AE46))</f>
        <v>0.25</v>
      </c>
      <c r="AF79" s="29">
        <f t="shared" si="348"/>
        <v>0</v>
      </c>
      <c r="AG79" s="29">
        <f t="shared" si="348"/>
        <v>0</v>
      </c>
      <c r="AH79" s="29">
        <f t="shared" si="348"/>
        <v>0.25</v>
      </c>
      <c r="AI79" s="29">
        <f t="shared" si="348"/>
        <v>0</v>
      </c>
      <c r="AJ79" s="29">
        <f t="shared" si="348"/>
        <v>0</v>
      </c>
      <c r="AK79" s="29">
        <f t="shared" si="348"/>
        <v>0.24999999999999989</v>
      </c>
      <c r="AL79" s="29">
        <f t="shared" si="348"/>
        <v>0</v>
      </c>
      <c r="AM79" s="29">
        <f t="shared" si="348"/>
        <v>0</v>
      </c>
      <c r="AN79" s="29">
        <f t="shared" si="348"/>
        <v>0.24999999999999989</v>
      </c>
      <c r="AO79" s="29">
        <f t="shared" si="348"/>
        <v>0</v>
      </c>
      <c r="AP79" s="29">
        <f t="shared" si="348"/>
        <v>0</v>
      </c>
      <c r="AR79" s="29">
        <f t="shared" ref="AR79:AV79" si="349">IF(AR46=0,0,1-(AR78/AR46))</f>
        <v>0</v>
      </c>
      <c r="AS79" s="29">
        <f t="shared" si="349"/>
        <v>0</v>
      </c>
      <c r="AT79" s="29">
        <f t="shared" si="349"/>
        <v>0</v>
      </c>
      <c r="AU79" s="29">
        <f t="shared" si="349"/>
        <v>0</v>
      </c>
      <c r="AV79" s="29">
        <f t="shared" si="349"/>
        <v>0</v>
      </c>
      <c r="AX79" s="29">
        <f t="shared" ref="AX79:BB79" si="350">IF(AX46=0,0,1-(AX78/AX46))</f>
        <v>-0.12515151515151501</v>
      </c>
      <c r="AY79" s="29">
        <f t="shared" si="350"/>
        <v>0</v>
      </c>
      <c r="AZ79" s="29">
        <f t="shared" si="350"/>
        <v>0</v>
      </c>
      <c r="BA79" s="29">
        <f t="shared" si="350"/>
        <v>-0.38610662358642966</v>
      </c>
      <c r="BB79" s="29">
        <f t="shared" si="350"/>
        <v>0.25000000000000011</v>
      </c>
      <c r="BD79" s="29">
        <f t="shared" ref="BD79:BH79" si="351">IF(BD46=0,0,1-(BD78/BD46))</f>
        <v>0.25</v>
      </c>
      <c r="BE79" s="29">
        <f t="shared" si="351"/>
        <v>0.25</v>
      </c>
      <c r="BF79" s="29">
        <f t="shared" si="351"/>
        <v>0.25</v>
      </c>
      <c r="BG79" s="29">
        <f t="shared" si="351"/>
        <v>0.24999999999999989</v>
      </c>
      <c r="BH79" s="29">
        <f t="shared" si="351"/>
        <v>0.24999999999999989</v>
      </c>
      <c r="BJ79" s="29">
        <f t="shared" ref="BJ79:BN79" si="352">IF(BJ46=0,0,1-(BJ78/BJ46))</f>
        <v>0.25</v>
      </c>
      <c r="BK79" s="29">
        <f t="shared" si="352"/>
        <v>0.25</v>
      </c>
      <c r="BL79" s="29">
        <f t="shared" si="352"/>
        <v>0.25</v>
      </c>
      <c r="BM79" s="29">
        <f t="shared" si="352"/>
        <v>0.25</v>
      </c>
      <c r="BN79" s="29">
        <f t="shared" si="352"/>
        <v>0.25</v>
      </c>
      <c r="BP79" s="29">
        <f t="shared" ref="BP79:BT79" si="353">IF(BP46=0,0,1-(BP78/BP46))</f>
        <v>0.25</v>
      </c>
      <c r="BQ79" s="29">
        <f t="shared" si="353"/>
        <v>0.25</v>
      </c>
      <c r="BR79" s="29">
        <f t="shared" si="353"/>
        <v>0.25</v>
      </c>
      <c r="BS79" s="29">
        <f t="shared" si="353"/>
        <v>0.25</v>
      </c>
      <c r="BT79" s="29">
        <f t="shared" si="353"/>
        <v>0.25</v>
      </c>
      <c r="BV79" s="29">
        <f t="shared" ref="BV79:BZ79" si="354">IF(BV46=0,0,1-(BV78/BV46))</f>
        <v>0.25000000000000011</v>
      </c>
      <c r="BW79" s="29">
        <f t="shared" si="354"/>
        <v>0.24999999999999989</v>
      </c>
      <c r="BX79" s="29">
        <f t="shared" si="354"/>
        <v>0.24999999999999989</v>
      </c>
      <c r="BY79" s="29">
        <f t="shared" si="354"/>
        <v>0.25</v>
      </c>
      <c r="BZ79" s="29">
        <f t="shared" si="354"/>
        <v>0.25</v>
      </c>
    </row>
    <row r="80" spans="2:78" s="16" customFormat="1" x14ac:dyDescent="0.25">
      <c r="C80" s="24"/>
    </row>
    <row r="81" spans="2:78" s="16" customFormat="1" x14ac:dyDescent="0.25">
      <c r="B81" s="19" t="s">
        <v>228</v>
      </c>
      <c r="C81" s="33"/>
    </row>
    <row r="82" spans="2:78" s="16" customFormat="1" x14ac:dyDescent="0.25">
      <c r="B82" s="23" t="s">
        <v>229</v>
      </c>
      <c r="C82" s="33"/>
      <c r="E82" s="48">
        <f>+Production!D90</f>
        <v>0</v>
      </c>
      <c r="F82" s="48">
        <f>+Production!E90</f>
        <v>0</v>
      </c>
      <c r="G82" s="48">
        <f>+Production!F90</f>
        <v>0</v>
      </c>
      <c r="H82" s="48">
        <f>+Production!G90</f>
        <v>0</v>
      </c>
      <c r="I82" s="48">
        <f>+Production!H90</f>
        <v>0</v>
      </c>
      <c r="J82" s="48">
        <f>+Production!I90</f>
        <v>0</v>
      </c>
      <c r="K82" s="48">
        <f>+Production!J90</f>
        <v>0</v>
      </c>
      <c r="L82" s="48">
        <f>+Production!K90</f>
        <v>0</v>
      </c>
      <c r="M82" s="48">
        <f>+Production!L90</f>
        <v>0</v>
      </c>
      <c r="N82" s="48">
        <f>+Production!M90</f>
        <v>0</v>
      </c>
      <c r="O82" s="48">
        <f>+Production!N90</f>
        <v>0</v>
      </c>
      <c r="P82" s="48">
        <f>+Production!O90</f>
        <v>0</v>
      </c>
      <c r="Q82" s="34"/>
      <c r="R82" s="49">
        <f>+Production!P90</f>
        <v>0</v>
      </c>
      <c r="S82" s="49">
        <f>+Production!R90</f>
        <v>0</v>
      </c>
      <c r="T82" s="49">
        <f>+Production!S90</f>
        <v>0</v>
      </c>
      <c r="U82" s="49">
        <f>+Production!T90</f>
        <v>0</v>
      </c>
      <c r="V82" s="49">
        <f>+Production!U90</f>
        <v>3.3548128847830245</v>
      </c>
      <c r="W82" s="49">
        <f>+Production!V90</f>
        <v>3.354812884783025</v>
      </c>
      <c r="X82" s="49">
        <f>+Production!W90</f>
        <v>3.354812884783025</v>
      </c>
      <c r="Y82" s="49">
        <f>+Production!X90</f>
        <v>3.3502877239065532</v>
      </c>
      <c r="Z82" s="49">
        <f>+Production!Y90</f>
        <v>3.3499825330022679</v>
      </c>
      <c r="AA82" s="49">
        <f>+Production!Z90</f>
        <v>3.3503675746696659</v>
      </c>
      <c r="AB82" s="49">
        <f>+Production!AA90</f>
        <v>3.3502118974262904</v>
      </c>
      <c r="AC82" s="49">
        <f>+Production!AB90</f>
        <v>3.3489416020951861</v>
      </c>
      <c r="AD82" s="25"/>
      <c r="AE82" s="48">
        <f>+Production!AC90</f>
        <v>3.348894126124156</v>
      </c>
      <c r="AF82" s="48">
        <f>+Production!AE90</f>
        <v>3.3682190049327225</v>
      </c>
      <c r="AG82" s="48">
        <f>+Production!AF90</f>
        <v>3.3804217428069534</v>
      </c>
      <c r="AH82" s="48">
        <f>+Production!AG90</f>
        <v>3.3897199747475959</v>
      </c>
      <c r="AI82" s="48">
        <f>+Production!AH90</f>
        <v>2.2684227444645599</v>
      </c>
      <c r="AJ82" s="48">
        <f>+Production!AI90</f>
        <v>1.9354754930120461</v>
      </c>
      <c r="AK82" s="48">
        <f>+Production!AJ90</f>
        <v>1.7884954270639408</v>
      </c>
      <c r="AL82" s="48">
        <f>+Production!AK90</f>
        <v>1.678107709084744</v>
      </c>
      <c r="AM82" s="48">
        <f>+Production!AL90</f>
        <v>1.609962044176902</v>
      </c>
      <c r="AN82" s="48">
        <f>+Production!AM90</f>
        <v>1.5698649785249965</v>
      </c>
      <c r="AO82" s="48">
        <f>+Production!AN90</f>
        <v>1.5476871571937121</v>
      </c>
      <c r="AP82" s="48">
        <f>+Production!AO90</f>
        <v>1.530596248141733</v>
      </c>
      <c r="AR82" s="234">
        <f>IF(AR32=0,0,+AR94/AR32)</f>
        <v>0</v>
      </c>
      <c r="AS82" s="234">
        <f t="shared" ref="AS82:AV82" si="355">IF(AS32=0,0,+AS94/AS32)</f>
        <v>0</v>
      </c>
      <c r="AT82" s="234">
        <f t="shared" si="355"/>
        <v>0</v>
      </c>
      <c r="AU82" s="234">
        <f t="shared" si="355"/>
        <v>0</v>
      </c>
      <c r="AV82" s="234">
        <f t="shared" si="355"/>
        <v>0</v>
      </c>
      <c r="AX82" s="234">
        <f t="shared" ref="AX82:BH82" si="356">IF(AX32=0,0,+AX94/AX32)</f>
        <v>3.3507246563904078</v>
      </c>
      <c r="AY82" s="234">
        <f t="shared" si="356"/>
        <v>0</v>
      </c>
      <c r="AZ82" s="234">
        <f t="shared" si="356"/>
        <v>0</v>
      </c>
      <c r="BA82" s="234">
        <f t="shared" si="356"/>
        <v>3.3516943805639485</v>
      </c>
      <c r="BB82" s="234">
        <f t="shared" si="356"/>
        <v>3.3498403580637142</v>
      </c>
      <c r="BD82" s="234">
        <f t="shared" si="356"/>
        <v>1.9612886307230293</v>
      </c>
      <c r="BE82" s="234">
        <f t="shared" si="356"/>
        <v>3.3658449579546108</v>
      </c>
      <c r="BF82" s="234">
        <f t="shared" si="356"/>
        <v>2.5312060707414008</v>
      </c>
      <c r="BG82" s="234">
        <f t="shared" si="356"/>
        <v>1.6921883934418622</v>
      </c>
      <c r="BH82" s="234">
        <f t="shared" si="356"/>
        <v>1.5493827946201468</v>
      </c>
      <c r="BJ82" s="234">
        <f>IF(BJ32=0,0,+BJ94/BJ32)</f>
        <v>1.4749364198173587</v>
      </c>
      <c r="BK82" s="48">
        <f>+Production!AP90</f>
        <v>1.5057870132419999</v>
      </c>
      <c r="BL82" s="48">
        <f>+Production!BK90</f>
        <v>1.491654077184642</v>
      </c>
      <c r="BM82" s="48">
        <f>+Production!BL90</f>
        <v>1.4632352134654145</v>
      </c>
      <c r="BN82" s="48">
        <f>+Production!BM90</f>
        <v>1.4615151877171919</v>
      </c>
      <c r="BP82" s="234">
        <f>IF(BP32=0,0,+BP94/BP32)</f>
        <v>1.433880303050219</v>
      </c>
      <c r="BQ82" s="48">
        <f>+Production!BN90</f>
        <v>1.4567157243431044</v>
      </c>
      <c r="BR82" s="48">
        <f>+Production!BQ90</f>
        <v>1.4447865179251664</v>
      </c>
      <c r="BS82" s="48">
        <f>+Production!BR90</f>
        <v>1.438613551557943</v>
      </c>
      <c r="BT82" s="48">
        <f>+Production!BS90</f>
        <v>1.4073123330356385</v>
      </c>
      <c r="BV82" s="234">
        <f>IF(BV32=0,0,+BV94/BV32)</f>
        <v>1.4078176748892381</v>
      </c>
      <c r="BW82" s="48">
        <f>+Production!BT90</f>
        <v>1.4149118770299596</v>
      </c>
      <c r="BX82" s="48">
        <f>+Production!BW90</f>
        <v>1.406619243210131</v>
      </c>
      <c r="BY82" s="48">
        <f>+Production!BX90</f>
        <v>1.4065285262569265</v>
      </c>
      <c r="BZ82" s="48">
        <f>+Production!BY90</f>
        <v>1.4049406004742768</v>
      </c>
    </row>
    <row r="83" spans="2:78" s="16" customFormat="1" x14ac:dyDescent="0.25">
      <c r="B83" s="23" t="str">
        <f t="shared" ref="B83:B92" si="357">+B21</f>
        <v>Professional</v>
      </c>
      <c r="C83" s="24"/>
      <c r="E83" s="16">
        <f t="shared" ref="E83:P83" si="358">+E21*$C83</f>
        <v>0</v>
      </c>
      <c r="F83" s="16">
        <f t="shared" si="358"/>
        <v>0</v>
      </c>
      <c r="G83" s="16">
        <f t="shared" si="358"/>
        <v>0</v>
      </c>
      <c r="H83" s="16">
        <f t="shared" si="358"/>
        <v>0</v>
      </c>
      <c r="I83" s="16">
        <f t="shared" si="358"/>
        <v>0</v>
      </c>
      <c r="J83" s="16">
        <f t="shared" si="358"/>
        <v>0</v>
      </c>
      <c r="K83" s="16">
        <f t="shared" si="358"/>
        <v>0</v>
      </c>
      <c r="L83" s="16">
        <f t="shared" si="358"/>
        <v>0</v>
      </c>
      <c r="M83" s="16">
        <f t="shared" si="358"/>
        <v>0</v>
      </c>
      <c r="N83" s="16">
        <f t="shared" si="358"/>
        <v>0</v>
      </c>
      <c r="O83" s="16">
        <f t="shared" si="358"/>
        <v>0</v>
      </c>
      <c r="P83" s="16">
        <f t="shared" si="358"/>
        <v>0</v>
      </c>
      <c r="R83" s="16">
        <f t="shared" ref="R83" si="359">+R21*R$82</f>
        <v>0</v>
      </c>
      <c r="S83" s="16">
        <f>+S21*S$82</f>
        <v>0</v>
      </c>
      <c r="T83" s="16">
        <f t="shared" ref="T83:AC83" si="360">+T21*T$82</f>
        <v>0</v>
      </c>
      <c r="U83" s="16">
        <f t="shared" si="360"/>
        <v>0</v>
      </c>
      <c r="V83" s="16">
        <f t="shared" si="360"/>
        <v>0</v>
      </c>
      <c r="W83" s="16">
        <f t="shared" si="360"/>
        <v>0</v>
      </c>
      <c r="X83" s="16">
        <f t="shared" si="360"/>
        <v>133857.03410284271</v>
      </c>
      <c r="Y83" s="16">
        <f t="shared" si="360"/>
        <v>133676.48018387149</v>
      </c>
      <c r="Z83" s="16">
        <f t="shared" si="360"/>
        <v>133664.30306679051</v>
      </c>
      <c r="AA83" s="16">
        <f t="shared" si="360"/>
        <v>126643.8943225134</v>
      </c>
      <c r="AB83" s="16">
        <f t="shared" si="360"/>
        <v>126638.0097227138</v>
      </c>
      <c r="AC83" s="16">
        <f t="shared" si="360"/>
        <v>126589.99255919806</v>
      </c>
      <c r="AE83" s="16">
        <f t="shared" ref="AE83:AP83" si="361">+AE21*AE$82</f>
        <v>131511.07233289565</v>
      </c>
      <c r="AF83" s="16">
        <f t="shared" si="361"/>
        <v>132269.96032370807</v>
      </c>
      <c r="AG83" s="16">
        <f t="shared" si="361"/>
        <v>132749.16184002912</v>
      </c>
      <c r="AH83" s="16">
        <f t="shared" si="361"/>
        <v>125284.0502666712</v>
      </c>
      <c r="AI83" s="16">
        <f t="shared" si="361"/>
        <v>83840.904635410174</v>
      </c>
      <c r="AJ83" s="16">
        <f t="shared" si="361"/>
        <v>71535.174221725247</v>
      </c>
      <c r="AK83" s="16">
        <f t="shared" si="361"/>
        <v>218965.49513543834</v>
      </c>
      <c r="AL83" s="16">
        <f t="shared" si="361"/>
        <v>205450.72682324526</v>
      </c>
      <c r="AM83" s="16">
        <f t="shared" si="361"/>
        <v>197107.65306857816</v>
      </c>
      <c r="AN83" s="16">
        <f t="shared" si="361"/>
        <v>181319.40501963717</v>
      </c>
      <c r="AO83" s="16">
        <f t="shared" si="361"/>
        <v>178757.8666558738</v>
      </c>
      <c r="AP83" s="16">
        <f t="shared" si="361"/>
        <v>176783.86666037023</v>
      </c>
      <c r="AR83" s="16">
        <f t="shared" ref="AR83:AR92" si="362">SUM(E83:P83)</f>
        <v>0</v>
      </c>
      <c r="AS83" s="16">
        <f t="shared" ref="AS83:AS92" si="363">SUM(E83:G83)</f>
        <v>0</v>
      </c>
      <c r="AT83" s="16">
        <f t="shared" ref="AT83:AT92" si="364">SUM(H83:J83)</f>
        <v>0</v>
      </c>
      <c r="AU83" s="16">
        <f t="shared" ref="AU83:AU92" si="365">SUM(K83:M83)</f>
        <v>0</v>
      </c>
      <c r="AV83" s="16">
        <f t="shared" ref="AV83:AV92" si="366">SUM(N83:P83)</f>
        <v>0</v>
      </c>
      <c r="AX83" s="16">
        <f t="shared" ref="AX83:AX92" si="367">SUM(R83:AC83)</f>
        <v>781069.71395792998</v>
      </c>
      <c r="AY83" s="16">
        <f t="shared" ref="AY83:AY92" si="368">SUM(R83:T83)</f>
        <v>0</v>
      </c>
      <c r="AZ83" s="16">
        <f t="shared" ref="AZ83:AZ92" si="369">SUM(U83:W83)</f>
        <v>0</v>
      </c>
      <c r="BA83" s="16">
        <f t="shared" ref="BA83:BA92" si="370">SUM(X83:Z83)</f>
        <v>401197.81735350471</v>
      </c>
      <c r="BB83" s="16">
        <f t="shared" ref="BB83:BB92" si="371">SUM(AA83:AC83)</f>
        <v>379871.89660442527</v>
      </c>
      <c r="BD83" s="16">
        <f t="shared" ref="BD83:BD92" si="372">SUM(AE83:AP83)</f>
        <v>1835575.3369835822</v>
      </c>
      <c r="BE83" s="16">
        <f t="shared" ref="BE83:BE92" si="373">SUM(AE83:AG83)</f>
        <v>396530.19449663284</v>
      </c>
      <c r="BF83" s="16">
        <f t="shared" ref="BF83:BF92" si="374">SUM(AH83:AJ83)</f>
        <v>280660.1291238066</v>
      </c>
      <c r="BG83" s="16">
        <f t="shared" ref="BG83:BG92" si="375">SUM(AK83:AM83)</f>
        <v>621523.87502726167</v>
      </c>
      <c r="BH83" s="16">
        <f t="shared" ref="BH83:BH92" si="376">SUM(AN83:AP83)</f>
        <v>536861.13833588117</v>
      </c>
      <c r="BJ83" s="16">
        <f t="shared" ref="BJ83:BJ92" si="377">SUM(BK83:BN83)</f>
        <v>3194374.5482810456</v>
      </c>
      <c r="BK83" s="16">
        <f t="shared" ref="BK83:BN83" si="378">+BK21*BK$82</f>
        <v>539494.87689135713</v>
      </c>
      <c r="BL83" s="16">
        <f t="shared" si="378"/>
        <v>500318.67733665532</v>
      </c>
      <c r="BM83" s="16">
        <f t="shared" si="378"/>
        <v>1105824.1189155986</v>
      </c>
      <c r="BN83" s="16">
        <f t="shared" si="378"/>
        <v>1048736.8751374346</v>
      </c>
      <c r="BP83" s="16">
        <f t="shared" ref="BP83:BP92" si="379">SUM(BQ83:BT83)</f>
        <v>5803749.7227109801</v>
      </c>
      <c r="BQ83" s="16">
        <f t="shared" ref="BQ83:BT83" si="380">+BQ21*BQ$82</f>
        <v>1088657.657466043</v>
      </c>
      <c r="BR83" s="16">
        <f t="shared" si="380"/>
        <v>1019078.834279945</v>
      </c>
      <c r="BS83" s="16">
        <f t="shared" si="380"/>
        <v>1910530.389466749</v>
      </c>
      <c r="BT83" s="16">
        <f t="shared" si="380"/>
        <v>1785482.8414982434</v>
      </c>
      <c r="BV83" s="16">
        <f t="shared" ref="BV83:BV92" si="381">SUM(BW83:BZ83)</f>
        <v>9036270.1002456397</v>
      </c>
      <c r="BW83" s="16">
        <f t="shared" ref="BW83:BZ83" si="382">+BW21*BW$82</f>
        <v>1882314.8604070346</v>
      </c>
      <c r="BX83" s="16">
        <f t="shared" si="382"/>
        <v>1779501.8078459443</v>
      </c>
      <c r="BY83" s="16">
        <f t="shared" si="382"/>
        <v>2635677.9199071578</v>
      </c>
      <c r="BZ83" s="16">
        <f t="shared" si="382"/>
        <v>2738775.5120855039</v>
      </c>
    </row>
    <row r="84" spans="2:78" s="16" customFormat="1" x14ac:dyDescent="0.25">
      <c r="B84" s="23" t="str">
        <f t="shared" si="357"/>
        <v>PST</v>
      </c>
      <c r="C84" s="24"/>
      <c r="E84" s="16">
        <f t="shared" ref="E84:P84" si="383">+E22*$C84</f>
        <v>0</v>
      </c>
      <c r="F84" s="16">
        <f t="shared" si="383"/>
        <v>0</v>
      </c>
      <c r="G84" s="16">
        <f t="shared" si="383"/>
        <v>0</v>
      </c>
      <c r="H84" s="16">
        <f t="shared" si="383"/>
        <v>0</v>
      </c>
      <c r="I84" s="16">
        <f t="shared" si="383"/>
        <v>0</v>
      </c>
      <c r="J84" s="16">
        <f t="shared" si="383"/>
        <v>0</v>
      </c>
      <c r="K84" s="16">
        <f t="shared" si="383"/>
        <v>0</v>
      </c>
      <c r="L84" s="16">
        <f t="shared" si="383"/>
        <v>0</v>
      </c>
      <c r="M84" s="16">
        <f t="shared" si="383"/>
        <v>0</v>
      </c>
      <c r="N84" s="16">
        <f t="shared" si="383"/>
        <v>0</v>
      </c>
      <c r="O84" s="16">
        <f t="shared" si="383"/>
        <v>0</v>
      </c>
      <c r="P84" s="16">
        <f t="shared" si="383"/>
        <v>0</v>
      </c>
      <c r="R84" s="16">
        <f t="shared" ref="R84:AC84" si="384">+R22*R$82</f>
        <v>0</v>
      </c>
      <c r="S84" s="16">
        <f t="shared" si="384"/>
        <v>0</v>
      </c>
      <c r="T84" s="16">
        <f t="shared" si="384"/>
        <v>0</v>
      </c>
      <c r="U84" s="16">
        <f t="shared" si="384"/>
        <v>0</v>
      </c>
      <c r="V84" s="16">
        <f t="shared" si="384"/>
        <v>0</v>
      </c>
      <c r="W84" s="16">
        <f t="shared" si="384"/>
        <v>0</v>
      </c>
      <c r="X84" s="16">
        <f t="shared" si="384"/>
        <v>22309.505683807118</v>
      </c>
      <c r="Y84" s="16">
        <f t="shared" si="384"/>
        <v>22279.413363978583</v>
      </c>
      <c r="Z84" s="16">
        <f t="shared" si="384"/>
        <v>22277.383844465083</v>
      </c>
      <c r="AA84" s="16">
        <f t="shared" si="384"/>
        <v>44559.888743106567</v>
      </c>
      <c r="AB84" s="16">
        <f t="shared" si="384"/>
        <v>44557.818235769671</v>
      </c>
      <c r="AC84" s="16">
        <f t="shared" si="384"/>
        <v>44540.923307865982</v>
      </c>
      <c r="AE84" s="16">
        <f t="shared" ref="AE84:AP84" si="385">+AE22*AE$82</f>
        <v>73491.481597794613</v>
      </c>
      <c r="AF84" s="16">
        <f t="shared" si="385"/>
        <v>73915.566063248611</v>
      </c>
      <c r="AG84" s="16">
        <f t="shared" si="385"/>
        <v>74183.355145898604</v>
      </c>
      <c r="AH84" s="16">
        <f t="shared" si="385"/>
        <v>99183.206461114693</v>
      </c>
      <c r="AI84" s="16">
        <f t="shared" si="385"/>
        <v>66374.049503033049</v>
      </c>
      <c r="AJ84" s="16">
        <f t="shared" si="385"/>
        <v>56632.012925532494</v>
      </c>
      <c r="AK84" s="16">
        <f t="shared" si="385"/>
        <v>91579.908342809111</v>
      </c>
      <c r="AL84" s="16">
        <f t="shared" si="385"/>
        <v>85927.50524368434</v>
      </c>
      <c r="AM84" s="16">
        <f t="shared" si="385"/>
        <v>82438.106472078289</v>
      </c>
      <c r="AN84" s="16">
        <f t="shared" si="385"/>
        <v>114835.62317910352</v>
      </c>
      <c r="AO84" s="16">
        <f t="shared" si="385"/>
        <v>113213.31554872006</v>
      </c>
      <c r="AP84" s="16">
        <f t="shared" si="385"/>
        <v>111963.1155515678</v>
      </c>
      <c r="AR84" s="16">
        <f t="shared" si="362"/>
        <v>0</v>
      </c>
      <c r="AS84" s="16">
        <f t="shared" si="363"/>
        <v>0</v>
      </c>
      <c r="AT84" s="16">
        <f t="shared" si="364"/>
        <v>0</v>
      </c>
      <c r="AU84" s="16">
        <f t="shared" si="365"/>
        <v>0</v>
      </c>
      <c r="AV84" s="16">
        <f t="shared" si="366"/>
        <v>0</v>
      </c>
      <c r="AX84" s="16">
        <f t="shared" si="367"/>
        <v>200524.933178993</v>
      </c>
      <c r="AY84" s="16">
        <f t="shared" si="368"/>
        <v>0</v>
      </c>
      <c r="AZ84" s="16">
        <f t="shared" si="369"/>
        <v>0</v>
      </c>
      <c r="BA84" s="16">
        <f t="shared" si="370"/>
        <v>66866.302892250795</v>
      </c>
      <c r="BB84" s="16">
        <f t="shared" si="371"/>
        <v>133658.63028674221</v>
      </c>
      <c r="BD84" s="16">
        <f t="shared" si="372"/>
        <v>1043737.2460345851</v>
      </c>
      <c r="BE84" s="16">
        <f t="shared" si="373"/>
        <v>221590.40280694183</v>
      </c>
      <c r="BF84" s="16">
        <f t="shared" si="374"/>
        <v>222189.26888968024</v>
      </c>
      <c r="BG84" s="16">
        <f t="shared" si="375"/>
        <v>259945.52005857177</v>
      </c>
      <c r="BH84" s="16">
        <f t="shared" si="376"/>
        <v>340012.05427939136</v>
      </c>
      <c r="BJ84" s="16">
        <f t="shared" si="377"/>
        <v>2708480.7881783359</v>
      </c>
      <c r="BK84" s="16">
        <f t="shared" ref="BK84:BN84" si="386">+BK22*BK$82</f>
        <v>472536.29288001853</v>
      </c>
      <c r="BL84" s="16">
        <f t="shared" si="386"/>
        <v>576124.53753917885</v>
      </c>
      <c r="BM84" s="16">
        <f t="shared" si="386"/>
        <v>742016.12143160938</v>
      </c>
      <c r="BN84" s="16">
        <f t="shared" si="386"/>
        <v>917803.83632752905</v>
      </c>
      <c r="BP84" s="16">
        <f t="shared" si="379"/>
        <v>6107199.0058808029</v>
      </c>
      <c r="BQ84" s="16">
        <f t="shared" ref="BQ84:BT84" si="387">+BQ22*BQ$82</f>
        <v>1199956.6508866234</v>
      </c>
      <c r="BR84" s="16">
        <f t="shared" si="387"/>
        <v>1382231.7422709567</v>
      </c>
      <c r="BS84" s="16">
        <f t="shared" si="387"/>
        <v>1801901.2175107698</v>
      </c>
      <c r="BT84" s="16">
        <f t="shared" si="387"/>
        <v>1723109.3952124531</v>
      </c>
      <c r="BV84" s="16">
        <f t="shared" si="381"/>
        <v>11299371.260214627</v>
      </c>
      <c r="BW84" s="16">
        <f t="shared" ref="BW84:BZ84" si="388">+BW22*BW$82</f>
        <v>2366075.7162440531</v>
      </c>
      <c r="BX84" s="16">
        <f t="shared" si="388"/>
        <v>2642848.3320317618</v>
      </c>
      <c r="BY84" s="16">
        <f t="shared" si="388"/>
        <v>2978955.9641218502</v>
      </c>
      <c r="BZ84" s="16">
        <f t="shared" si="388"/>
        <v>3311491.2478169613</v>
      </c>
    </row>
    <row r="85" spans="2:78" s="16" customFormat="1" x14ac:dyDescent="0.25">
      <c r="B85" s="23" t="str">
        <f t="shared" si="357"/>
        <v>Calibration strips</v>
      </c>
      <c r="C85" s="24"/>
      <c r="E85" s="16">
        <f t="shared" ref="E85:P85" si="389">+E23*$C85</f>
        <v>0</v>
      </c>
      <c r="F85" s="16">
        <f t="shared" si="389"/>
        <v>0</v>
      </c>
      <c r="G85" s="16">
        <f t="shared" si="389"/>
        <v>0</v>
      </c>
      <c r="H85" s="16">
        <f t="shared" si="389"/>
        <v>0</v>
      </c>
      <c r="I85" s="16">
        <f t="shared" si="389"/>
        <v>0</v>
      </c>
      <c r="J85" s="16">
        <f t="shared" si="389"/>
        <v>0</v>
      </c>
      <c r="K85" s="16">
        <f t="shared" si="389"/>
        <v>0</v>
      </c>
      <c r="L85" s="16">
        <f t="shared" si="389"/>
        <v>0</v>
      </c>
      <c r="M85" s="16">
        <f t="shared" si="389"/>
        <v>0</v>
      </c>
      <c r="N85" s="16">
        <f t="shared" si="389"/>
        <v>0</v>
      </c>
      <c r="O85" s="16">
        <f t="shared" si="389"/>
        <v>0</v>
      </c>
      <c r="P85" s="16">
        <f t="shared" si="389"/>
        <v>0</v>
      </c>
      <c r="R85" s="16">
        <f t="shared" ref="R85:AC85" si="390">+R23*R$82</f>
        <v>0</v>
      </c>
      <c r="S85" s="16">
        <f t="shared" si="390"/>
        <v>0</v>
      </c>
      <c r="T85" s="16">
        <f t="shared" si="390"/>
        <v>0</v>
      </c>
      <c r="U85" s="16">
        <f t="shared" si="390"/>
        <v>0</v>
      </c>
      <c r="V85" s="16">
        <f t="shared" si="390"/>
        <v>0</v>
      </c>
      <c r="W85" s="16">
        <f t="shared" si="390"/>
        <v>0</v>
      </c>
      <c r="X85" s="16">
        <f t="shared" si="390"/>
        <v>1845.1470866306638</v>
      </c>
      <c r="Y85" s="16">
        <f t="shared" si="390"/>
        <v>1842.6582481486043</v>
      </c>
      <c r="Z85" s="16">
        <f t="shared" si="390"/>
        <v>1842.4903931512474</v>
      </c>
      <c r="AA85" s="16">
        <f t="shared" si="390"/>
        <v>1842.7021660683163</v>
      </c>
      <c r="AB85" s="16">
        <f t="shared" si="390"/>
        <v>1842.6165435844598</v>
      </c>
      <c r="AC85" s="16">
        <f t="shared" si="390"/>
        <v>1841.9178811523523</v>
      </c>
      <c r="AE85" s="16">
        <f t="shared" ref="AE85:AP85" si="391">+AE23*AE$82</f>
        <v>1841.8917693682858</v>
      </c>
      <c r="AF85" s="16">
        <f t="shared" si="391"/>
        <v>1852.5204527129974</v>
      </c>
      <c r="AG85" s="16">
        <f t="shared" si="391"/>
        <v>1859.2319585438245</v>
      </c>
      <c r="AH85" s="16">
        <f t="shared" si="391"/>
        <v>1864.3459861111778</v>
      </c>
      <c r="AI85" s="16">
        <f t="shared" si="391"/>
        <v>1247.6325094555079</v>
      </c>
      <c r="AJ85" s="16">
        <f t="shared" si="391"/>
        <v>1064.5115211566253</v>
      </c>
      <c r="AK85" s="16">
        <f t="shared" si="391"/>
        <v>983.67248488516748</v>
      </c>
      <c r="AL85" s="16">
        <f t="shared" si="391"/>
        <v>922.9592399966092</v>
      </c>
      <c r="AM85" s="16">
        <f t="shared" si="391"/>
        <v>885.47912429729615</v>
      </c>
      <c r="AN85" s="16">
        <f t="shared" si="391"/>
        <v>863.42573818874803</v>
      </c>
      <c r="AO85" s="16">
        <f t="shared" si="391"/>
        <v>851.22793645654167</v>
      </c>
      <c r="AP85" s="16">
        <f t="shared" si="391"/>
        <v>841.82793647795313</v>
      </c>
      <c r="AR85" s="16">
        <f t="shared" si="362"/>
        <v>0</v>
      </c>
      <c r="AS85" s="16">
        <f t="shared" si="363"/>
        <v>0</v>
      </c>
      <c r="AT85" s="16">
        <f t="shared" si="364"/>
        <v>0</v>
      </c>
      <c r="AU85" s="16">
        <f t="shared" si="365"/>
        <v>0</v>
      </c>
      <c r="AV85" s="16">
        <f t="shared" si="366"/>
        <v>0</v>
      </c>
      <c r="AX85" s="16">
        <f t="shared" si="367"/>
        <v>11057.532318735644</v>
      </c>
      <c r="AY85" s="16">
        <f t="shared" si="368"/>
        <v>0</v>
      </c>
      <c r="AZ85" s="16">
        <f t="shared" si="369"/>
        <v>0</v>
      </c>
      <c r="BA85" s="16">
        <f t="shared" si="370"/>
        <v>5530.2957279305156</v>
      </c>
      <c r="BB85" s="16">
        <f t="shared" si="371"/>
        <v>5527.2365908051288</v>
      </c>
      <c r="BD85" s="16">
        <f t="shared" si="372"/>
        <v>15078.726657650737</v>
      </c>
      <c r="BE85" s="16">
        <f t="shared" si="373"/>
        <v>5553.6441806251078</v>
      </c>
      <c r="BF85" s="16">
        <f t="shared" si="374"/>
        <v>4176.4900167233109</v>
      </c>
      <c r="BG85" s="16">
        <f t="shared" si="375"/>
        <v>2792.1108491790728</v>
      </c>
      <c r="BH85" s="16">
        <f t="shared" si="376"/>
        <v>2556.4816111232431</v>
      </c>
      <c r="BJ85" s="16">
        <f t="shared" si="377"/>
        <v>9771.6159611552594</v>
      </c>
      <c r="BK85" s="16">
        <f t="shared" ref="BK85:BN85" si="392">+BK23*BK$82</f>
        <v>2484.5485718493001</v>
      </c>
      <c r="BL85" s="16">
        <f t="shared" si="392"/>
        <v>2461.2292273546595</v>
      </c>
      <c r="BM85" s="16">
        <f t="shared" si="392"/>
        <v>2414.3381022179337</v>
      </c>
      <c r="BN85" s="16">
        <f t="shared" si="392"/>
        <v>2411.5000597333665</v>
      </c>
      <c r="BP85" s="16">
        <f t="shared" si="379"/>
        <v>9483.2564093220572</v>
      </c>
      <c r="BQ85" s="16">
        <f t="shared" ref="BQ85:BT85" si="393">+BQ23*BQ$82</f>
        <v>2403.5809451661221</v>
      </c>
      <c r="BR85" s="16">
        <f t="shared" si="393"/>
        <v>2383.8977545765247</v>
      </c>
      <c r="BS85" s="16">
        <f t="shared" si="393"/>
        <v>2373.7123600706059</v>
      </c>
      <c r="BT85" s="16">
        <f t="shared" si="393"/>
        <v>2322.0653495088036</v>
      </c>
      <c r="BV85" s="16">
        <f t="shared" si="381"/>
        <v>9294.4504075026343</v>
      </c>
      <c r="BW85" s="16">
        <f t="shared" ref="BW85:BZ85" si="394">+BW23*BW$82</f>
        <v>2334.6045970994332</v>
      </c>
      <c r="BX85" s="16">
        <f t="shared" si="394"/>
        <v>2320.9217512967161</v>
      </c>
      <c r="BY85" s="16">
        <f t="shared" si="394"/>
        <v>2320.7720683239286</v>
      </c>
      <c r="BZ85" s="16">
        <f t="shared" si="394"/>
        <v>2318.1519907825568</v>
      </c>
    </row>
    <row r="86" spans="2:78" s="16" customFormat="1" x14ac:dyDescent="0.25">
      <c r="B86" s="23" t="str">
        <f t="shared" si="357"/>
        <v>Customer4</v>
      </c>
      <c r="C86" s="24"/>
      <c r="E86" s="16">
        <f t="shared" ref="E86:P86" si="395">+E24*$C86</f>
        <v>0</v>
      </c>
      <c r="F86" s="16">
        <f t="shared" si="395"/>
        <v>0</v>
      </c>
      <c r="G86" s="16">
        <f t="shared" si="395"/>
        <v>0</v>
      </c>
      <c r="H86" s="16">
        <f t="shared" si="395"/>
        <v>0</v>
      </c>
      <c r="I86" s="16">
        <f t="shared" si="395"/>
        <v>0</v>
      </c>
      <c r="J86" s="16">
        <f t="shared" si="395"/>
        <v>0</v>
      </c>
      <c r="K86" s="16">
        <f t="shared" si="395"/>
        <v>0</v>
      </c>
      <c r="L86" s="16">
        <f t="shared" si="395"/>
        <v>0</v>
      </c>
      <c r="M86" s="16">
        <f t="shared" si="395"/>
        <v>0</v>
      </c>
      <c r="N86" s="16">
        <f t="shared" si="395"/>
        <v>0</v>
      </c>
      <c r="O86" s="16">
        <f t="shared" si="395"/>
        <v>0</v>
      </c>
      <c r="P86" s="16">
        <f t="shared" si="395"/>
        <v>0</v>
      </c>
      <c r="R86" s="16">
        <f t="shared" ref="R86:AC86" si="396">+R24*R$82</f>
        <v>0</v>
      </c>
      <c r="S86" s="16">
        <f t="shared" si="396"/>
        <v>0</v>
      </c>
      <c r="T86" s="16">
        <f t="shared" si="396"/>
        <v>0</v>
      </c>
      <c r="U86" s="16">
        <f t="shared" si="396"/>
        <v>0</v>
      </c>
      <c r="V86" s="16">
        <f t="shared" si="396"/>
        <v>0</v>
      </c>
      <c r="W86" s="16">
        <f t="shared" si="396"/>
        <v>0</v>
      </c>
      <c r="X86" s="16">
        <f t="shared" si="396"/>
        <v>0</v>
      </c>
      <c r="Y86" s="16">
        <f t="shared" si="396"/>
        <v>0</v>
      </c>
      <c r="Z86" s="16">
        <f t="shared" si="396"/>
        <v>0</v>
      </c>
      <c r="AA86" s="16">
        <f t="shared" si="396"/>
        <v>0</v>
      </c>
      <c r="AB86" s="16">
        <f t="shared" si="396"/>
        <v>0</v>
      </c>
      <c r="AC86" s="16">
        <f t="shared" si="396"/>
        <v>0</v>
      </c>
      <c r="AE86" s="16">
        <f t="shared" ref="AE86:AP86" si="397">+AE24*AE$82</f>
        <v>0</v>
      </c>
      <c r="AF86" s="16">
        <f t="shared" si="397"/>
        <v>0</v>
      </c>
      <c r="AG86" s="16">
        <f t="shared" si="397"/>
        <v>0</v>
      </c>
      <c r="AH86" s="16">
        <f t="shared" si="397"/>
        <v>0</v>
      </c>
      <c r="AI86" s="16">
        <f t="shared" si="397"/>
        <v>0</v>
      </c>
      <c r="AJ86" s="16">
        <f t="shared" si="397"/>
        <v>0</v>
      </c>
      <c r="AK86" s="16">
        <f t="shared" si="397"/>
        <v>0</v>
      </c>
      <c r="AL86" s="16">
        <f t="shared" si="397"/>
        <v>0</v>
      </c>
      <c r="AM86" s="16">
        <f t="shared" si="397"/>
        <v>0</v>
      </c>
      <c r="AN86" s="16">
        <f t="shared" si="397"/>
        <v>0</v>
      </c>
      <c r="AO86" s="16">
        <f t="shared" si="397"/>
        <v>0</v>
      </c>
      <c r="AP86" s="16">
        <f t="shared" si="397"/>
        <v>0</v>
      </c>
      <c r="AR86" s="16">
        <f t="shared" si="362"/>
        <v>0</v>
      </c>
      <c r="AS86" s="16">
        <f t="shared" si="363"/>
        <v>0</v>
      </c>
      <c r="AT86" s="16">
        <f t="shared" si="364"/>
        <v>0</v>
      </c>
      <c r="AU86" s="16">
        <f t="shared" si="365"/>
        <v>0</v>
      </c>
      <c r="AV86" s="16">
        <f t="shared" si="366"/>
        <v>0</v>
      </c>
      <c r="AX86" s="16">
        <f t="shared" si="367"/>
        <v>0</v>
      </c>
      <c r="AY86" s="16">
        <f t="shared" si="368"/>
        <v>0</v>
      </c>
      <c r="AZ86" s="16">
        <f t="shared" si="369"/>
        <v>0</v>
      </c>
      <c r="BA86" s="16">
        <f t="shared" si="370"/>
        <v>0</v>
      </c>
      <c r="BB86" s="16">
        <f t="shared" si="371"/>
        <v>0</v>
      </c>
      <c r="BD86" s="16">
        <f t="shared" si="372"/>
        <v>0</v>
      </c>
      <c r="BE86" s="16">
        <f t="shared" si="373"/>
        <v>0</v>
      </c>
      <c r="BF86" s="16">
        <f t="shared" si="374"/>
        <v>0</v>
      </c>
      <c r="BG86" s="16">
        <f t="shared" si="375"/>
        <v>0</v>
      </c>
      <c r="BH86" s="16">
        <f t="shared" si="376"/>
        <v>0</v>
      </c>
      <c r="BJ86" s="16">
        <f t="shared" si="377"/>
        <v>0</v>
      </c>
      <c r="BK86" s="16">
        <f t="shared" ref="BK86:BN86" si="398">+BK24*BK$82</f>
        <v>0</v>
      </c>
      <c r="BL86" s="16">
        <f t="shared" si="398"/>
        <v>0</v>
      </c>
      <c r="BM86" s="16">
        <f t="shared" si="398"/>
        <v>0</v>
      </c>
      <c r="BN86" s="16">
        <f t="shared" si="398"/>
        <v>0</v>
      </c>
      <c r="BP86" s="16">
        <f t="shared" si="379"/>
        <v>0</v>
      </c>
      <c r="BQ86" s="16">
        <f t="shared" ref="BQ86:BT86" si="399">+BQ24*BQ$82</f>
        <v>0</v>
      </c>
      <c r="BR86" s="16">
        <f t="shared" si="399"/>
        <v>0</v>
      </c>
      <c r="BS86" s="16">
        <f t="shared" si="399"/>
        <v>0</v>
      </c>
      <c r="BT86" s="16">
        <f t="shared" si="399"/>
        <v>0</v>
      </c>
      <c r="BV86" s="16">
        <f t="shared" si="381"/>
        <v>0</v>
      </c>
      <c r="BW86" s="16">
        <f t="shared" ref="BW86:BZ86" si="400">+BW24*BW$82</f>
        <v>0</v>
      </c>
      <c r="BX86" s="16">
        <f t="shared" si="400"/>
        <v>0</v>
      </c>
      <c r="BY86" s="16">
        <f t="shared" si="400"/>
        <v>0</v>
      </c>
      <c r="BZ86" s="16">
        <f t="shared" si="400"/>
        <v>0</v>
      </c>
    </row>
    <row r="87" spans="2:78" s="16" customFormat="1" x14ac:dyDescent="0.25">
      <c r="B87" s="23" t="str">
        <f t="shared" si="357"/>
        <v>Customer5</v>
      </c>
      <c r="C87" s="24"/>
      <c r="E87" s="16">
        <f t="shared" ref="E87:P87" si="401">+E25*$C87</f>
        <v>0</v>
      </c>
      <c r="F87" s="16">
        <f t="shared" si="401"/>
        <v>0</v>
      </c>
      <c r="G87" s="16">
        <f t="shared" si="401"/>
        <v>0</v>
      </c>
      <c r="H87" s="16">
        <f t="shared" si="401"/>
        <v>0</v>
      </c>
      <c r="I87" s="16">
        <f t="shared" si="401"/>
        <v>0</v>
      </c>
      <c r="J87" s="16">
        <f t="shared" si="401"/>
        <v>0</v>
      </c>
      <c r="K87" s="16">
        <f t="shared" si="401"/>
        <v>0</v>
      </c>
      <c r="L87" s="16">
        <f t="shared" si="401"/>
        <v>0</v>
      </c>
      <c r="M87" s="16">
        <f t="shared" si="401"/>
        <v>0</v>
      </c>
      <c r="N87" s="16">
        <f t="shared" si="401"/>
        <v>0</v>
      </c>
      <c r="O87" s="16">
        <f t="shared" si="401"/>
        <v>0</v>
      </c>
      <c r="P87" s="16">
        <f t="shared" si="401"/>
        <v>0</v>
      </c>
      <c r="R87" s="16">
        <f t="shared" ref="R87:AC87" si="402">+R25*R$82</f>
        <v>0</v>
      </c>
      <c r="S87" s="16">
        <f t="shared" si="402"/>
        <v>0</v>
      </c>
      <c r="T87" s="16">
        <f t="shared" si="402"/>
        <v>0</v>
      </c>
      <c r="U87" s="16">
        <f t="shared" si="402"/>
        <v>0</v>
      </c>
      <c r="V87" s="16">
        <f t="shared" si="402"/>
        <v>0</v>
      </c>
      <c r="W87" s="16">
        <f t="shared" si="402"/>
        <v>0</v>
      </c>
      <c r="X87" s="16">
        <f t="shared" si="402"/>
        <v>0</v>
      </c>
      <c r="Y87" s="16">
        <f t="shared" si="402"/>
        <v>0</v>
      </c>
      <c r="Z87" s="16">
        <f t="shared" si="402"/>
        <v>0</v>
      </c>
      <c r="AA87" s="16">
        <f t="shared" si="402"/>
        <v>0</v>
      </c>
      <c r="AB87" s="16">
        <f t="shared" si="402"/>
        <v>0</v>
      </c>
      <c r="AC87" s="16">
        <f t="shared" si="402"/>
        <v>0</v>
      </c>
      <c r="AE87" s="16">
        <f t="shared" ref="AE87:AP87" si="403">+AE25*AE$82</f>
        <v>0</v>
      </c>
      <c r="AF87" s="16">
        <f t="shared" si="403"/>
        <v>0</v>
      </c>
      <c r="AG87" s="16">
        <f t="shared" si="403"/>
        <v>0</v>
      </c>
      <c r="AH87" s="16">
        <f t="shared" si="403"/>
        <v>0</v>
      </c>
      <c r="AI87" s="16">
        <f t="shared" si="403"/>
        <v>0</v>
      </c>
      <c r="AJ87" s="16">
        <f t="shared" si="403"/>
        <v>0</v>
      </c>
      <c r="AK87" s="16">
        <f t="shared" si="403"/>
        <v>0</v>
      </c>
      <c r="AL87" s="16">
        <f t="shared" si="403"/>
        <v>0</v>
      </c>
      <c r="AM87" s="16">
        <f t="shared" si="403"/>
        <v>0</v>
      </c>
      <c r="AN87" s="16">
        <f t="shared" si="403"/>
        <v>0</v>
      </c>
      <c r="AO87" s="16">
        <f t="shared" si="403"/>
        <v>0</v>
      </c>
      <c r="AP87" s="16">
        <f t="shared" si="403"/>
        <v>0</v>
      </c>
      <c r="AR87" s="16">
        <f t="shared" si="362"/>
        <v>0</v>
      </c>
      <c r="AS87" s="16">
        <f t="shared" si="363"/>
        <v>0</v>
      </c>
      <c r="AT87" s="16">
        <f t="shared" si="364"/>
        <v>0</v>
      </c>
      <c r="AU87" s="16">
        <f t="shared" si="365"/>
        <v>0</v>
      </c>
      <c r="AV87" s="16">
        <f t="shared" si="366"/>
        <v>0</v>
      </c>
      <c r="AX87" s="16">
        <f t="shared" si="367"/>
        <v>0</v>
      </c>
      <c r="AY87" s="16">
        <f t="shared" si="368"/>
        <v>0</v>
      </c>
      <c r="AZ87" s="16">
        <f t="shared" si="369"/>
        <v>0</v>
      </c>
      <c r="BA87" s="16">
        <f t="shared" si="370"/>
        <v>0</v>
      </c>
      <c r="BB87" s="16">
        <f t="shared" si="371"/>
        <v>0</v>
      </c>
      <c r="BD87" s="16">
        <f t="shared" si="372"/>
        <v>0</v>
      </c>
      <c r="BE87" s="16">
        <f t="shared" si="373"/>
        <v>0</v>
      </c>
      <c r="BF87" s="16">
        <f t="shared" si="374"/>
        <v>0</v>
      </c>
      <c r="BG87" s="16">
        <f t="shared" si="375"/>
        <v>0</v>
      </c>
      <c r="BH87" s="16">
        <f t="shared" si="376"/>
        <v>0</v>
      </c>
      <c r="BJ87" s="16">
        <f t="shared" si="377"/>
        <v>0</v>
      </c>
      <c r="BK87" s="16">
        <f t="shared" ref="BK87:BN87" si="404">+BK25*BK$82</f>
        <v>0</v>
      </c>
      <c r="BL87" s="16">
        <f t="shared" si="404"/>
        <v>0</v>
      </c>
      <c r="BM87" s="16">
        <f t="shared" si="404"/>
        <v>0</v>
      </c>
      <c r="BN87" s="16">
        <f t="shared" si="404"/>
        <v>0</v>
      </c>
      <c r="BP87" s="16">
        <f t="shared" si="379"/>
        <v>0</v>
      </c>
      <c r="BQ87" s="16">
        <f t="shared" ref="BQ87:BT87" si="405">+BQ25*BQ$82</f>
        <v>0</v>
      </c>
      <c r="BR87" s="16">
        <f t="shared" si="405"/>
        <v>0</v>
      </c>
      <c r="BS87" s="16">
        <f t="shared" si="405"/>
        <v>0</v>
      </c>
      <c r="BT87" s="16">
        <f t="shared" si="405"/>
        <v>0</v>
      </c>
      <c r="BV87" s="16">
        <f t="shared" si="381"/>
        <v>0</v>
      </c>
      <c r="BW87" s="16">
        <f t="shared" ref="BW87:BZ87" si="406">+BW25*BW$82</f>
        <v>0</v>
      </c>
      <c r="BX87" s="16">
        <f t="shared" si="406"/>
        <v>0</v>
      </c>
      <c r="BY87" s="16">
        <f t="shared" si="406"/>
        <v>0</v>
      </c>
      <c r="BZ87" s="16">
        <f t="shared" si="406"/>
        <v>0</v>
      </c>
    </row>
    <row r="88" spans="2:78" s="16" customFormat="1" x14ac:dyDescent="0.25">
      <c r="B88" s="23" t="str">
        <f t="shared" si="357"/>
        <v>Customer6</v>
      </c>
      <c r="C88" s="24"/>
      <c r="E88" s="16">
        <f t="shared" ref="E88:P88" si="407">+E26*$C88</f>
        <v>0</v>
      </c>
      <c r="F88" s="16">
        <f t="shared" si="407"/>
        <v>0</v>
      </c>
      <c r="G88" s="16">
        <f t="shared" si="407"/>
        <v>0</v>
      </c>
      <c r="H88" s="16">
        <f t="shared" si="407"/>
        <v>0</v>
      </c>
      <c r="I88" s="16">
        <f t="shared" si="407"/>
        <v>0</v>
      </c>
      <c r="J88" s="16">
        <f t="shared" si="407"/>
        <v>0</v>
      </c>
      <c r="K88" s="16">
        <f t="shared" si="407"/>
        <v>0</v>
      </c>
      <c r="L88" s="16">
        <f t="shared" si="407"/>
        <v>0</v>
      </c>
      <c r="M88" s="16">
        <f t="shared" si="407"/>
        <v>0</v>
      </c>
      <c r="N88" s="16">
        <f t="shared" si="407"/>
        <v>0</v>
      </c>
      <c r="O88" s="16">
        <f t="shared" si="407"/>
        <v>0</v>
      </c>
      <c r="P88" s="16">
        <f t="shared" si="407"/>
        <v>0</v>
      </c>
      <c r="R88" s="16">
        <f t="shared" ref="R88:AC88" si="408">+R26*R$82</f>
        <v>0</v>
      </c>
      <c r="S88" s="16">
        <f t="shared" si="408"/>
        <v>0</v>
      </c>
      <c r="T88" s="16">
        <f t="shared" si="408"/>
        <v>0</v>
      </c>
      <c r="U88" s="16">
        <f t="shared" si="408"/>
        <v>0</v>
      </c>
      <c r="V88" s="16">
        <f t="shared" si="408"/>
        <v>0</v>
      </c>
      <c r="W88" s="16">
        <f t="shared" si="408"/>
        <v>0</v>
      </c>
      <c r="X88" s="16">
        <f t="shared" si="408"/>
        <v>0</v>
      </c>
      <c r="Y88" s="16">
        <f t="shared" si="408"/>
        <v>0</v>
      </c>
      <c r="Z88" s="16">
        <f t="shared" si="408"/>
        <v>0</v>
      </c>
      <c r="AA88" s="16">
        <f t="shared" si="408"/>
        <v>0</v>
      </c>
      <c r="AB88" s="16">
        <f t="shared" si="408"/>
        <v>0</v>
      </c>
      <c r="AC88" s="16">
        <f t="shared" si="408"/>
        <v>0</v>
      </c>
      <c r="AE88" s="16">
        <f t="shared" ref="AE88:AP88" si="409">+AE26*AE$82</f>
        <v>0</v>
      </c>
      <c r="AF88" s="16">
        <f t="shared" si="409"/>
        <v>0</v>
      </c>
      <c r="AG88" s="16">
        <f t="shared" si="409"/>
        <v>0</v>
      </c>
      <c r="AH88" s="16">
        <f t="shared" si="409"/>
        <v>0</v>
      </c>
      <c r="AI88" s="16">
        <f t="shared" si="409"/>
        <v>0</v>
      </c>
      <c r="AJ88" s="16">
        <f t="shared" si="409"/>
        <v>0</v>
      </c>
      <c r="AK88" s="16">
        <f t="shared" si="409"/>
        <v>0</v>
      </c>
      <c r="AL88" s="16">
        <f t="shared" si="409"/>
        <v>0</v>
      </c>
      <c r="AM88" s="16">
        <f t="shared" si="409"/>
        <v>0</v>
      </c>
      <c r="AN88" s="16">
        <f t="shared" si="409"/>
        <v>0</v>
      </c>
      <c r="AO88" s="16">
        <f t="shared" si="409"/>
        <v>0</v>
      </c>
      <c r="AP88" s="16">
        <f t="shared" si="409"/>
        <v>0</v>
      </c>
      <c r="AR88" s="16">
        <f t="shared" si="362"/>
        <v>0</v>
      </c>
      <c r="AS88" s="16">
        <f t="shared" si="363"/>
        <v>0</v>
      </c>
      <c r="AT88" s="16">
        <f t="shared" si="364"/>
        <v>0</v>
      </c>
      <c r="AU88" s="16">
        <f t="shared" si="365"/>
        <v>0</v>
      </c>
      <c r="AV88" s="16">
        <f t="shared" si="366"/>
        <v>0</v>
      </c>
      <c r="AX88" s="16">
        <f t="shared" si="367"/>
        <v>0</v>
      </c>
      <c r="AY88" s="16">
        <f t="shared" si="368"/>
        <v>0</v>
      </c>
      <c r="AZ88" s="16">
        <f t="shared" si="369"/>
        <v>0</v>
      </c>
      <c r="BA88" s="16">
        <f t="shared" si="370"/>
        <v>0</v>
      </c>
      <c r="BB88" s="16">
        <f t="shared" si="371"/>
        <v>0</v>
      </c>
      <c r="BD88" s="16">
        <f t="shared" si="372"/>
        <v>0</v>
      </c>
      <c r="BE88" s="16">
        <f t="shared" si="373"/>
        <v>0</v>
      </c>
      <c r="BF88" s="16">
        <f t="shared" si="374"/>
        <v>0</v>
      </c>
      <c r="BG88" s="16">
        <f t="shared" si="375"/>
        <v>0</v>
      </c>
      <c r="BH88" s="16">
        <f t="shared" si="376"/>
        <v>0</v>
      </c>
      <c r="BJ88" s="16">
        <f t="shared" si="377"/>
        <v>0</v>
      </c>
      <c r="BK88" s="16">
        <f t="shared" ref="BK88:BN88" si="410">+BK26*BK$82</f>
        <v>0</v>
      </c>
      <c r="BL88" s="16">
        <f t="shared" si="410"/>
        <v>0</v>
      </c>
      <c r="BM88" s="16">
        <f t="shared" si="410"/>
        <v>0</v>
      </c>
      <c r="BN88" s="16">
        <f t="shared" si="410"/>
        <v>0</v>
      </c>
      <c r="BP88" s="16">
        <f t="shared" si="379"/>
        <v>0</v>
      </c>
      <c r="BQ88" s="16">
        <f t="shared" ref="BQ88:BT88" si="411">+BQ26*BQ$82</f>
        <v>0</v>
      </c>
      <c r="BR88" s="16">
        <f t="shared" si="411"/>
        <v>0</v>
      </c>
      <c r="BS88" s="16">
        <f t="shared" si="411"/>
        <v>0</v>
      </c>
      <c r="BT88" s="16">
        <f t="shared" si="411"/>
        <v>0</v>
      </c>
      <c r="BV88" s="16">
        <f t="shared" si="381"/>
        <v>0</v>
      </c>
      <c r="BW88" s="16">
        <f t="shared" ref="BW88:BZ88" si="412">+BW26*BW$82</f>
        <v>0</v>
      </c>
      <c r="BX88" s="16">
        <f t="shared" si="412"/>
        <v>0</v>
      </c>
      <c r="BY88" s="16">
        <f t="shared" si="412"/>
        <v>0</v>
      </c>
      <c r="BZ88" s="16">
        <f t="shared" si="412"/>
        <v>0</v>
      </c>
    </row>
    <row r="89" spans="2:78" s="16" customFormat="1" x14ac:dyDescent="0.25">
      <c r="B89" s="23" t="str">
        <f t="shared" si="357"/>
        <v>Customer7</v>
      </c>
      <c r="C89" s="24"/>
      <c r="E89" s="16">
        <f t="shared" ref="E89:P89" si="413">+E27*$C89</f>
        <v>0</v>
      </c>
      <c r="F89" s="16">
        <f t="shared" si="413"/>
        <v>0</v>
      </c>
      <c r="G89" s="16">
        <f t="shared" si="413"/>
        <v>0</v>
      </c>
      <c r="H89" s="16">
        <f t="shared" si="413"/>
        <v>0</v>
      </c>
      <c r="I89" s="16">
        <f t="shared" si="413"/>
        <v>0</v>
      </c>
      <c r="J89" s="16">
        <f t="shared" si="413"/>
        <v>0</v>
      </c>
      <c r="K89" s="16">
        <f t="shared" si="413"/>
        <v>0</v>
      </c>
      <c r="L89" s="16">
        <f t="shared" si="413"/>
        <v>0</v>
      </c>
      <c r="M89" s="16">
        <f t="shared" si="413"/>
        <v>0</v>
      </c>
      <c r="N89" s="16">
        <f t="shared" si="413"/>
        <v>0</v>
      </c>
      <c r="O89" s="16">
        <f t="shared" si="413"/>
        <v>0</v>
      </c>
      <c r="P89" s="16">
        <f t="shared" si="413"/>
        <v>0</v>
      </c>
      <c r="R89" s="16">
        <f t="shared" ref="R89:AC89" si="414">+R27*R$82</f>
        <v>0</v>
      </c>
      <c r="S89" s="16">
        <f t="shared" si="414"/>
        <v>0</v>
      </c>
      <c r="T89" s="16">
        <f t="shared" si="414"/>
        <v>0</v>
      </c>
      <c r="U89" s="16">
        <f t="shared" si="414"/>
        <v>0</v>
      </c>
      <c r="V89" s="16">
        <f t="shared" si="414"/>
        <v>0</v>
      </c>
      <c r="W89" s="16">
        <f t="shared" si="414"/>
        <v>0</v>
      </c>
      <c r="X89" s="16">
        <f t="shared" si="414"/>
        <v>0</v>
      </c>
      <c r="Y89" s="16">
        <f t="shared" si="414"/>
        <v>0</v>
      </c>
      <c r="Z89" s="16">
        <f t="shared" si="414"/>
        <v>0</v>
      </c>
      <c r="AA89" s="16">
        <f t="shared" si="414"/>
        <v>0</v>
      </c>
      <c r="AB89" s="16">
        <f t="shared" si="414"/>
        <v>0</v>
      </c>
      <c r="AC89" s="16">
        <f t="shared" si="414"/>
        <v>0</v>
      </c>
      <c r="AE89" s="16">
        <f t="shared" ref="AE89:AP89" si="415">+AE27*AE$82</f>
        <v>0</v>
      </c>
      <c r="AF89" s="16">
        <f t="shared" si="415"/>
        <v>0</v>
      </c>
      <c r="AG89" s="16">
        <f t="shared" si="415"/>
        <v>0</v>
      </c>
      <c r="AH89" s="16">
        <f t="shared" si="415"/>
        <v>0</v>
      </c>
      <c r="AI89" s="16">
        <f t="shared" si="415"/>
        <v>0</v>
      </c>
      <c r="AJ89" s="16">
        <f t="shared" si="415"/>
        <v>0</v>
      </c>
      <c r="AK89" s="16">
        <f t="shared" si="415"/>
        <v>0</v>
      </c>
      <c r="AL89" s="16">
        <f t="shared" si="415"/>
        <v>0</v>
      </c>
      <c r="AM89" s="16">
        <f t="shared" si="415"/>
        <v>0</v>
      </c>
      <c r="AN89" s="16">
        <f t="shared" si="415"/>
        <v>0</v>
      </c>
      <c r="AO89" s="16">
        <f t="shared" si="415"/>
        <v>0</v>
      </c>
      <c r="AP89" s="16">
        <f t="shared" si="415"/>
        <v>0</v>
      </c>
      <c r="AR89" s="16">
        <f t="shared" si="362"/>
        <v>0</v>
      </c>
      <c r="AS89" s="16">
        <f t="shared" si="363"/>
        <v>0</v>
      </c>
      <c r="AT89" s="16">
        <f t="shared" si="364"/>
        <v>0</v>
      </c>
      <c r="AU89" s="16">
        <f t="shared" si="365"/>
        <v>0</v>
      </c>
      <c r="AV89" s="16">
        <f t="shared" si="366"/>
        <v>0</v>
      </c>
      <c r="AX89" s="16">
        <f t="shared" si="367"/>
        <v>0</v>
      </c>
      <c r="AY89" s="16">
        <f t="shared" si="368"/>
        <v>0</v>
      </c>
      <c r="AZ89" s="16">
        <f t="shared" si="369"/>
        <v>0</v>
      </c>
      <c r="BA89" s="16">
        <f t="shared" si="370"/>
        <v>0</v>
      </c>
      <c r="BB89" s="16">
        <f t="shared" si="371"/>
        <v>0</v>
      </c>
      <c r="BD89" s="16">
        <f t="shared" si="372"/>
        <v>0</v>
      </c>
      <c r="BE89" s="16">
        <f t="shared" si="373"/>
        <v>0</v>
      </c>
      <c r="BF89" s="16">
        <f t="shared" si="374"/>
        <v>0</v>
      </c>
      <c r="BG89" s="16">
        <f t="shared" si="375"/>
        <v>0</v>
      </c>
      <c r="BH89" s="16">
        <f t="shared" si="376"/>
        <v>0</v>
      </c>
      <c r="BJ89" s="16">
        <f t="shared" si="377"/>
        <v>0</v>
      </c>
      <c r="BK89" s="16">
        <f t="shared" ref="BK89:BN89" si="416">+BK27*BK$82</f>
        <v>0</v>
      </c>
      <c r="BL89" s="16">
        <f t="shared" si="416"/>
        <v>0</v>
      </c>
      <c r="BM89" s="16">
        <f t="shared" si="416"/>
        <v>0</v>
      </c>
      <c r="BN89" s="16">
        <f t="shared" si="416"/>
        <v>0</v>
      </c>
      <c r="BP89" s="16">
        <f t="shared" si="379"/>
        <v>0</v>
      </c>
      <c r="BQ89" s="16">
        <f>+BQ28*BQ$82</f>
        <v>0</v>
      </c>
      <c r="BR89" s="16">
        <f t="shared" ref="BR89:BT89" si="417">+BR27*BR$82</f>
        <v>0</v>
      </c>
      <c r="BS89" s="16">
        <f t="shared" si="417"/>
        <v>0</v>
      </c>
      <c r="BT89" s="16">
        <f t="shared" si="417"/>
        <v>0</v>
      </c>
      <c r="BV89" s="16">
        <f t="shared" si="381"/>
        <v>0</v>
      </c>
      <c r="BW89" s="16">
        <f t="shared" ref="BW89:BZ89" si="418">+BW27*BW$82</f>
        <v>0</v>
      </c>
      <c r="BX89" s="16">
        <f t="shared" si="418"/>
        <v>0</v>
      </c>
      <c r="BY89" s="16">
        <f t="shared" si="418"/>
        <v>0</v>
      </c>
      <c r="BZ89" s="16">
        <f t="shared" si="418"/>
        <v>0</v>
      </c>
    </row>
    <row r="90" spans="2:78" s="16" customFormat="1" x14ac:dyDescent="0.25">
      <c r="B90" s="23" t="str">
        <f t="shared" si="357"/>
        <v>Customer8</v>
      </c>
      <c r="C90" s="24"/>
      <c r="E90" s="16">
        <f t="shared" ref="E90:P90" si="419">+E28*$C90</f>
        <v>0</v>
      </c>
      <c r="F90" s="16">
        <f t="shared" si="419"/>
        <v>0</v>
      </c>
      <c r="G90" s="16">
        <f t="shared" si="419"/>
        <v>0</v>
      </c>
      <c r="H90" s="16">
        <f t="shared" si="419"/>
        <v>0</v>
      </c>
      <c r="I90" s="16">
        <f t="shared" si="419"/>
        <v>0</v>
      </c>
      <c r="J90" s="16">
        <f t="shared" si="419"/>
        <v>0</v>
      </c>
      <c r="K90" s="16">
        <f t="shared" si="419"/>
        <v>0</v>
      </c>
      <c r="L90" s="16">
        <f t="shared" si="419"/>
        <v>0</v>
      </c>
      <c r="M90" s="16">
        <f t="shared" si="419"/>
        <v>0</v>
      </c>
      <c r="N90" s="16">
        <f t="shared" si="419"/>
        <v>0</v>
      </c>
      <c r="O90" s="16">
        <f t="shared" si="419"/>
        <v>0</v>
      </c>
      <c r="P90" s="16">
        <f t="shared" si="419"/>
        <v>0</v>
      </c>
      <c r="R90" s="16">
        <f t="shared" ref="R90:AC90" si="420">+R28*R$82</f>
        <v>0</v>
      </c>
      <c r="S90" s="16">
        <f t="shared" si="420"/>
        <v>0</v>
      </c>
      <c r="T90" s="16">
        <f t="shared" si="420"/>
        <v>0</v>
      </c>
      <c r="U90" s="16">
        <f t="shared" si="420"/>
        <v>0</v>
      </c>
      <c r="V90" s="16">
        <f t="shared" si="420"/>
        <v>0</v>
      </c>
      <c r="W90" s="16">
        <f t="shared" si="420"/>
        <v>0</v>
      </c>
      <c r="X90" s="16">
        <f t="shared" si="420"/>
        <v>0</v>
      </c>
      <c r="Y90" s="16">
        <f t="shared" si="420"/>
        <v>0</v>
      </c>
      <c r="Z90" s="16">
        <f t="shared" si="420"/>
        <v>0</v>
      </c>
      <c r="AA90" s="16">
        <f t="shared" si="420"/>
        <v>0</v>
      </c>
      <c r="AB90" s="16">
        <f t="shared" si="420"/>
        <v>0</v>
      </c>
      <c r="AC90" s="16">
        <f t="shared" si="420"/>
        <v>0</v>
      </c>
      <c r="AE90" s="16">
        <f t="shared" ref="AE90:AP90" si="421">+AE28*AE$82</f>
        <v>0</v>
      </c>
      <c r="AF90" s="16">
        <f t="shared" si="421"/>
        <v>0</v>
      </c>
      <c r="AG90" s="16">
        <f t="shared" si="421"/>
        <v>0</v>
      </c>
      <c r="AH90" s="16">
        <f t="shared" si="421"/>
        <v>0</v>
      </c>
      <c r="AI90" s="16">
        <f t="shared" si="421"/>
        <v>0</v>
      </c>
      <c r="AJ90" s="16">
        <f t="shared" si="421"/>
        <v>0</v>
      </c>
      <c r="AK90" s="16">
        <f t="shared" si="421"/>
        <v>0</v>
      </c>
      <c r="AL90" s="16">
        <f t="shared" si="421"/>
        <v>0</v>
      </c>
      <c r="AM90" s="16">
        <f t="shared" si="421"/>
        <v>0</v>
      </c>
      <c r="AN90" s="16">
        <f t="shared" si="421"/>
        <v>0</v>
      </c>
      <c r="AO90" s="16">
        <f t="shared" si="421"/>
        <v>0</v>
      </c>
      <c r="AP90" s="16">
        <f t="shared" si="421"/>
        <v>0</v>
      </c>
      <c r="AR90" s="16">
        <f t="shared" si="362"/>
        <v>0</v>
      </c>
      <c r="AS90" s="16">
        <f t="shared" si="363"/>
        <v>0</v>
      </c>
      <c r="AT90" s="16">
        <f t="shared" si="364"/>
        <v>0</v>
      </c>
      <c r="AU90" s="16">
        <f t="shared" si="365"/>
        <v>0</v>
      </c>
      <c r="AV90" s="16">
        <f t="shared" si="366"/>
        <v>0</v>
      </c>
      <c r="AX90" s="16">
        <f t="shared" si="367"/>
        <v>0</v>
      </c>
      <c r="AY90" s="16">
        <f t="shared" si="368"/>
        <v>0</v>
      </c>
      <c r="AZ90" s="16">
        <f t="shared" si="369"/>
        <v>0</v>
      </c>
      <c r="BA90" s="16">
        <f t="shared" si="370"/>
        <v>0</v>
      </c>
      <c r="BB90" s="16">
        <f t="shared" si="371"/>
        <v>0</v>
      </c>
      <c r="BD90" s="16">
        <f t="shared" si="372"/>
        <v>0</v>
      </c>
      <c r="BE90" s="16">
        <f t="shared" si="373"/>
        <v>0</v>
      </c>
      <c r="BF90" s="16">
        <f t="shared" si="374"/>
        <v>0</v>
      </c>
      <c r="BG90" s="16">
        <f t="shared" si="375"/>
        <v>0</v>
      </c>
      <c r="BH90" s="16">
        <f t="shared" si="376"/>
        <v>0</v>
      </c>
      <c r="BJ90" s="16">
        <f t="shared" si="377"/>
        <v>0</v>
      </c>
      <c r="BK90" s="16">
        <f t="shared" ref="BK90:BN90" si="422">+BK28*BK$82</f>
        <v>0</v>
      </c>
      <c r="BL90" s="16">
        <f t="shared" si="422"/>
        <v>0</v>
      </c>
      <c r="BM90" s="16">
        <f t="shared" si="422"/>
        <v>0</v>
      </c>
      <c r="BN90" s="16">
        <f t="shared" si="422"/>
        <v>0</v>
      </c>
      <c r="BP90" s="16">
        <f t="shared" si="379"/>
        <v>0</v>
      </c>
      <c r="BQ90" s="16">
        <f t="shared" ref="BQ90:BQ92" si="423">+BQ29*BQ$82</f>
        <v>0</v>
      </c>
      <c r="BR90" s="16">
        <f t="shared" ref="BR90:BT90" si="424">+BR28*BR$82</f>
        <v>0</v>
      </c>
      <c r="BS90" s="16">
        <f t="shared" si="424"/>
        <v>0</v>
      </c>
      <c r="BT90" s="16">
        <f t="shared" si="424"/>
        <v>0</v>
      </c>
      <c r="BV90" s="16">
        <f t="shared" si="381"/>
        <v>0</v>
      </c>
      <c r="BW90" s="16">
        <f t="shared" ref="BW90:BZ90" si="425">+BW28*BW$82</f>
        <v>0</v>
      </c>
      <c r="BX90" s="16">
        <f t="shared" si="425"/>
        <v>0</v>
      </c>
      <c r="BY90" s="16">
        <f t="shared" si="425"/>
        <v>0</v>
      </c>
      <c r="BZ90" s="16">
        <f t="shared" si="425"/>
        <v>0</v>
      </c>
    </row>
    <row r="91" spans="2:78" s="16" customFormat="1" x14ac:dyDescent="0.25">
      <c r="B91" s="23" t="str">
        <f t="shared" si="357"/>
        <v>Customer9</v>
      </c>
      <c r="C91" s="24"/>
      <c r="E91" s="16">
        <f t="shared" ref="E91:P91" si="426">+E29*$C91</f>
        <v>0</v>
      </c>
      <c r="F91" s="16">
        <f t="shared" si="426"/>
        <v>0</v>
      </c>
      <c r="G91" s="16">
        <f t="shared" si="426"/>
        <v>0</v>
      </c>
      <c r="H91" s="16">
        <f t="shared" si="426"/>
        <v>0</v>
      </c>
      <c r="I91" s="16">
        <f t="shared" si="426"/>
        <v>0</v>
      </c>
      <c r="J91" s="16">
        <f t="shared" si="426"/>
        <v>0</v>
      </c>
      <c r="K91" s="16">
        <f t="shared" si="426"/>
        <v>0</v>
      </c>
      <c r="L91" s="16">
        <f t="shared" si="426"/>
        <v>0</v>
      </c>
      <c r="M91" s="16">
        <f t="shared" si="426"/>
        <v>0</v>
      </c>
      <c r="N91" s="16">
        <f t="shared" si="426"/>
        <v>0</v>
      </c>
      <c r="O91" s="16">
        <f t="shared" si="426"/>
        <v>0</v>
      </c>
      <c r="P91" s="16">
        <f t="shared" si="426"/>
        <v>0</v>
      </c>
      <c r="R91" s="16">
        <f t="shared" ref="R91:AC91" si="427">+R29*R$82</f>
        <v>0</v>
      </c>
      <c r="S91" s="16">
        <f t="shared" si="427"/>
        <v>0</v>
      </c>
      <c r="T91" s="16">
        <f t="shared" si="427"/>
        <v>0</v>
      </c>
      <c r="U91" s="16">
        <f t="shared" si="427"/>
        <v>0</v>
      </c>
      <c r="V91" s="16">
        <f t="shared" si="427"/>
        <v>0</v>
      </c>
      <c r="W91" s="16">
        <f t="shared" si="427"/>
        <v>0</v>
      </c>
      <c r="X91" s="16">
        <f t="shared" si="427"/>
        <v>0</v>
      </c>
      <c r="Y91" s="16">
        <f t="shared" si="427"/>
        <v>0</v>
      </c>
      <c r="Z91" s="16">
        <f t="shared" si="427"/>
        <v>0</v>
      </c>
      <c r="AA91" s="16">
        <f t="shared" si="427"/>
        <v>0</v>
      </c>
      <c r="AB91" s="16">
        <f t="shared" si="427"/>
        <v>0</v>
      </c>
      <c r="AC91" s="16">
        <f t="shared" si="427"/>
        <v>0</v>
      </c>
      <c r="AE91" s="16">
        <f t="shared" ref="AE91:AP91" si="428">+AE29*AE$82</f>
        <v>0</v>
      </c>
      <c r="AF91" s="16">
        <f t="shared" si="428"/>
        <v>0</v>
      </c>
      <c r="AG91" s="16">
        <f t="shared" si="428"/>
        <v>0</v>
      </c>
      <c r="AH91" s="16">
        <f t="shared" si="428"/>
        <v>0</v>
      </c>
      <c r="AI91" s="16">
        <f t="shared" si="428"/>
        <v>0</v>
      </c>
      <c r="AJ91" s="16">
        <f t="shared" si="428"/>
        <v>0</v>
      </c>
      <c r="AK91" s="16">
        <f t="shared" si="428"/>
        <v>0</v>
      </c>
      <c r="AL91" s="16">
        <f t="shared" si="428"/>
        <v>0</v>
      </c>
      <c r="AM91" s="16">
        <f t="shared" si="428"/>
        <v>0</v>
      </c>
      <c r="AN91" s="16">
        <f t="shared" si="428"/>
        <v>0</v>
      </c>
      <c r="AO91" s="16">
        <f t="shared" si="428"/>
        <v>0</v>
      </c>
      <c r="AP91" s="16">
        <f t="shared" si="428"/>
        <v>0</v>
      </c>
      <c r="AR91" s="16">
        <f t="shared" si="362"/>
        <v>0</v>
      </c>
      <c r="AS91" s="16">
        <f t="shared" si="363"/>
        <v>0</v>
      </c>
      <c r="AT91" s="16">
        <f t="shared" si="364"/>
        <v>0</v>
      </c>
      <c r="AU91" s="16">
        <f t="shared" si="365"/>
        <v>0</v>
      </c>
      <c r="AV91" s="16">
        <f t="shared" si="366"/>
        <v>0</v>
      </c>
      <c r="AX91" s="16">
        <f t="shared" si="367"/>
        <v>0</v>
      </c>
      <c r="AY91" s="16">
        <f t="shared" si="368"/>
        <v>0</v>
      </c>
      <c r="AZ91" s="16">
        <f t="shared" si="369"/>
        <v>0</v>
      </c>
      <c r="BA91" s="16">
        <f t="shared" si="370"/>
        <v>0</v>
      </c>
      <c r="BB91" s="16">
        <f t="shared" si="371"/>
        <v>0</v>
      </c>
      <c r="BD91" s="16">
        <f t="shared" si="372"/>
        <v>0</v>
      </c>
      <c r="BE91" s="16">
        <f t="shared" si="373"/>
        <v>0</v>
      </c>
      <c r="BF91" s="16">
        <f t="shared" si="374"/>
        <v>0</v>
      </c>
      <c r="BG91" s="16">
        <f t="shared" si="375"/>
        <v>0</v>
      </c>
      <c r="BH91" s="16">
        <f t="shared" si="376"/>
        <v>0</v>
      </c>
      <c r="BJ91" s="16">
        <f t="shared" si="377"/>
        <v>0</v>
      </c>
      <c r="BK91" s="16">
        <f t="shared" ref="BK91:BN91" si="429">+BK29*BK$82</f>
        <v>0</v>
      </c>
      <c r="BL91" s="16">
        <f t="shared" si="429"/>
        <v>0</v>
      </c>
      <c r="BM91" s="16">
        <f t="shared" si="429"/>
        <v>0</v>
      </c>
      <c r="BN91" s="16">
        <f t="shared" si="429"/>
        <v>0</v>
      </c>
      <c r="BP91" s="16">
        <f t="shared" si="379"/>
        <v>0</v>
      </c>
      <c r="BQ91" s="16">
        <f t="shared" si="423"/>
        <v>0</v>
      </c>
      <c r="BR91" s="16">
        <f t="shared" ref="BR91:BT91" si="430">+BR29*BR$82</f>
        <v>0</v>
      </c>
      <c r="BS91" s="16">
        <f t="shared" si="430"/>
        <v>0</v>
      </c>
      <c r="BT91" s="16">
        <f t="shared" si="430"/>
        <v>0</v>
      </c>
      <c r="BV91" s="16">
        <f t="shared" si="381"/>
        <v>0</v>
      </c>
      <c r="BW91" s="16">
        <f t="shared" ref="BW91:BZ91" si="431">+BW29*BW$82</f>
        <v>0</v>
      </c>
      <c r="BX91" s="16">
        <f t="shared" si="431"/>
        <v>0</v>
      </c>
      <c r="BY91" s="16">
        <f t="shared" si="431"/>
        <v>0</v>
      </c>
      <c r="BZ91" s="16">
        <f t="shared" si="431"/>
        <v>0</v>
      </c>
    </row>
    <row r="92" spans="2:78" s="16" customFormat="1" x14ac:dyDescent="0.25">
      <c r="B92" s="23" t="str">
        <f t="shared" si="357"/>
        <v>Customer10</v>
      </c>
      <c r="C92" s="24"/>
      <c r="E92" s="16">
        <f t="shared" ref="E92:P92" si="432">+E30*$C92</f>
        <v>0</v>
      </c>
      <c r="F92" s="16">
        <f t="shared" si="432"/>
        <v>0</v>
      </c>
      <c r="G92" s="16">
        <f t="shared" si="432"/>
        <v>0</v>
      </c>
      <c r="H92" s="16">
        <f t="shared" si="432"/>
        <v>0</v>
      </c>
      <c r="I92" s="16">
        <f t="shared" si="432"/>
        <v>0</v>
      </c>
      <c r="J92" s="16">
        <f t="shared" si="432"/>
        <v>0</v>
      </c>
      <c r="K92" s="16">
        <f t="shared" si="432"/>
        <v>0</v>
      </c>
      <c r="L92" s="16">
        <f t="shared" si="432"/>
        <v>0</v>
      </c>
      <c r="M92" s="16">
        <f t="shared" si="432"/>
        <v>0</v>
      </c>
      <c r="N92" s="16">
        <f t="shared" si="432"/>
        <v>0</v>
      </c>
      <c r="O92" s="16">
        <f t="shared" si="432"/>
        <v>0</v>
      </c>
      <c r="P92" s="16">
        <f t="shared" si="432"/>
        <v>0</v>
      </c>
      <c r="R92" s="16">
        <f t="shared" ref="R92:AC92" si="433">+R30*R$82</f>
        <v>0</v>
      </c>
      <c r="S92" s="16">
        <f t="shared" si="433"/>
        <v>0</v>
      </c>
      <c r="T92" s="16">
        <f t="shared" si="433"/>
        <v>0</v>
      </c>
      <c r="U92" s="16">
        <f t="shared" si="433"/>
        <v>0</v>
      </c>
      <c r="V92" s="16">
        <f t="shared" si="433"/>
        <v>0</v>
      </c>
      <c r="W92" s="16">
        <f t="shared" si="433"/>
        <v>0</v>
      </c>
      <c r="X92" s="16">
        <f t="shared" si="433"/>
        <v>0</v>
      </c>
      <c r="Y92" s="16">
        <f t="shared" si="433"/>
        <v>0</v>
      </c>
      <c r="Z92" s="16">
        <f t="shared" si="433"/>
        <v>0</v>
      </c>
      <c r="AA92" s="16">
        <f t="shared" si="433"/>
        <v>0</v>
      </c>
      <c r="AB92" s="16">
        <f t="shared" si="433"/>
        <v>0</v>
      </c>
      <c r="AC92" s="16">
        <f t="shared" si="433"/>
        <v>0</v>
      </c>
      <c r="AE92" s="16">
        <f t="shared" ref="AE92:AP92" si="434">+AE30*AE$82</f>
        <v>0</v>
      </c>
      <c r="AF92" s="16">
        <f t="shared" si="434"/>
        <v>0</v>
      </c>
      <c r="AG92" s="16">
        <f t="shared" si="434"/>
        <v>0</v>
      </c>
      <c r="AH92" s="16">
        <f t="shared" si="434"/>
        <v>0</v>
      </c>
      <c r="AI92" s="16">
        <f t="shared" si="434"/>
        <v>0</v>
      </c>
      <c r="AJ92" s="16">
        <f t="shared" si="434"/>
        <v>0</v>
      </c>
      <c r="AK92" s="16">
        <f t="shared" si="434"/>
        <v>0</v>
      </c>
      <c r="AL92" s="16">
        <f t="shared" si="434"/>
        <v>0</v>
      </c>
      <c r="AM92" s="16">
        <f t="shared" si="434"/>
        <v>0</v>
      </c>
      <c r="AN92" s="16">
        <f t="shared" si="434"/>
        <v>0</v>
      </c>
      <c r="AO92" s="16">
        <f t="shared" si="434"/>
        <v>0</v>
      </c>
      <c r="AP92" s="16">
        <f t="shared" si="434"/>
        <v>0</v>
      </c>
      <c r="AR92" s="16">
        <f t="shared" si="362"/>
        <v>0</v>
      </c>
      <c r="AS92" s="16">
        <f t="shared" si="363"/>
        <v>0</v>
      </c>
      <c r="AT92" s="16">
        <f t="shared" si="364"/>
        <v>0</v>
      </c>
      <c r="AU92" s="16">
        <f t="shared" si="365"/>
        <v>0</v>
      </c>
      <c r="AV92" s="16">
        <f t="shared" si="366"/>
        <v>0</v>
      </c>
      <c r="AX92" s="16">
        <f t="shared" si="367"/>
        <v>0</v>
      </c>
      <c r="AY92" s="16">
        <f t="shared" si="368"/>
        <v>0</v>
      </c>
      <c r="AZ92" s="16">
        <f t="shared" si="369"/>
        <v>0</v>
      </c>
      <c r="BA92" s="16">
        <f t="shared" si="370"/>
        <v>0</v>
      </c>
      <c r="BB92" s="16">
        <f t="shared" si="371"/>
        <v>0</v>
      </c>
      <c r="BD92" s="16">
        <f t="shared" si="372"/>
        <v>0</v>
      </c>
      <c r="BE92" s="16">
        <f t="shared" si="373"/>
        <v>0</v>
      </c>
      <c r="BF92" s="16">
        <f t="shared" si="374"/>
        <v>0</v>
      </c>
      <c r="BG92" s="16">
        <f t="shared" si="375"/>
        <v>0</v>
      </c>
      <c r="BH92" s="16">
        <f t="shared" si="376"/>
        <v>0</v>
      </c>
      <c r="BJ92" s="16">
        <f t="shared" si="377"/>
        <v>0</v>
      </c>
      <c r="BK92" s="16">
        <f t="shared" ref="BK92:BN92" si="435">+BK30*BK$82</f>
        <v>0</v>
      </c>
      <c r="BL92" s="16">
        <f t="shared" si="435"/>
        <v>0</v>
      </c>
      <c r="BM92" s="16">
        <f t="shared" si="435"/>
        <v>0</v>
      </c>
      <c r="BN92" s="16">
        <f t="shared" si="435"/>
        <v>0</v>
      </c>
      <c r="BP92" s="16">
        <f t="shared" si="379"/>
        <v>0</v>
      </c>
      <c r="BQ92" s="16">
        <f t="shared" si="423"/>
        <v>0</v>
      </c>
      <c r="BR92" s="16">
        <f t="shared" ref="BR92:BT92" si="436">+BR30*BR$82</f>
        <v>0</v>
      </c>
      <c r="BS92" s="16">
        <f t="shared" si="436"/>
        <v>0</v>
      </c>
      <c r="BT92" s="16">
        <f t="shared" si="436"/>
        <v>0</v>
      </c>
      <c r="BV92" s="16">
        <f t="shared" si="381"/>
        <v>0</v>
      </c>
      <c r="BW92" s="16">
        <f t="shared" ref="BW92:BZ92" si="437">+BW30*BW$82</f>
        <v>0</v>
      </c>
      <c r="BX92" s="16">
        <f t="shared" si="437"/>
        <v>0</v>
      </c>
      <c r="BY92" s="16">
        <f t="shared" si="437"/>
        <v>0</v>
      </c>
      <c r="BZ92" s="16">
        <f t="shared" si="437"/>
        <v>0</v>
      </c>
    </row>
    <row r="93" spans="2:78" s="16" customFormat="1" x14ac:dyDescent="0.25">
      <c r="B93" s="23"/>
    </row>
    <row r="94" spans="2:78" s="16" customFormat="1" x14ac:dyDescent="0.25">
      <c r="B94" s="23" t="s">
        <v>344</v>
      </c>
      <c r="E94" s="17">
        <f>SUM(E83:E93)</f>
        <v>0</v>
      </c>
      <c r="F94" s="17">
        <f t="shared" ref="F94" si="438">SUM(F83:F93)</f>
        <v>0</v>
      </c>
      <c r="G94" s="17">
        <f t="shared" ref="G94" si="439">SUM(G83:G93)</f>
        <v>0</v>
      </c>
      <c r="H94" s="17">
        <f t="shared" ref="H94" si="440">SUM(H83:H93)</f>
        <v>0</v>
      </c>
      <c r="I94" s="17">
        <f t="shared" ref="I94" si="441">SUM(I83:I93)</f>
        <v>0</v>
      </c>
      <c r="J94" s="17">
        <f t="shared" ref="J94" si="442">SUM(J83:J93)</f>
        <v>0</v>
      </c>
      <c r="K94" s="17">
        <f t="shared" ref="K94" si="443">SUM(K83:K93)</f>
        <v>0</v>
      </c>
      <c r="L94" s="17">
        <f t="shared" ref="L94" si="444">SUM(L83:L93)</f>
        <v>0</v>
      </c>
      <c r="M94" s="17">
        <f t="shared" ref="M94" si="445">SUM(M83:M93)</f>
        <v>0</v>
      </c>
      <c r="N94" s="17">
        <f t="shared" ref="N94" si="446">SUM(N83:N93)</f>
        <v>0</v>
      </c>
      <c r="O94" s="17">
        <f t="shared" ref="O94" si="447">SUM(O83:O93)</f>
        <v>0</v>
      </c>
      <c r="P94" s="17">
        <f t="shared" ref="P94" si="448">SUM(P83:P93)</f>
        <v>0</v>
      </c>
      <c r="R94" s="17">
        <f>SUM(R83:R93)</f>
        <v>0</v>
      </c>
      <c r="S94" s="17">
        <f t="shared" ref="S94" si="449">SUM(S83:S93)</f>
        <v>0</v>
      </c>
      <c r="T94" s="17">
        <f t="shared" ref="T94" si="450">SUM(T83:T93)</f>
        <v>0</v>
      </c>
      <c r="U94" s="17">
        <f t="shared" ref="U94" si="451">SUM(U83:U93)</f>
        <v>0</v>
      </c>
      <c r="V94" s="17">
        <f t="shared" ref="V94" si="452">SUM(V83:V93)</f>
        <v>0</v>
      </c>
      <c r="W94" s="17">
        <f t="shared" ref="W94" si="453">SUM(W83:W93)</f>
        <v>0</v>
      </c>
      <c r="X94" s="17">
        <f t="shared" ref="X94" si="454">SUM(X83:X93)</f>
        <v>158011.68687328047</v>
      </c>
      <c r="Y94" s="17">
        <f t="shared" ref="Y94" si="455">SUM(Y83:Y93)</f>
        <v>157798.55179599868</v>
      </c>
      <c r="Z94" s="17">
        <f t="shared" ref="Z94" si="456">SUM(Z83:Z93)</f>
        <v>157784.17730440682</v>
      </c>
      <c r="AA94" s="17">
        <f t="shared" ref="AA94" si="457">SUM(AA83:AA93)</f>
        <v>173046.48523168828</v>
      </c>
      <c r="AB94" s="17">
        <f t="shared" ref="AB94" si="458">SUM(AB83:AB93)</f>
        <v>173038.44450206796</v>
      </c>
      <c r="AC94" s="17">
        <f t="shared" ref="AC94" si="459">SUM(AC83:AC93)</f>
        <v>172972.83374821639</v>
      </c>
      <c r="AE94" s="17">
        <f>SUM(AE83:AE93)</f>
        <v>206844.44570005857</v>
      </c>
      <c r="AF94" s="17">
        <f t="shared" ref="AF94" si="460">SUM(AF83:AF93)</f>
        <v>208038.0468396697</v>
      </c>
      <c r="AG94" s="17">
        <f t="shared" ref="AG94" si="461">SUM(AG83:AG93)</f>
        <v>208791.74894447153</v>
      </c>
      <c r="AH94" s="17">
        <f t="shared" ref="AH94" si="462">SUM(AH83:AH93)</f>
        <v>226331.60271389707</v>
      </c>
      <c r="AI94" s="17">
        <f t="shared" ref="AI94" si="463">SUM(AI83:AI93)</f>
        <v>151462.58664789874</v>
      </c>
      <c r="AJ94" s="17">
        <f t="shared" ref="AJ94" si="464">SUM(AJ83:AJ93)</f>
        <v>129231.69866841436</v>
      </c>
      <c r="AK94" s="17">
        <f t="shared" ref="AK94" si="465">SUM(AK83:AK93)</f>
        <v>311529.07596313261</v>
      </c>
      <c r="AL94" s="17">
        <f t="shared" ref="AL94" si="466">SUM(AL83:AL93)</f>
        <v>292301.19130692619</v>
      </c>
      <c r="AM94" s="17">
        <f t="shared" ref="AM94" si="467">SUM(AM83:AM93)</f>
        <v>280431.23866495374</v>
      </c>
      <c r="AN94" s="17">
        <f t="shared" ref="AN94" si="468">SUM(AN83:AN93)</f>
        <v>297018.45393692941</v>
      </c>
      <c r="AO94" s="17">
        <f t="shared" ref="AO94" si="469">SUM(AO83:AO93)</f>
        <v>292822.41014105041</v>
      </c>
      <c r="AP94" s="17">
        <f t="shared" ref="AP94:AV94" si="470">SUM(AP83:AP93)</f>
        <v>289588.81014841597</v>
      </c>
      <c r="AR94" s="17">
        <f t="shared" si="470"/>
        <v>0</v>
      </c>
      <c r="AS94" s="17">
        <f t="shared" si="470"/>
        <v>0</v>
      </c>
      <c r="AT94" s="17">
        <f t="shared" si="470"/>
        <v>0</v>
      </c>
      <c r="AU94" s="17">
        <f t="shared" si="470"/>
        <v>0</v>
      </c>
      <c r="AV94" s="17">
        <f t="shared" si="470"/>
        <v>0</v>
      </c>
      <c r="AX94" s="17">
        <f t="shared" ref="AX94:BB94" si="471">SUM(AX83:AX93)</f>
        <v>992652.17945565854</v>
      </c>
      <c r="AY94" s="17">
        <f t="shared" si="471"/>
        <v>0</v>
      </c>
      <c r="AZ94" s="17">
        <f t="shared" si="471"/>
        <v>0</v>
      </c>
      <c r="BA94" s="17">
        <f t="shared" si="471"/>
        <v>473594.41597368603</v>
      </c>
      <c r="BB94" s="17">
        <f t="shared" si="471"/>
        <v>519057.76348197262</v>
      </c>
      <c r="BD94" s="17">
        <f t="shared" ref="BD94:BH94" si="472">SUM(BD83:BD93)</f>
        <v>2894391.3096758183</v>
      </c>
      <c r="BE94" s="17">
        <f t="shared" si="472"/>
        <v>623674.24148419977</v>
      </c>
      <c r="BF94" s="17">
        <f t="shared" si="472"/>
        <v>507025.88803021016</v>
      </c>
      <c r="BG94" s="17">
        <f t="shared" si="472"/>
        <v>884261.5059350126</v>
      </c>
      <c r="BH94" s="17">
        <f t="shared" si="472"/>
        <v>879429.67422639567</v>
      </c>
      <c r="BJ94" s="17">
        <f t="shared" ref="BJ94:BN94" si="473">SUM(BJ83:BJ93)</f>
        <v>5912626.9524205364</v>
      </c>
      <c r="BK94" s="17">
        <f t="shared" si="473"/>
        <v>1014515.7183432248</v>
      </c>
      <c r="BL94" s="17">
        <f t="shared" si="473"/>
        <v>1078904.4441031888</v>
      </c>
      <c r="BM94" s="17">
        <f t="shared" si="473"/>
        <v>1850254.578449426</v>
      </c>
      <c r="BN94" s="17">
        <f t="shared" si="473"/>
        <v>1968952.211524697</v>
      </c>
      <c r="BP94" s="17">
        <f t="shared" ref="BP94:BT94" si="474">SUM(BP83:BP93)</f>
        <v>11920431.985001106</v>
      </c>
      <c r="BQ94" s="17">
        <f t="shared" si="474"/>
        <v>2291017.8892978327</v>
      </c>
      <c r="BR94" s="17">
        <f t="shared" si="474"/>
        <v>2403694.4743054784</v>
      </c>
      <c r="BS94" s="17">
        <f t="shared" si="474"/>
        <v>3714805.3193375892</v>
      </c>
      <c r="BT94" s="17">
        <f t="shared" si="474"/>
        <v>3510914.3020602055</v>
      </c>
      <c r="BV94" s="17">
        <f t="shared" ref="BV94:BZ94" si="475">SUM(BV83:BV93)</f>
        <v>20344935.810867768</v>
      </c>
      <c r="BW94" s="17">
        <f t="shared" si="475"/>
        <v>4250725.1812481871</v>
      </c>
      <c r="BX94" s="17">
        <f t="shared" si="475"/>
        <v>4424671.0616290029</v>
      </c>
      <c r="BY94" s="17">
        <f t="shared" si="475"/>
        <v>5616954.656097332</v>
      </c>
      <c r="BZ94" s="17">
        <f t="shared" si="475"/>
        <v>6052584.9118932476</v>
      </c>
    </row>
    <row r="95" spans="2:78" s="16" customFormat="1" x14ac:dyDescent="0.25">
      <c r="B95" s="23" t="s">
        <v>345</v>
      </c>
      <c r="E95" s="35">
        <f t="shared" ref="E95:P95" si="476">IF(E60=0,0,1-(E94/E60))</f>
        <v>0</v>
      </c>
      <c r="F95" s="35">
        <f t="shared" si="476"/>
        <v>0</v>
      </c>
      <c r="G95" s="35">
        <f t="shared" si="476"/>
        <v>0</v>
      </c>
      <c r="H95" s="35">
        <f t="shared" si="476"/>
        <v>0</v>
      </c>
      <c r="I95" s="35">
        <f t="shared" si="476"/>
        <v>0</v>
      </c>
      <c r="J95" s="35">
        <f t="shared" si="476"/>
        <v>0</v>
      </c>
      <c r="K95" s="35">
        <f t="shared" si="476"/>
        <v>0</v>
      </c>
      <c r="L95" s="35">
        <f t="shared" si="476"/>
        <v>0</v>
      </c>
      <c r="M95" s="35">
        <f t="shared" si="476"/>
        <v>0</v>
      </c>
      <c r="N95" s="35">
        <f t="shared" si="476"/>
        <v>0</v>
      </c>
      <c r="O95" s="35">
        <f t="shared" si="476"/>
        <v>0</v>
      </c>
      <c r="P95" s="35">
        <f t="shared" si="476"/>
        <v>0</v>
      </c>
      <c r="R95" s="35">
        <f t="shared" ref="R95:AC95" si="477">IF(R60=0,0,1-(R94/R60))</f>
        <v>0</v>
      </c>
      <c r="S95" s="35">
        <f t="shared" si="477"/>
        <v>0</v>
      </c>
      <c r="T95" s="35">
        <f t="shared" si="477"/>
        <v>0</v>
      </c>
      <c r="U95" s="35">
        <f t="shared" si="477"/>
        <v>0</v>
      </c>
      <c r="V95" s="35">
        <f t="shared" si="477"/>
        <v>0</v>
      </c>
      <c r="W95" s="35">
        <f t="shared" si="477"/>
        <v>0</v>
      </c>
      <c r="X95" s="35">
        <f t="shared" si="477"/>
        <v>8.6109387661767234E-2</v>
      </c>
      <c r="Y95" s="35">
        <f t="shared" si="477"/>
        <v>8.7342094875658471E-2</v>
      </c>
      <c r="Z95" s="35">
        <f t="shared" si="477"/>
        <v>8.7425232478850257E-2</v>
      </c>
      <c r="AA95" s="35">
        <f t="shared" si="477"/>
        <v>0.12954484289895263</v>
      </c>
      <c r="AB95" s="35">
        <f t="shared" si="477"/>
        <v>0.12958528922501056</v>
      </c>
      <c r="AC95" s="35">
        <f t="shared" si="477"/>
        <v>0.12991532319810695</v>
      </c>
      <c r="AE95" s="35">
        <f>IF(AE60=0,0,1-(AE94/AE60))</f>
        <v>0.1631490646111643</v>
      </c>
      <c r="AF95" s="35">
        <f t="shared" ref="AF95:AP95" si="478">IF(AF60=0,0,1-(AF94/AF60))</f>
        <v>0.15831999498454652</v>
      </c>
      <c r="AG95" s="35">
        <f t="shared" si="478"/>
        <v>0.15527066818597934</v>
      </c>
      <c r="AH95" s="35">
        <f t="shared" si="478"/>
        <v>0.17894651848691512</v>
      </c>
      <c r="AI95" s="35">
        <f t="shared" si="478"/>
        <v>0.45054564808859221</v>
      </c>
      <c r="AJ95" s="35">
        <f t="shared" si="478"/>
        <v>0.53119169024009905</v>
      </c>
      <c r="AK95" s="35">
        <f t="shared" si="478"/>
        <v>0.54490076992515668</v>
      </c>
      <c r="AL95" s="35">
        <f t="shared" si="478"/>
        <v>0.57298994739905318</v>
      </c>
      <c r="AM95" s="35">
        <f t="shared" si="478"/>
        <v>0.590330243137695</v>
      </c>
      <c r="AN95" s="35">
        <f t="shared" si="478"/>
        <v>0.61426174813385803</v>
      </c>
      <c r="AO95" s="35">
        <f t="shared" si="478"/>
        <v>0.61971115566097357</v>
      </c>
      <c r="AP95" s="35">
        <f t="shared" si="478"/>
        <v>0.62391063617088849</v>
      </c>
      <c r="AR95" s="35">
        <f t="shared" ref="AR95:AV95" si="479">IF(AR60=0,0,1-(AR94/AR60))</f>
        <v>0</v>
      </c>
      <c r="AS95" s="35">
        <f t="shared" si="479"/>
        <v>0</v>
      </c>
      <c r="AT95" s="35">
        <f t="shared" si="479"/>
        <v>0</v>
      </c>
      <c r="AU95" s="35">
        <f t="shared" si="479"/>
        <v>0</v>
      </c>
      <c r="AV95" s="35">
        <f t="shared" si="479"/>
        <v>0</v>
      </c>
      <c r="AX95" s="35">
        <f t="shared" ref="AX95:BB95" si="480">IF(AX60=0,0,1-(AX94/AX60))</f>
        <v>0.1098088248088438</v>
      </c>
      <c r="AY95" s="35">
        <f t="shared" si="480"/>
        <v>0</v>
      </c>
      <c r="AZ95" s="35">
        <f t="shared" si="480"/>
        <v>0</v>
      </c>
      <c r="BA95" s="35">
        <f t="shared" si="480"/>
        <v>8.6958905005425247E-2</v>
      </c>
      <c r="BB95" s="35">
        <f t="shared" si="480"/>
        <v>0.12968181844069016</v>
      </c>
      <c r="BD95" s="35">
        <f t="shared" ref="BD95:BH95" si="481">IF(BD60=0,0,1-(BD94/BD60))</f>
        <v>0.51207817330922412</v>
      </c>
      <c r="BE95" s="35">
        <f t="shared" si="481"/>
        <v>0.15891324259389683</v>
      </c>
      <c r="BF95" s="35">
        <f t="shared" si="481"/>
        <v>0.3868946189385355</v>
      </c>
      <c r="BG95" s="35">
        <f t="shared" si="481"/>
        <v>0.56940698682063495</v>
      </c>
      <c r="BH95" s="35">
        <f t="shared" si="481"/>
        <v>0.61929451332190677</v>
      </c>
      <c r="BJ95" s="35">
        <f t="shared" ref="BJ95:BN95" si="482">IF(BJ60=0,0,1-(BJ94/BJ60))</f>
        <v>0.64722147013917541</v>
      </c>
      <c r="BK95" s="35">
        <f t="shared" si="482"/>
        <v>0.64063145924631737</v>
      </c>
      <c r="BL95" s="35">
        <f t="shared" si="482"/>
        <v>0.65253816328636272</v>
      </c>
      <c r="BM95" s="35">
        <f t="shared" si="482"/>
        <v>0.6428507163190047</v>
      </c>
      <c r="BN95" s="35">
        <f t="shared" si="482"/>
        <v>0.6515988458751536</v>
      </c>
      <c r="BP95" s="35">
        <f t="shared" ref="BP95:BT95" si="483">IF(BP60=0,0,1-(BP94/BP60))</f>
        <v>0.66383326420548161</v>
      </c>
      <c r="BQ95" s="35">
        <f t="shared" si="483"/>
        <v>0.65980297161658608</v>
      </c>
      <c r="BR95" s="35">
        <f t="shared" si="483"/>
        <v>0.66855821381990854</v>
      </c>
      <c r="BS95" s="35">
        <f t="shared" si="483"/>
        <v>0.65952816835186401</v>
      </c>
      <c r="BT95" s="35">
        <f t="shared" si="483"/>
        <v>0.66760575557590207</v>
      </c>
      <c r="BV95" s="35">
        <f t="shared" ref="BV95:BZ95" si="484">IF(BV60=0,0,1-(BV94/BV60))</f>
        <v>0.67497991333973306</v>
      </c>
      <c r="BW95" s="35">
        <f t="shared" si="484"/>
        <v>0.67345832275979711</v>
      </c>
      <c r="BX95" s="35">
        <f t="shared" si="484"/>
        <v>0.67988540031607569</v>
      </c>
      <c r="BY95" s="35">
        <f t="shared" si="484"/>
        <v>0.67244938784680197</v>
      </c>
      <c r="BZ95" s="35">
        <f t="shared" si="484"/>
        <v>0.67473255509202179</v>
      </c>
    </row>
    <row r="96" spans="2:78" s="16" customFormat="1" x14ac:dyDescent="0.25">
      <c r="E96" s="17"/>
      <c r="F96" s="17"/>
      <c r="G96" s="17"/>
      <c r="H96" s="17"/>
      <c r="I96" s="17"/>
      <c r="J96" s="17"/>
      <c r="K96" s="17"/>
      <c r="L96" s="17"/>
      <c r="M96" s="17"/>
      <c r="N96" s="17"/>
      <c r="O96" s="17"/>
      <c r="P96" s="17"/>
      <c r="R96" s="17"/>
      <c r="S96" s="17"/>
      <c r="T96" s="17"/>
      <c r="U96" s="17"/>
      <c r="V96" s="17"/>
      <c r="W96" s="17"/>
      <c r="X96" s="17"/>
      <c r="Y96" s="17"/>
      <c r="Z96" s="17"/>
      <c r="AA96" s="17"/>
      <c r="AB96" s="17"/>
      <c r="AC96" s="17"/>
      <c r="AE96" s="17"/>
      <c r="AF96" s="17"/>
      <c r="AG96" s="17"/>
      <c r="AH96" s="17"/>
      <c r="AI96" s="17"/>
      <c r="AJ96" s="17"/>
      <c r="AK96" s="17"/>
      <c r="AL96" s="17"/>
      <c r="AM96" s="17"/>
      <c r="AN96" s="17"/>
      <c r="AO96" s="17"/>
      <c r="AP96" s="17"/>
      <c r="AR96" s="17"/>
      <c r="AS96" s="17"/>
      <c r="AT96" s="17"/>
      <c r="AU96" s="17"/>
      <c r="AV96" s="17"/>
      <c r="AX96" s="17"/>
      <c r="AY96" s="17"/>
      <c r="AZ96" s="17"/>
      <c r="BA96" s="17"/>
      <c r="BB96" s="17"/>
      <c r="BD96" s="17"/>
      <c r="BE96" s="17"/>
      <c r="BF96" s="17"/>
      <c r="BG96" s="17"/>
      <c r="BH96" s="17"/>
      <c r="BJ96" s="17"/>
      <c r="BK96" s="17"/>
      <c r="BL96" s="17"/>
      <c r="BM96" s="17"/>
      <c r="BN96" s="17"/>
      <c r="BP96" s="17"/>
      <c r="BQ96" s="17"/>
      <c r="BR96" s="17"/>
      <c r="BS96" s="17"/>
      <c r="BT96" s="17"/>
      <c r="BV96" s="17"/>
      <c r="BW96" s="17"/>
      <c r="BX96" s="17"/>
      <c r="BY96" s="17"/>
      <c r="BZ96" s="17"/>
    </row>
    <row r="97" spans="2:78" s="16" customFormat="1" x14ac:dyDescent="0.25">
      <c r="B97" s="16" t="s">
        <v>343</v>
      </c>
      <c r="E97" s="17">
        <f>+E94+E78</f>
        <v>0</v>
      </c>
      <c r="F97" s="17">
        <f t="shared" ref="F97:P97" si="485">+F94+F78</f>
        <v>0</v>
      </c>
      <c r="G97" s="17">
        <f t="shared" si="485"/>
        <v>0</v>
      </c>
      <c r="H97" s="17">
        <f t="shared" si="485"/>
        <v>0</v>
      </c>
      <c r="I97" s="17">
        <f t="shared" si="485"/>
        <v>0</v>
      </c>
      <c r="J97" s="17">
        <f t="shared" si="485"/>
        <v>0</v>
      </c>
      <c r="K97" s="17">
        <f t="shared" si="485"/>
        <v>0</v>
      </c>
      <c r="L97" s="17">
        <f t="shared" si="485"/>
        <v>0</v>
      </c>
      <c r="M97" s="17">
        <f t="shared" si="485"/>
        <v>0</v>
      </c>
      <c r="N97" s="17">
        <f t="shared" si="485"/>
        <v>0</v>
      </c>
      <c r="O97" s="17">
        <f t="shared" si="485"/>
        <v>0</v>
      </c>
      <c r="P97" s="17">
        <f t="shared" si="485"/>
        <v>0</v>
      </c>
      <c r="R97" s="17">
        <f>+R94+R78</f>
        <v>0</v>
      </c>
      <c r="S97" s="17">
        <f t="shared" ref="S97" si="486">+S94+S78</f>
        <v>0</v>
      </c>
      <c r="T97" s="17">
        <f t="shared" ref="T97" si="487">+T94+T78</f>
        <v>0</v>
      </c>
      <c r="U97" s="17">
        <f t="shared" ref="U97" si="488">+U94+U78</f>
        <v>0</v>
      </c>
      <c r="V97" s="17">
        <f t="shared" ref="V97" si="489">+V94+V78</f>
        <v>28200</v>
      </c>
      <c r="W97" s="17">
        <f t="shared" ref="W97" si="490">+W94+W78</f>
        <v>0</v>
      </c>
      <c r="X97" s="17">
        <f t="shared" ref="X97" si="491">+X94+X78</f>
        <v>501211.68687328056</v>
      </c>
      <c r="Y97" s="17">
        <f t="shared" ref="Y97" si="492">+Y94+Y78</f>
        <v>157798.55179599868</v>
      </c>
      <c r="Z97" s="17">
        <f t="shared" ref="Z97" si="493">+Z94+Z78</f>
        <v>157784.17730440682</v>
      </c>
      <c r="AA97" s="17">
        <f t="shared" ref="AA97" si="494">+AA94+AA78</f>
        <v>358596.4852316883</v>
      </c>
      <c r="AB97" s="17">
        <f t="shared" ref="AB97" si="495">+AB94+AB78</f>
        <v>173038.44450206796</v>
      </c>
      <c r="AC97" s="17">
        <f t="shared" ref="AC97" si="496">+AC94+AC78</f>
        <v>172972.83374821639</v>
      </c>
      <c r="AE97" s="17">
        <f>+AE94+AE78</f>
        <v>380094.4457000586</v>
      </c>
      <c r="AF97" s="17">
        <f t="shared" ref="AF97" si="497">+AF94+AF78</f>
        <v>208038.0468396697</v>
      </c>
      <c r="AG97" s="17">
        <f t="shared" ref="AG97" si="498">+AG94+AG78</f>
        <v>208791.74894447153</v>
      </c>
      <c r="AH97" s="17">
        <f t="shared" ref="AH97" si="499">+AH94+AH78</f>
        <v>399581.60271389713</v>
      </c>
      <c r="AI97" s="17">
        <f t="shared" ref="AI97" si="500">+AI94+AI78</f>
        <v>151462.58664789874</v>
      </c>
      <c r="AJ97" s="17">
        <f t="shared" ref="AJ97" si="501">+AJ94+AJ78</f>
        <v>129231.69866841436</v>
      </c>
      <c r="AK97" s="17">
        <f t="shared" ref="AK97" si="502">+AK94+AK78</f>
        <v>893229.07596313278</v>
      </c>
      <c r="AL97" s="17">
        <f t="shared" ref="AL97" si="503">+AL94+AL78</f>
        <v>292301.19130692619</v>
      </c>
      <c r="AM97" s="17">
        <f t="shared" ref="AM97" si="504">+AM94+AM78</f>
        <v>280431.23866495374</v>
      </c>
      <c r="AN97" s="17">
        <f t="shared" ref="AN97" si="505">+AN94+AN78</f>
        <v>878568.45393692958</v>
      </c>
      <c r="AO97" s="17">
        <f t="shared" ref="AO97" si="506">+AO94+AO78</f>
        <v>292822.41014105041</v>
      </c>
      <c r="AP97" s="17">
        <f t="shared" ref="AP97:AV97" si="507">+AP94+AP78</f>
        <v>289588.81014841597</v>
      </c>
      <c r="AR97" s="17">
        <f t="shared" si="507"/>
        <v>0</v>
      </c>
      <c r="AS97" s="17">
        <f t="shared" si="507"/>
        <v>0</v>
      </c>
      <c r="AT97" s="17">
        <f t="shared" si="507"/>
        <v>0</v>
      </c>
      <c r="AU97" s="17">
        <f t="shared" si="507"/>
        <v>0</v>
      </c>
      <c r="AV97" s="17">
        <f t="shared" si="507"/>
        <v>0</v>
      </c>
      <c r="AX97" s="17">
        <f t="shared" ref="AX97:BB97" si="508">+AX94+AX78</f>
        <v>1549602.1794556587</v>
      </c>
      <c r="AY97" s="17">
        <f t="shared" si="508"/>
        <v>0</v>
      </c>
      <c r="AZ97" s="17">
        <f t="shared" si="508"/>
        <v>28200</v>
      </c>
      <c r="BA97" s="17">
        <f t="shared" si="508"/>
        <v>816794.41597368615</v>
      </c>
      <c r="BB97" s="17">
        <f t="shared" si="508"/>
        <v>704607.76348197262</v>
      </c>
      <c r="BD97" s="17">
        <f t="shared" ref="BD97:BH97" si="509">+BD94+BD78</f>
        <v>4404141.3096758183</v>
      </c>
      <c r="BE97" s="17">
        <f t="shared" si="509"/>
        <v>796924.24148419988</v>
      </c>
      <c r="BF97" s="17">
        <f t="shared" si="509"/>
        <v>680275.88803021028</v>
      </c>
      <c r="BG97" s="17">
        <f t="shared" si="509"/>
        <v>1465961.5059350128</v>
      </c>
      <c r="BH97" s="17">
        <f t="shared" si="509"/>
        <v>1460979.6742263958</v>
      </c>
      <c r="BJ97" s="17">
        <f t="shared" ref="BJ97:BN97" si="510">+BJ94+BJ78</f>
        <v>9169308.6774205379</v>
      </c>
      <c r="BK97" s="17">
        <f t="shared" si="510"/>
        <v>1586240.7183432251</v>
      </c>
      <c r="BL97" s="17">
        <f t="shared" si="510"/>
        <v>1650629.444103189</v>
      </c>
      <c r="BM97" s="17">
        <f t="shared" si="510"/>
        <v>2906827.128449426</v>
      </c>
      <c r="BN97" s="17">
        <f t="shared" si="510"/>
        <v>3025611.3865246973</v>
      </c>
      <c r="BP97" s="17">
        <f t="shared" ref="BP97:BT97" si="511">+BP94+BP78</f>
        <v>17290178.455001108</v>
      </c>
      <c r="BQ97" s="17">
        <f t="shared" si="511"/>
        <v>3340717.6942978334</v>
      </c>
      <c r="BR97" s="17">
        <f t="shared" si="511"/>
        <v>3453394.2793054786</v>
      </c>
      <c r="BS97" s="17">
        <f t="shared" si="511"/>
        <v>5349995.6243375903</v>
      </c>
      <c r="BT97" s="17">
        <f t="shared" si="511"/>
        <v>5146070.8570602061</v>
      </c>
      <c r="BV97" s="17">
        <f t="shared" ref="BV97:BZ97" si="512">+BV94+BV78</f>
        <v>27721606.007367771</v>
      </c>
      <c r="BW97" s="17">
        <f t="shared" si="512"/>
        <v>5881959.5167481881</v>
      </c>
      <c r="BX97" s="17">
        <f t="shared" si="512"/>
        <v>6055905.3971290039</v>
      </c>
      <c r="BY97" s="17">
        <f t="shared" si="512"/>
        <v>7674107.7350973329</v>
      </c>
      <c r="BZ97" s="17">
        <f t="shared" si="512"/>
        <v>8109633.3583932491</v>
      </c>
    </row>
    <row r="98" spans="2:78" s="16" customFormat="1" x14ac:dyDescent="0.25"/>
    <row r="99" spans="2:78" s="16" customFormat="1" x14ac:dyDescent="0.25"/>
    <row r="100" spans="2:78" s="16" customFormat="1" x14ac:dyDescent="0.25"/>
    <row r="101" spans="2:78" s="16" customFormat="1" x14ac:dyDescent="0.25"/>
    <row r="102" spans="2:78" s="16" customFormat="1" x14ac:dyDescent="0.25"/>
    <row r="103" spans="2:78" s="16" customFormat="1" x14ac:dyDescent="0.25"/>
    <row r="104" spans="2:78" s="16" customFormat="1" x14ac:dyDescent="0.25"/>
    <row r="105" spans="2:78" s="16" customFormat="1" x14ac:dyDescent="0.25"/>
    <row r="106" spans="2:78" s="16" customFormat="1" x14ac:dyDescent="0.25"/>
    <row r="107" spans="2:78" s="16" customFormat="1" x14ac:dyDescent="0.25"/>
    <row r="108" spans="2:78" s="16" customFormat="1" x14ac:dyDescent="0.25"/>
    <row r="109" spans="2:78" s="16" customFormat="1" x14ac:dyDescent="0.25"/>
    <row r="110" spans="2:78" s="16" customFormat="1" x14ac:dyDescent="0.25"/>
    <row r="111" spans="2:78" s="16" customFormat="1" x14ac:dyDescent="0.25"/>
    <row r="112" spans="2:78"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row r="150" s="16" customFormat="1" x14ac:dyDescent="0.25"/>
    <row r="151" s="16" customFormat="1" x14ac:dyDescent="0.25"/>
    <row r="152" s="16" customFormat="1" x14ac:dyDescent="0.25"/>
    <row r="153" s="16" customFormat="1" x14ac:dyDescent="0.25"/>
    <row r="154" s="16" customFormat="1" x14ac:dyDescent="0.25"/>
    <row r="155" s="16" customFormat="1" x14ac:dyDescent="0.25"/>
    <row r="156" s="16" customFormat="1" x14ac:dyDescent="0.25"/>
    <row r="157" s="16" customFormat="1" x14ac:dyDescent="0.25"/>
    <row r="158" s="16" customFormat="1" x14ac:dyDescent="0.25"/>
    <row r="159" s="16" customFormat="1" x14ac:dyDescent="0.25"/>
    <row r="160" s="16" customFormat="1" x14ac:dyDescent="0.25"/>
    <row r="161" s="16" customFormat="1" x14ac:dyDescent="0.25"/>
    <row r="162" s="16" customFormat="1" x14ac:dyDescent="0.25"/>
    <row r="163" s="16" customFormat="1" x14ac:dyDescent="0.25"/>
    <row r="164" s="16" customFormat="1" x14ac:dyDescent="0.25"/>
    <row r="165" s="16" customFormat="1" x14ac:dyDescent="0.25"/>
    <row r="166" s="16" customFormat="1" x14ac:dyDescent="0.25"/>
    <row r="167" s="16" customFormat="1" x14ac:dyDescent="0.25"/>
    <row r="168" s="16" customFormat="1" x14ac:dyDescent="0.25"/>
    <row r="169" s="16" customFormat="1" x14ac:dyDescent="0.25"/>
    <row r="170" s="16" customFormat="1" x14ac:dyDescent="0.25"/>
    <row r="171" s="16" customFormat="1" x14ac:dyDescent="0.25"/>
    <row r="172" s="16" customFormat="1" x14ac:dyDescent="0.25"/>
    <row r="173" s="16" customFormat="1" x14ac:dyDescent="0.25"/>
    <row r="174" s="16" customFormat="1" x14ac:dyDescent="0.25"/>
    <row r="175" s="16" customFormat="1" x14ac:dyDescent="0.25"/>
    <row r="176" s="16" customFormat="1" x14ac:dyDescent="0.25"/>
    <row r="177" s="16" customFormat="1" x14ac:dyDescent="0.25"/>
    <row r="178" s="16" customFormat="1" x14ac:dyDescent="0.25"/>
    <row r="179" s="16" customFormat="1" x14ac:dyDescent="0.25"/>
    <row r="180" s="16" customFormat="1" x14ac:dyDescent="0.25"/>
    <row r="181" s="16" customFormat="1" x14ac:dyDescent="0.25"/>
    <row r="182" s="16" customFormat="1" x14ac:dyDescent="0.25"/>
    <row r="183" s="16" customFormat="1" x14ac:dyDescent="0.25"/>
    <row r="184" s="16" customFormat="1" x14ac:dyDescent="0.25"/>
    <row r="185" s="16" customFormat="1" x14ac:dyDescent="0.25"/>
    <row r="186" s="16" customFormat="1" x14ac:dyDescent="0.25"/>
    <row r="187" s="16" customFormat="1" x14ac:dyDescent="0.25"/>
    <row r="188" s="16" customFormat="1" x14ac:dyDescent="0.25"/>
    <row r="189" s="16" customFormat="1" x14ac:dyDescent="0.25"/>
    <row r="190" s="16" customFormat="1" x14ac:dyDescent="0.25"/>
    <row r="191" s="16" customFormat="1" x14ac:dyDescent="0.25"/>
    <row r="19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row r="363" s="16" customFormat="1" x14ac:dyDescent="0.25"/>
    <row r="364" s="16" customFormat="1" x14ac:dyDescent="0.25"/>
  </sheetData>
  <mergeCells count="9">
    <mergeCell ref="BJ3:BN3"/>
    <mergeCell ref="BP3:BT3"/>
    <mergeCell ref="BV3:BZ3"/>
    <mergeCell ref="BD3:BH3"/>
    <mergeCell ref="E3:P3"/>
    <mergeCell ref="R3:AC3"/>
    <mergeCell ref="AE3:AP3"/>
    <mergeCell ref="AR3:AV3"/>
    <mergeCell ref="AX3:BB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Z328"/>
  <sheetViews>
    <sheetView workbookViewId="0">
      <pane xSplit="2" ySplit="4" topLeftCell="Q57" activePane="bottomRight" state="frozen"/>
      <selection activeCell="A5" sqref="A5:XFD363"/>
      <selection pane="topRight" activeCell="A5" sqref="A5:XFD363"/>
      <selection pane="bottomLeft" activeCell="A5" sqref="A5:XFD363"/>
      <selection pane="bottomRight" activeCell="U50" sqref="U50"/>
    </sheetView>
  </sheetViews>
  <sheetFormatPr defaultColWidth="10.25" defaultRowHeight="15.75" outlineLevelCol="1" x14ac:dyDescent="0.25"/>
  <cols>
    <col min="1" max="1" width="3.375" style="7" customWidth="1"/>
    <col min="2" max="2" width="20.625" style="7" customWidth="1"/>
    <col min="3" max="3" width="10.25" style="7"/>
    <col min="4" max="4" width="9.75" style="7" customWidth="1"/>
    <col min="5" max="16" width="10.25" style="7" hidden="1" customWidth="1" outlineLevel="1"/>
    <col min="17" max="17" width="2" style="7" customWidth="1" collapsed="1"/>
    <col min="18" max="29" width="10.25" style="7" customWidth="1" outlineLevel="1"/>
    <col min="30" max="30" width="1.625" style="7" customWidth="1"/>
    <col min="31" max="42" width="10.25" style="7" customWidth="1" outlineLevel="1"/>
    <col min="43" max="43" width="1.625" style="7" customWidth="1"/>
    <col min="44" max="48" width="10.25" style="7" hidden="1" customWidth="1" outlineLevel="1"/>
    <col min="49" max="49" width="1.625" style="7" customWidth="1" collapsed="1"/>
    <col min="50" max="54" width="10.25" style="7" hidden="1" customWidth="1" outlineLevel="1"/>
    <col min="55" max="55" width="1.625" style="7" customWidth="1" collapsed="1"/>
    <col min="56" max="60" width="10.25" style="7" hidden="1" customWidth="1" outlineLevel="1"/>
    <col min="61" max="61" width="1.625" style="7" customWidth="1" collapsed="1"/>
    <col min="62" max="65" width="10.25" style="7"/>
    <col min="66" max="66" width="10.5" style="7" bestFit="1" customWidth="1"/>
    <col min="67" max="67" width="1.625" style="7" customWidth="1"/>
    <col min="68" max="68" width="11.25" style="7" customWidth="1"/>
    <col min="69" max="72" width="10.25" style="7"/>
    <col min="73" max="73" width="1.625" style="7" customWidth="1"/>
    <col min="74" max="16384" width="10.25" style="7"/>
  </cols>
  <sheetData>
    <row r="1" spans="1:78" customFormat="1" x14ac:dyDescent="0.25">
      <c r="B1" s="4" t="s">
        <v>36</v>
      </c>
    </row>
    <row r="2" spans="1:78" customFormat="1" x14ac:dyDescent="0.25">
      <c r="B2" s="4" t="s">
        <v>278</v>
      </c>
    </row>
    <row r="3" spans="1:78"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32" t="s">
        <v>12</v>
      </c>
      <c r="AS3" s="432"/>
      <c r="AT3" s="432"/>
      <c r="AU3" s="432"/>
      <c r="AV3" s="432"/>
      <c r="AX3" s="433" t="s">
        <v>13</v>
      </c>
      <c r="AY3" s="433"/>
      <c r="AZ3" s="433"/>
      <c r="BA3" s="433"/>
      <c r="BB3" s="433"/>
      <c r="BD3" s="431" t="s">
        <v>166</v>
      </c>
      <c r="BE3" s="431"/>
      <c r="BF3" s="431"/>
      <c r="BG3" s="431"/>
      <c r="BH3" s="431"/>
      <c r="BJ3" s="435" t="s">
        <v>383</v>
      </c>
      <c r="BK3" s="435"/>
      <c r="BL3" s="435"/>
      <c r="BM3" s="435"/>
      <c r="BN3" s="435"/>
      <c r="BP3" s="436" t="s">
        <v>388</v>
      </c>
      <c r="BQ3" s="436"/>
      <c r="BR3" s="436"/>
      <c r="BS3" s="436"/>
      <c r="BT3" s="436"/>
      <c r="BV3" s="434" t="s">
        <v>389</v>
      </c>
      <c r="BW3" s="434"/>
      <c r="BX3" s="434"/>
      <c r="BY3" s="434"/>
      <c r="BZ3" s="434"/>
    </row>
    <row r="4" spans="1:78" customFormat="1" ht="16.5" thickBot="1" x14ac:dyDescent="0.3">
      <c r="A4" s="1"/>
      <c r="B4" s="3"/>
      <c r="C4" s="6"/>
      <c r="D4" s="6"/>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c r="AR4" s="10" t="s">
        <v>167</v>
      </c>
      <c r="AS4" s="10" t="s">
        <v>168</v>
      </c>
      <c r="AT4" s="10" t="s">
        <v>169</v>
      </c>
      <c r="AU4" s="10" t="s">
        <v>170</v>
      </c>
      <c r="AV4" s="10" t="s">
        <v>171</v>
      </c>
      <c r="AX4" s="10" t="s">
        <v>167</v>
      </c>
      <c r="AY4" s="10" t="s">
        <v>168</v>
      </c>
      <c r="AZ4" s="10" t="s">
        <v>169</v>
      </c>
      <c r="BA4" s="10" t="s">
        <v>170</v>
      </c>
      <c r="BB4" s="10" t="s">
        <v>171</v>
      </c>
      <c r="BD4" s="10" t="s">
        <v>167</v>
      </c>
      <c r="BE4" s="10" t="s">
        <v>168</v>
      </c>
      <c r="BF4" s="10" t="s">
        <v>169</v>
      </c>
      <c r="BG4" s="10" t="s">
        <v>170</v>
      </c>
      <c r="BH4" s="10" t="s">
        <v>171</v>
      </c>
      <c r="BJ4" s="10" t="s">
        <v>167</v>
      </c>
      <c r="BK4" s="10" t="s">
        <v>168</v>
      </c>
      <c r="BL4" s="10" t="s">
        <v>169</v>
      </c>
      <c r="BM4" s="10" t="s">
        <v>170</v>
      </c>
      <c r="BN4" s="10" t="s">
        <v>171</v>
      </c>
      <c r="BP4" s="10" t="s">
        <v>167</v>
      </c>
      <c r="BQ4" s="10" t="s">
        <v>168</v>
      </c>
      <c r="BR4" s="10" t="s">
        <v>169</v>
      </c>
      <c r="BS4" s="10" t="s">
        <v>170</v>
      </c>
      <c r="BT4" s="10" t="s">
        <v>171</v>
      </c>
      <c r="BV4" s="10" t="s">
        <v>167</v>
      </c>
      <c r="BW4" s="10" t="s">
        <v>168</v>
      </c>
      <c r="BX4" s="10" t="s">
        <v>169</v>
      </c>
      <c r="BY4" s="10" t="s">
        <v>170</v>
      </c>
      <c r="BZ4" s="10" t="s">
        <v>171</v>
      </c>
    </row>
    <row r="5" spans="1:78" s="16" customFormat="1" x14ac:dyDescent="0.25">
      <c r="A5" s="19" t="s">
        <v>277</v>
      </c>
    </row>
    <row r="6" spans="1:78" s="16" customFormat="1" x14ac:dyDescent="0.25">
      <c r="A6" s="50" t="s">
        <v>182</v>
      </c>
    </row>
    <row r="7" spans="1:78" s="16" customFormat="1" x14ac:dyDescent="0.25">
      <c r="B7" s="16" t="s">
        <v>271</v>
      </c>
      <c r="E7" s="16">
        <f>+C11</f>
        <v>0</v>
      </c>
      <c r="F7" s="16">
        <f>+E11</f>
        <v>0</v>
      </c>
      <c r="G7" s="16">
        <f t="shared" ref="G7" si="0">+F11</f>
        <v>0</v>
      </c>
      <c r="H7" s="16">
        <f t="shared" ref="H7" si="1">+G11</f>
        <v>0</v>
      </c>
      <c r="I7" s="16">
        <f t="shared" ref="I7" si="2">+H11</f>
        <v>0</v>
      </c>
      <c r="J7" s="16">
        <f t="shared" ref="J7" si="3">+I11</f>
        <v>0</v>
      </c>
      <c r="K7" s="16">
        <f t="shared" ref="K7" si="4">+J11</f>
        <v>0</v>
      </c>
      <c r="L7" s="16">
        <f t="shared" ref="L7" si="5">+K11</f>
        <v>0</v>
      </c>
      <c r="M7" s="16">
        <f t="shared" ref="M7" si="6">+L11</f>
        <v>0</v>
      </c>
      <c r="N7" s="16">
        <f t="shared" ref="N7" si="7">+M11</f>
        <v>0</v>
      </c>
      <c r="O7" s="16">
        <f t="shared" ref="O7" si="8">+N11</f>
        <v>0</v>
      </c>
      <c r="P7" s="16">
        <f t="shared" ref="P7" si="9">+O11</f>
        <v>0</v>
      </c>
      <c r="R7" s="16">
        <f>+P11</f>
        <v>0</v>
      </c>
      <c r="S7" s="16">
        <f>+R11</f>
        <v>0</v>
      </c>
      <c r="T7" s="16">
        <f t="shared" ref="T7:AC7" si="10">+S11</f>
        <v>0</v>
      </c>
      <c r="U7" s="16">
        <f t="shared" si="10"/>
        <v>0</v>
      </c>
      <c r="V7" s="16">
        <f t="shared" si="10"/>
        <v>0</v>
      </c>
      <c r="W7" s="16">
        <f t="shared" si="10"/>
        <v>114</v>
      </c>
      <c r="X7" s="16">
        <f t="shared" si="10"/>
        <v>1238.0000000000002</v>
      </c>
      <c r="Y7" s="16">
        <f t="shared" si="10"/>
        <v>0</v>
      </c>
      <c r="Z7" s="16">
        <f t="shared" si="10"/>
        <v>1237.0000000000002</v>
      </c>
      <c r="AA7" s="16">
        <f t="shared" si="10"/>
        <v>1237.0000000000002</v>
      </c>
      <c r="AB7" s="16">
        <f t="shared" si="10"/>
        <v>0</v>
      </c>
      <c r="AC7" s="16">
        <f t="shared" si="10"/>
        <v>1155.0000000000005</v>
      </c>
      <c r="AE7" s="16">
        <f>+AC11</f>
        <v>1155.0000000000005</v>
      </c>
      <c r="AF7" s="16">
        <f>+AE11</f>
        <v>0</v>
      </c>
      <c r="AG7" s="16">
        <f t="shared" ref="AG7:AP7" si="11">+AF11</f>
        <v>1155.0000000000005</v>
      </c>
      <c r="AH7" s="16">
        <f t="shared" si="11"/>
        <v>1155.0000000000005</v>
      </c>
      <c r="AI7" s="16">
        <f t="shared" si="11"/>
        <v>0</v>
      </c>
      <c r="AJ7" s="16">
        <f t="shared" si="11"/>
        <v>3878.0000000000014</v>
      </c>
      <c r="AK7" s="16">
        <f t="shared" si="11"/>
        <v>3878.0000000000014</v>
      </c>
      <c r="AL7" s="16">
        <f t="shared" si="11"/>
        <v>0</v>
      </c>
      <c r="AM7" s="16">
        <f t="shared" si="11"/>
        <v>3877.0000000000014</v>
      </c>
      <c r="AN7" s="16">
        <f t="shared" si="11"/>
        <v>3877.0000000000014</v>
      </c>
      <c r="AO7" s="16">
        <f t="shared" si="11"/>
        <v>0</v>
      </c>
      <c r="AP7" s="16">
        <f t="shared" si="11"/>
        <v>0</v>
      </c>
      <c r="AR7" s="16">
        <f>+E7</f>
        <v>0</v>
      </c>
      <c r="AS7" s="16">
        <f>+AR11</f>
        <v>0</v>
      </c>
      <c r="AT7" s="16">
        <f t="shared" ref="AT7:AV7" si="12">+AS11</f>
        <v>0</v>
      </c>
      <c r="AU7" s="16">
        <f t="shared" si="12"/>
        <v>0</v>
      </c>
      <c r="AV7" s="16">
        <f t="shared" si="12"/>
        <v>0</v>
      </c>
      <c r="AX7" s="16">
        <f>+AV11</f>
        <v>0</v>
      </c>
      <c r="AY7" s="16">
        <f>+AX7</f>
        <v>0</v>
      </c>
      <c r="AZ7" s="16">
        <f t="shared" ref="AZ7:BB7" si="13">+AY11</f>
        <v>0</v>
      </c>
      <c r="BA7" s="16">
        <f t="shared" si="13"/>
        <v>1238.0000000000002</v>
      </c>
      <c r="BB7" s="16">
        <f t="shared" si="13"/>
        <v>1237.0000000000002</v>
      </c>
      <c r="BD7" s="16">
        <f>+BB11</f>
        <v>1155.0000000000007</v>
      </c>
      <c r="BE7" s="16">
        <f>+BD7</f>
        <v>1155.0000000000007</v>
      </c>
      <c r="BF7" s="16">
        <f t="shared" ref="BF7:BH7" si="14">+BE11</f>
        <v>1155.0000000000005</v>
      </c>
      <c r="BG7" s="16">
        <f t="shared" si="14"/>
        <v>3878.0000000000014</v>
      </c>
      <c r="BH7" s="16">
        <f t="shared" si="14"/>
        <v>3877.0000000000014</v>
      </c>
      <c r="BJ7" s="16">
        <f>+BH11</f>
        <v>2541.0000000000014</v>
      </c>
      <c r="BK7" s="16">
        <f>+AP11</f>
        <v>2541.0000000000014</v>
      </c>
      <c r="BL7" s="16">
        <f>+BK11</f>
        <v>2541.0000000000014</v>
      </c>
      <c r="BM7" s="16">
        <f t="shared" ref="BM7:BN7" si="15">+BL11</f>
        <v>4695.8780000000006</v>
      </c>
      <c r="BN7" s="16">
        <f t="shared" si="15"/>
        <v>4696.2630000000017</v>
      </c>
      <c r="BP7" s="16">
        <f>+BN11</f>
        <v>4665.3324666666686</v>
      </c>
      <c r="BQ7" s="16">
        <f>+BN11</f>
        <v>4665.3324666666686</v>
      </c>
      <c r="BR7" s="16">
        <f>+BQ11</f>
        <v>4665.3324666666686</v>
      </c>
      <c r="BS7" s="16">
        <f t="shared" ref="BS7:BT7" si="16">+BR11</f>
        <v>7267.5124666666707</v>
      </c>
      <c r="BT7" s="16">
        <f t="shared" si="16"/>
        <v>7267.3624666666701</v>
      </c>
      <c r="BV7" s="16">
        <f>+BT11</f>
        <v>7249.9303800000043</v>
      </c>
      <c r="BW7" s="16">
        <f>+BT11</f>
        <v>7249.9303800000043</v>
      </c>
      <c r="BX7" s="16">
        <f>+BW11</f>
        <v>7249.9303800000043</v>
      </c>
      <c r="BY7" s="16">
        <f t="shared" ref="BY7:BZ7" si="17">+BX11</f>
        <v>9142.9025733333383</v>
      </c>
      <c r="BZ7" s="16">
        <f t="shared" si="17"/>
        <v>9142.4375400000044</v>
      </c>
    </row>
    <row r="8" spans="1:78" s="16" customFormat="1" x14ac:dyDescent="0.25">
      <c r="B8" s="16" t="s">
        <v>283</v>
      </c>
      <c r="E8" s="16">
        <f t="shared" ref="E8:I8" si="18">+E9-E7</f>
        <v>0</v>
      </c>
      <c r="F8" s="16">
        <f t="shared" si="18"/>
        <v>0</v>
      </c>
      <c r="G8" s="16">
        <f t="shared" si="18"/>
        <v>0</v>
      </c>
      <c r="H8" s="16">
        <f t="shared" si="18"/>
        <v>0</v>
      </c>
      <c r="I8" s="16">
        <f t="shared" si="18"/>
        <v>0</v>
      </c>
      <c r="J8" s="16">
        <f>+J9-J7</f>
        <v>0</v>
      </c>
      <c r="K8" s="16">
        <f t="shared" ref="K8:P8" si="19">+K9-K7</f>
        <v>0</v>
      </c>
      <c r="L8" s="16">
        <f t="shared" si="19"/>
        <v>0</v>
      </c>
      <c r="M8" s="16">
        <f t="shared" si="19"/>
        <v>0</v>
      </c>
      <c r="N8" s="16">
        <f t="shared" si="19"/>
        <v>0</v>
      </c>
      <c r="O8" s="16">
        <f t="shared" si="19"/>
        <v>0</v>
      </c>
      <c r="P8" s="16">
        <f t="shared" si="19"/>
        <v>0</v>
      </c>
      <c r="R8" s="16">
        <f t="shared" ref="R8" si="20">+R9-R7</f>
        <v>0</v>
      </c>
      <c r="S8" s="16">
        <f t="shared" ref="S8" si="21">+S9-S7</f>
        <v>0</v>
      </c>
      <c r="T8" s="16">
        <f t="shared" ref="T8" si="22">+T9-T7</f>
        <v>0</v>
      </c>
      <c r="U8" s="16">
        <f t="shared" ref="U8" si="23">+U9-U7</f>
        <v>0</v>
      </c>
      <c r="V8" s="16">
        <f t="shared" ref="V8" si="24">+V9-V7</f>
        <v>114</v>
      </c>
      <c r="W8" s="16">
        <f>+W9-W7</f>
        <v>1124.0000000000002</v>
      </c>
      <c r="X8" s="16">
        <f t="shared" ref="X8" si="25">+X9-X7</f>
        <v>0</v>
      </c>
      <c r="Y8" s="16">
        <f t="shared" ref="Y8" si="26">+Y9-Y7</f>
        <v>1237.0000000000002</v>
      </c>
      <c r="Z8" s="16">
        <f t="shared" ref="Z8" si="27">+Z9-Z7</f>
        <v>0</v>
      </c>
      <c r="AA8" s="16">
        <f t="shared" ref="AA8" si="28">+AA9-AA7</f>
        <v>0</v>
      </c>
      <c r="AB8" s="16">
        <f t="shared" ref="AB8" si="29">+AB9-AB7</f>
        <v>1155.0000000000005</v>
      </c>
      <c r="AC8" s="16">
        <f t="shared" ref="AC8" si="30">+AC9-AC7</f>
        <v>0</v>
      </c>
      <c r="AE8" s="16">
        <f t="shared" ref="AE8" si="31">+AE9-AE7</f>
        <v>0</v>
      </c>
      <c r="AF8" s="16">
        <f t="shared" ref="AF8" si="32">+AF9-AF7</f>
        <v>1155.0000000000005</v>
      </c>
      <c r="AG8" s="16">
        <f t="shared" ref="AG8" si="33">+AG9-AG7</f>
        <v>0</v>
      </c>
      <c r="AH8" s="16">
        <f t="shared" ref="AH8" si="34">+AH9-AH7</f>
        <v>0</v>
      </c>
      <c r="AI8" s="16">
        <f t="shared" ref="AI8" si="35">+AI9-AI7</f>
        <v>3878.0000000000014</v>
      </c>
      <c r="AJ8" s="16">
        <f>+AJ9-AJ7</f>
        <v>0</v>
      </c>
      <c r="AK8" s="16">
        <f t="shared" ref="AK8" si="36">+AK9-AK7</f>
        <v>0</v>
      </c>
      <c r="AL8" s="16">
        <f t="shared" ref="AL8" si="37">+AL9-AL7</f>
        <v>3877.0000000000014</v>
      </c>
      <c r="AM8" s="16">
        <f t="shared" ref="AM8" si="38">+AM9-AM7</f>
        <v>0</v>
      </c>
      <c r="AN8" s="16">
        <f t="shared" ref="AN8" si="39">+AN9-AN7</f>
        <v>0</v>
      </c>
      <c r="AO8" s="16">
        <f t="shared" ref="AO8" si="40">+AO9-AO7</f>
        <v>0</v>
      </c>
      <c r="AP8" s="16">
        <f t="shared" ref="AP8" si="41">+AP9-AP7</f>
        <v>2541.0000000000014</v>
      </c>
      <c r="AR8" s="16">
        <f>SUM(E8:P8)</f>
        <v>0</v>
      </c>
      <c r="AS8" s="16">
        <f>SUM(E8:G8)</f>
        <v>0</v>
      </c>
      <c r="AT8" s="16">
        <f>SUM(H8:J8)</f>
        <v>0</v>
      </c>
      <c r="AU8" s="16">
        <f>SUM(K8:M8)</f>
        <v>0</v>
      </c>
      <c r="AV8" s="16">
        <f>SUM(N8:P8)</f>
        <v>0</v>
      </c>
      <c r="AX8" s="16">
        <f>SUM(R8:AC8)</f>
        <v>3630.0000000000009</v>
      </c>
      <c r="AY8" s="16">
        <f>SUM(R10:T10)</f>
        <v>0</v>
      </c>
      <c r="AZ8" s="16">
        <f>SUM(U8:W8)</f>
        <v>1238.0000000000002</v>
      </c>
      <c r="BA8" s="16">
        <f>SUM(X8:Z8)</f>
        <v>1237.0000000000002</v>
      </c>
      <c r="BB8" s="16">
        <f>SUM(AA8:AC8)</f>
        <v>1155.0000000000005</v>
      </c>
      <c r="BD8" s="16">
        <f>SUM(AE8:AP8)</f>
        <v>11451.000000000005</v>
      </c>
      <c r="BE8" s="16">
        <f>SUM(AE8:AG8)</f>
        <v>1155.0000000000005</v>
      </c>
      <c r="BF8" s="16">
        <f>SUM(AH8:AJ8)</f>
        <v>3878.0000000000014</v>
      </c>
      <c r="BG8" s="16">
        <f>SUM(AK8:AM8)</f>
        <v>3877.0000000000014</v>
      </c>
      <c r="BH8" s="16">
        <f>SUM(AN8:AP8)</f>
        <v>2541.0000000000014</v>
      </c>
      <c r="BJ8" s="16">
        <f>SUM(BK8:BN8)</f>
        <v>23835.543966666675</v>
      </c>
      <c r="BK8" s="16">
        <f t="shared" ref="BK8:BN8" si="42">+BK9-BK7</f>
        <v>3811.5000000000023</v>
      </c>
      <c r="BL8" s="16">
        <f t="shared" si="42"/>
        <v>5966.3780000000006</v>
      </c>
      <c r="BM8" s="16">
        <f t="shared" si="42"/>
        <v>7044.202000000003</v>
      </c>
      <c r="BN8" s="16">
        <f t="shared" si="42"/>
        <v>7013.463966666669</v>
      </c>
      <c r="BP8" s="16">
        <f>SUM(BQ8:BT8)</f>
        <v>38382.907713333356</v>
      </c>
      <c r="BQ8" s="16">
        <f t="shared" ref="BQ8:BT8" si="43">+BQ9-BQ7</f>
        <v>6997.9987000000019</v>
      </c>
      <c r="BR8" s="16">
        <f t="shared" si="43"/>
        <v>9600.1787000000058</v>
      </c>
      <c r="BS8" s="16">
        <f t="shared" si="43"/>
        <v>10901.118700000006</v>
      </c>
      <c r="BT8" s="16">
        <f t="shared" si="43"/>
        <v>10883.611613333342</v>
      </c>
      <c r="BV8" s="16">
        <f>SUM(BW8:BZ8)</f>
        <v>51070.308470000018</v>
      </c>
      <c r="BW8" s="16">
        <f t="shared" ref="BW8:BZ8" si="44">+BW9-BW7</f>
        <v>10874.895570000004</v>
      </c>
      <c r="BX8" s="16">
        <f t="shared" si="44"/>
        <v>12767.867763333339</v>
      </c>
      <c r="BY8" s="16">
        <f t="shared" si="44"/>
        <v>13713.888826666671</v>
      </c>
      <c r="BZ8" s="16">
        <f t="shared" si="44"/>
        <v>13713.656310000008</v>
      </c>
    </row>
    <row r="9" spans="1:78" s="16" customFormat="1" x14ac:dyDescent="0.25">
      <c r="B9" s="16" t="s">
        <v>279</v>
      </c>
      <c r="E9" s="18">
        <f t="shared" ref="E9:I9" si="45">+E11+E10</f>
        <v>0</v>
      </c>
      <c r="F9" s="18">
        <f t="shared" si="45"/>
        <v>0</v>
      </c>
      <c r="G9" s="18">
        <f t="shared" si="45"/>
        <v>0</v>
      </c>
      <c r="H9" s="18">
        <f t="shared" si="45"/>
        <v>0</v>
      </c>
      <c r="I9" s="18">
        <f t="shared" si="45"/>
        <v>0</v>
      </c>
      <c r="J9" s="18">
        <f>+J11+J10</f>
        <v>0</v>
      </c>
      <c r="K9" s="18">
        <f t="shared" ref="K9:P9" si="46">+K11+K10</f>
        <v>0</v>
      </c>
      <c r="L9" s="18">
        <f t="shared" si="46"/>
        <v>0</v>
      </c>
      <c r="M9" s="18">
        <f t="shared" si="46"/>
        <v>0</v>
      </c>
      <c r="N9" s="18">
        <f t="shared" si="46"/>
        <v>0</v>
      </c>
      <c r="O9" s="18">
        <f t="shared" si="46"/>
        <v>0</v>
      </c>
      <c r="P9" s="18">
        <f t="shared" si="46"/>
        <v>0</v>
      </c>
      <c r="R9" s="18">
        <f t="shared" ref="R9" si="47">+R11+R10</f>
        <v>0</v>
      </c>
      <c r="S9" s="18">
        <f t="shared" ref="S9" si="48">+S11+S10</f>
        <v>0</v>
      </c>
      <c r="T9" s="18">
        <f t="shared" ref="T9" si="49">+T11+T10</f>
        <v>0</v>
      </c>
      <c r="U9" s="18">
        <f t="shared" ref="U9" si="50">+U11+U10</f>
        <v>0</v>
      </c>
      <c r="V9" s="18">
        <f t="shared" ref="V9" si="51">+V11+V10</f>
        <v>114</v>
      </c>
      <c r="W9" s="18">
        <f>+W11+W10</f>
        <v>1238.0000000000002</v>
      </c>
      <c r="X9" s="18">
        <f t="shared" ref="X9" si="52">+X11+X10</f>
        <v>1238.0000000000002</v>
      </c>
      <c r="Y9" s="18">
        <f t="shared" ref="Y9" si="53">+Y11+Y10</f>
        <v>1237.0000000000002</v>
      </c>
      <c r="Z9" s="18">
        <f t="shared" ref="Z9" si="54">+Z11+Z10</f>
        <v>1237.0000000000002</v>
      </c>
      <c r="AA9" s="18">
        <f t="shared" ref="AA9" si="55">+AA11+AA10</f>
        <v>1237.0000000000002</v>
      </c>
      <c r="AB9" s="18">
        <f t="shared" ref="AB9" si="56">+AB11+AB10</f>
        <v>1155.0000000000005</v>
      </c>
      <c r="AC9" s="18">
        <f t="shared" ref="AC9" si="57">+AC11+AC10</f>
        <v>1155.0000000000005</v>
      </c>
      <c r="AE9" s="18">
        <f t="shared" ref="AE9" si="58">+AE11+AE10</f>
        <v>1155.0000000000005</v>
      </c>
      <c r="AF9" s="18">
        <f t="shared" ref="AF9" si="59">+AF11+AF10</f>
        <v>1155.0000000000005</v>
      </c>
      <c r="AG9" s="18">
        <f t="shared" ref="AG9" si="60">+AG11+AG10</f>
        <v>1155.0000000000005</v>
      </c>
      <c r="AH9" s="18">
        <f t="shared" ref="AH9" si="61">+AH11+AH10</f>
        <v>1155.0000000000005</v>
      </c>
      <c r="AI9" s="18">
        <f t="shared" ref="AI9" si="62">+AI11+AI10</f>
        <v>3878.0000000000014</v>
      </c>
      <c r="AJ9" s="18">
        <f>+AJ11+AJ10</f>
        <v>3878.0000000000014</v>
      </c>
      <c r="AK9" s="18">
        <f t="shared" ref="AK9" si="63">+AK11+AK10</f>
        <v>3878.0000000000014</v>
      </c>
      <c r="AL9" s="18">
        <f t="shared" ref="AL9" si="64">+AL11+AL10</f>
        <v>3877.0000000000014</v>
      </c>
      <c r="AM9" s="18">
        <f t="shared" ref="AM9" si="65">+AM11+AM10</f>
        <v>3877.0000000000014</v>
      </c>
      <c r="AN9" s="18">
        <f t="shared" ref="AN9" si="66">+AN11+AN10</f>
        <v>3877.0000000000014</v>
      </c>
      <c r="AO9" s="18">
        <f t="shared" ref="AO9" si="67">+AO11+AO10</f>
        <v>0</v>
      </c>
      <c r="AP9" s="18">
        <f t="shared" ref="AP9" si="68">+AP11+AP10</f>
        <v>2541.0000000000014</v>
      </c>
      <c r="AR9" s="18">
        <f>+AR7+AR8</f>
        <v>0</v>
      </c>
      <c r="AS9" s="18">
        <f t="shared" ref="AS9:AV9" si="69">+AS7+AS8</f>
        <v>0</v>
      </c>
      <c r="AT9" s="18">
        <f t="shared" si="69"/>
        <v>0</v>
      </c>
      <c r="AU9" s="18">
        <f t="shared" si="69"/>
        <v>0</v>
      </c>
      <c r="AV9" s="18">
        <f t="shared" si="69"/>
        <v>0</v>
      </c>
      <c r="AX9" s="18">
        <f>+AX7+AX8</f>
        <v>3630.0000000000009</v>
      </c>
      <c r="AY9" s="18">
        <f t="shared" ref="AY9" si="70">+AY7+AY8</f>
        <v>0</v>
      </c>
      <c r="AZ9" s="18">
        <f t="shared" ref="AZ9" si="71">+AZ7+AZ8</f>
        <v>1238.0000000000002</v>
      </c>
      <c r="BA9" s="18">
        <f t="shared" ref="BA9" si="72">+BA7+BA8</f>
        <v>2475.0000000000005</v>
      </c>
      <c r="BB9" s="18">
        <f t="shared" ref="BB9" si="73">+BB7+BB8</f>
        <v>2392.0000000000009</v>
      </c>
      <c r="BD9" s="18">
        <f>+BD7+BD8</f>
        <v>12606.000000000005</v>
      </c>
      <c r="BE9" s="18">
        <f t="shared" ref="BE9" si="74">+BE7+BE8</f>
        <v>2310.0000000000009</v>
      </c>
      <c r="BF9" s="18">
        <f t="shared" ref="BF9" si="75">+BF7+BF8</f>
        <v>5033.0000000000018</v>
      </c>
      <c r="BG9" s="18">
        <f t="shared" ref="BG9" si="76">+BG7+BG8</f>
        <v>7755.0000000000027</v>
      </c>
      <c r="BH9" s="18">
        <f t="shared" ref="BH9" si="77">+BH7+BH8</f>
        <v>6418.0000000000027</v>
      </c>
      <c r="BJ9" s="18">
        <f>+BJ7+BJ8</f>
        <v>26376.543966666675</v>
      </c>
      <c r="BK9" s="18">
        <f t="shared" ref="BK9:BN9" si="78">+BK11+BK10</f>
        <v>6352.5000000000036</v>
      </c>
      <c r="BL9" s="18">
        <f t="shared" si="78"/>
        <v>8507.3780000000024</v>
      </c>
      <c r="BM9" s="18">
        <f t="shared" si="78"/>
        <v>11740.080000000004</v>
      </c>
      <c r="BN9" s="18">
        <f t="shared" si="78"/>
        <v>11709.726966666671</v>
      </c>
      <c r="BP9" s="18">
        <f>+BP7+BP8</f>
        <v>43048.240180000023</v>
      </c>
      <c r="BQ9" s="18">
        <f t="shared" ref="BQ9:BT9" si="79">+BQ11+BQ10</f>
        <v>11663.33116666667</v>
      </c>
      <c r="BR9" s="18">
        <f t="shared" si="79"/>
        <v>14265.511166666674</v>
      </c>
      <c r="BS9" s="18">
        <f t="shared" si="79"/>
        <v>18168.631166666677</v>
      </c>
      <c r="BT9" s="18">
        <f t="shared" si="79"/>
        <v>18150.974080000011</v>
      </c>
      <c r="BV9" s="18">
        <f>+BV7+BV8</f>
        <v>58320.238850000023</v>
      </c>
      <c r="BW9" s="18">
        <f t="shared" ref="BW9:BZ9" si="80">+BW11+BW10</f>
        <v>18124.825950000009</v>
      </c>
      <c r="BX9" s="18">
        <f t="shared" si="80"/>
        <v>20017.798143333344</v>
      </c>
      <c r="BY9" s="18">
        <f t="shared" si="80"/>
        <v>22856.791400000009</v>
      </c>
      <c r="BZ9" s="18">
        <f t="shared" si="80"/>
        <v>22856.093850000012</v>
      </c>
    </row>
    <row r="10" spans="1:78" s="16" customFormat="1" x14ac:dyDescent="0.25">
      <c r="B10" s="16" t="s">
        <v>280</v>
      </c>
      <c r="E10" s="16">
        <f>+'Rev &amp; COGS'!E18</f>
        <v>0</v>
      </c>
      <c r="F10" s="16">
        <f>+'Rev &amp; COGS'!F18</f>
        <v>0</v>
      </c>
      <c r="G10" s="16">
        <f>+'Rev &amp; COGS'!G18</f>
        <v>0</v>
      </c>
      <c r="H10" s="16">
        <f>+'Rev &amp; COGS'!H18</f>
        <v>0</v>
      </c>
      <c r="I10" s="16">
        <f>+'Rev &amp; COGS'!I18</f>
        <v>0</v>
      </c>
      <c r="J10" s="16">
        <f>+'Rev &amp; COGS'!J18</f>
        <v>0</v>
      </c>
      <c r="K10" s="16">
        <f>+'Rev &amp; COGS'!K18</f>
        <v>0</v>
      </c>
      <c r="L10" s="16">
        <f>+'Rev &amp; COGS'!L18</f>
        <v>0</v>
      </c>
      <c r="M10" s="16">
        <f>+'Rev &amp; COGS'!M18</f>
        <v>0</v>
      </c>
      <c r="N10" s="16">
        <f>+'Rev &amp; COGS'!N18</f>
        <v>0</v>
      </c>
      <c r="O10" s="16">
        <f>+'Rev &amp; COGS'!O18</f>
        <v>0</v>
      </c>
      <c r="P10" s="16">
        <f>+'Rev &amp; COGS'!P18</f>
        <v>0</v>
      </c>
      <c r="R10" s="16">
        <f>+'Rev &amp; COGS'!R18</f>
        <v>0</v>
      </c>
      <c r="S10" s="16">
        <f>+'Rev &amp; COGS'!S18</f>
        <v>0</v>
      </c>
      <c r="T10" s="16">
        <f>+'Rev &amp; COGS'!T18</f>
        <v>0</v>
      </c>
      <c r="U10" s="16">
        <f>+'Rev &amp; COGS'!U18</f>
        <v>0</v>
      </c>
      <c r="V10" s="16">
        <f>+'Rev &amp; COGS'!V18</f>
        <v>0</v>
      </c>
      <c r="W10" s="16">
        <f>+'Rev &amp; COGS'!W18</f>
        <v>0</v>
      </c>
      <c r="X10" s="16">
        <f>+'Rev &amp; COGS'!X18</f>
        <v>1238.0000000000002</v>
      </c>
      <c r="Y10" s="16">
        <f>+'Rev &amp; COGS'!Y18</f>
        <v>0</v>
      </c>
      <c r="Z10" s="16">
        <f>+'Rev &amp; COGS'!Z18</f>
        <v>0</v>
      </c>
      <c r="AA10" s="16">
        <f>+'Rev &amp; COGS'!AA18</f>
        <v>1237.0000000000002</v>
      </c>
      <c r="AB10" s="16">
        <f>+'Rev &amp; COGS'!AB18</f>
        <v>0</v>
      </c>
      <c r="AC10" s="16">
        <f>+'Rev &amp; COGS'!AC18</f>
        <v>0</v>
      </c>
      <c r="AE10" s="16">
        <f>+'Rev &amp; COGS'!AE18</f>
        <v>1155.0000000000005</v>
      </c>
      <c r="AF10" s="16">
        <f>+'Rev &amp; COGS'!AF18</f>
        <v>0</v>
      </c>
      <c r="AG10" s="16">
        <f>+'Rev &amp; COGS'!AG18</f>
        <v>0</v>
      </c>
      <c r="AH10" s="16">
        <f>+'Rev &amp; COGS'!AH18</f>
        <v>1155.0000000000005</v>
      </c>
      <c r="AI10" s="16">
        <f>+'Rev &amp; COGS'!AI18</f>
        <v>0</v>
      </c>
      <c r="AJ10" s="16">
        <f>+'Rev &amp; COGS'!AJ18</f>
        <v>0</v>
      </c>
      <c r="AK10" s="16">
        <f>+'Rev &amp; COGS'!AK18</f>
        <v>3878.0000000000014</v>
      </c>
      <c r="AL10" s="16">
        <f>+'Rev &amp; COGS'!AL18</f>
        <v>0</v>
      </c>
      <c r="AM10" s="16">
        <f>+'Rev &amp; COGS'!AM18</f>
        <v>0</v>
      </c>
      <c r="AN10" s="16">
        <f>+'Rev &amp; COGS'!AN18</f>
        <v>3877.0000000000014</v>
      </c>
      <c r="AO10" s="16">
        <f>+'Rev &amp; COGS'!AO18</f>
        <v>0</v>
      </c>
      <c r="AP10" s="16">
        <f>+'Rev &amp; COGS'!AP18</f>
        <v>0</v>
      </c>
      <c r="AR10" s="16">
        <f>SUM(E10:P10)</f>
        <v>0</v>
      </c>
      <c r="AX10" s="16">
        <f>SUM(R10:AC10)</f>
        <v>2475.0000000000005</v>
      </c>
      <c r="AY10" s="16">
        <f>SUM(R10:T10)</f>
        <v>0</v>
      </c>
      <c r="AZ10" s="16">
        <f>SUM(U10:W10)</f>
        <v>0</v>
      </c>
      <c r="BA10" s="16">
        <f>SUM(X10:Z10)</f>
        <v>1238.0000000000002</v>
      </c>
      <c r="BB10" s="16">
        <f>SUM(AA10:AC10)</f>
        <v>1237.0000000000002</v>
      </c>
      <c r="BD10" s="16">
        <f>SUM(AE10:AP10)</f>
        <v>10065.000000000004</v>
      </c>
      <c r="BE10" s="16">
        <f>SUM(AE10:AG10)</f>
        <v>1155.0000000000005</v>
      </c>
      <c r="BF10" s="16">
        <f>SUM(AH10:AJ10)</f>
        <v>1155.0000000000005</v>
      </c>
      <c r="BG10" s="16">
        <f>SUM(AK10:AM10)</f>
        <v>3878.0000000000014</v>
      </c>
      <c r="BH10" s="16">
        <f>SUM(AN10:AP10)</f>
        <v>3877.0000000000014</v>
      </c>
      <c r="BJ10" s="16">
        <f>SUM(BK10:BN10)</f>
        <v>21711.211500000009</v>
      </c>
      <c r="BK10" s="16">
        <f>+'Rev &amp; COGS'!BK18</f>
        <v>3811.5000000000018</v>
      </c>
      <c r="BL10" s="16">
        <f>+'Rev &amp; COGS'!BL18</f>
        <v>3811.5000000000018</v>
      </c>
      <c r="BM10" s="16">
        <f>+'Rev &amp; COGS'!BM18</f>
        <v>7043.8170000000018</v>
      </c>
      <c r="BN10" s="16">
        <f>+'Rev &amp; COGS'!BN18</f>
        <v>7044.3945000000022</v>
      </c>
      <c r="BP10" s="16">
        <f>SUM(BQ10:BT10)</f>
        <v>35798.309800000017</v>
      </c>
      <c r="BQ10" s="16">
        <f>+'Rev &amp; COGS'!BQ18</f>
        <v>6997.9987000000028</v>
      </c>
      <c r="BR10" s="16">
        <f>+'Rev &amp; COGS'!BR18</f>
        <v>6997.9987000000028</v>
      </c>
      <c r="BS10" s="16">
        <f>+'Rev &amp; COGS'!BS18</f>
        <v>10901.268700000006</v>
      </c>
      <c r="BT10" s="16">
        <f>+'Rev &amp; COGS'!BT18</f>
        <v>10901.043700000006</v>
      </c>
      <c r="BV10" s="16">
        <f>SUM(BW10:BZ10)</f>
        <v>49177.801310000024</v>
      </c>
      <c r="BW10" s="16">
        <f>+'Rev &amp; COGS'!BW18</f>
        <v>10874.895570000006</v>
      </c>
      <c r="BX10" s="16">
        <f>+'Rev &amp; COGS'!BX18</f>
        <v>10874.895570000006</v>
      </c>
      <c r="BY10" s="16">
        <f>+'Rev &amp; COGS'!BY18</f>
        <v>13714.353860000007</v>
      </c>
      <c r="BZ10" s="16">
        <f>+'Rev &amp; COGS'!BZ18</f>
        <v>13713.656310000008</v>
      </c>
    </row>
    <row r="11" spans="1:78" s="16" customFormat="1" x14ac:dyDescent="0.25">
      <c r="B11" s="16" t="s">
        <v>282</v>
      </c>
      <c r="E11" s="17">
        <f t="shared" ref="E11" si="81">+F10/30*E12</f>
        <v>0</v>
      </c>
      <c r="F11" s="17">
        <f t="shared" ref="F11" si="82">+G10/30*F12</f>
        <v>0</v>
      </c>
      <c r="G11" s="17">
        <f t="shared" ref="G11" si="83">+H10/30*G12</f>
        <v>0</v>
      </c>
      <c r="H11" s="17"/>
      <c r="I11" s="17">
        <f>IF(J10=0,+J11/3*2)+J10/30*I12</f>
        <v>0</v>
      </c>
      <c r="J11" s="17">
        <f>+K10/30*J12</f>
        <v>0</v>
      </c>
      <c r="K11" s="17">
        <f>+L10/30*K12</f>
        <v>0</v>
      </c>
      <c r="L11" s="17">
        <f t="shared" ref="L11" si="84">+M10/30*L12</f>
        <v>0</v>
      </c>
      <c r="M11" s="17">
        <f>IF(+N10/30*M12&gt;N9,N9,+N10/30*M12)</f>
        <v>0</v>
      </c>
      <c r="N11" s="17">
        <f>IF(+O10/30*N12&gt;O9,O9,+O10/30*N12)</f>
        <v>0</v>
      </c>
      <c r="O11" s="17">
        <f>IF(+P10/30*O12&gt;P9,P9,+P10/30*O12)</f>
        <v>0</v>
      </c>
      <c r="P11" s="17">
        <f>IF(+R10/30*P12&gt;R9,R9,+R10/30*P12)</f>
        <v>0</v>
      </c>
      <c r="R11" s="17">
        <f t="shared" ref="R11" si="85">+S10/30*R12</f>
        <v>0</v>
      </c>
      <c r="S11" s="17">
        <f t="shared" ref="S11" si="86">+T10/30*S12</f>
        <v>0</v>
      </c>
      <c r="T11" s="17">
        <f t="shared" ref="T11" si="87">+U10/30*T12</f>
        <v>0</v>
      </c>
      <c r="U11" s="17"/>
      <c r="V11" s="235">
        <v>114</v>
      </c>
      <c r="W11" s="17">
        <f>SUM(X10:Y10)/60*W12</f>
        <v>1238.0000000000002</v>
      </c>
      <c r="X11" s="17">
        <f>SUM(Y10:Z10)/60*X12</f>
        <v>0</v>
      </c>
      <c r="Y11" s="17">
        <f>SUM(Z10:AA10)/60*Y12</f>
        <v>1237.0000000000002</v>
      </c>
      <c r="Z11" s="17">
        <f>SUM(AA10:AB10)/60*Z12</f>
        <v>1237.0000000000002</v>
      </c>
      <c r="AA11" s="17">
        <f>SUM(AB10:AC10)/60*AA12</f>
        <v>0</v>
      </c>
      <c r="AB11" s="17">
        <f>SUM(AC10:AE10)/60*AB12</f>
        <v>1155.0000000000005</v>
      </c>
      <c r="AC11" s="17">
        <f>SUM(AD10:AF10)/60*AC12</f>
        <v>1155.0000000000005</v>
      </c>
      <c r="AE11" s="17">
        <f t="shared" ref="AE11:AO11" si="88">SUM(AF10:AG10)/60*AE12</f>
        <v>0</v>
      </c>
      <c r="AF11" s="17">
        <f t="shared" si="88"/>
        <v>1155.0000000000005</v>
      </c>
      <c r="AG11" s="17">
        <f t="shared" si="88"/>
        <v>1155.0000000000005</v>
      </c>
      <c r="AH11" s="17">
        <f t="shared" si="88"/>
        <v>0</v>
      </c>
      <c r="AI11" s="17">
        <f t="shared" si="88"/>
        <v>3878.0000000000014</v>
      </c>
      <c r="AJ11" s="17">
        <f t="shared" si="88"/>
        <v>3878.0000000000014</v>
      </c>
      <c r="AK11" s="17">
        <f t="shared" si="88"/>
        <v>0</v>
      </c>
      <c r="AL11" s="17">
        <f t="shared" si="88"/>
        <v>3877.0000000000014</v>
      </c>
      <c r="AM11" s="17">
        <f t="shared" si="88"/>
        <v>3877.0000000000014</v>
      </c>
      <c r="AN11" s="17">
        <f t="shared" si="88"/>
        <v>0</v>
      </c>
      <c r="AO11" s="17">
        <f t="shared" si="88"/>
        <v>0</v>
      </c>
      <c r="AP11" s="17">
        <f>BK10/90*AP12</f>
        <v>2541.0000000000014</v>
      </c>
      <c r="AR11" s="17">
        <f>+AR9-AR10</f>
        <v>0</v>
      </c>
      <c r="AS11" s="17">
        <f t="shared" ref="AS11:AV11" si="89">+AS9-AS10</f>
        <v>0</v>
      </c>
      <c r="AT11" s="17">
        <f t="shared" si="89"/>
        <v>0</v>
      </c>
      <c r="AU11" s="17">
        <f t="shared" si="89"/>
        <v>0</v>
      </c>
      <c r="AV11" s="17">
        <f t="shared" si="89"/>
        <v>0</v>
      </c>
      <c r="AX11" s="17">
        <f>+AX9-AX10</f>
        <v>1155.0000000000005</v>
      </c>
      <c r="AY11" s="17">
        <f t="shared" ref="AY11" si="90">+AY9-AY10</f>
        <v>0</v>
      </c>
      <c r="AZ11" s="17">
        <f t="shared" ref="AZ11" si="91">+AZ9-AZ10</f>
        <v>1238.0000000000002</v>
      </c>
      <c r="BA11" s="17">
        <f t="shared" ref="BA11" si="92">+BA9-BA10</f>
        <v>1237.0000000000002</v>
      </c>
      <c r="BB11" s="17">
        <f t="shared" ref="BB11" si="93">+BB9-BB10</f>
        <v>1155.0000000000007</v>
      </c>
      <c r="BD11" s="17">
        <f>+BD9-BD10</f>
        <v>2541.0000000000018</v>
      </c>
      <c r="BE11" s="17">
        <f t="shared" ref="BE11" si="94">+BE9-BE10</f>
        <v>1155.0000000000005</v>
      </c>
      <c r="BF11" s="17">
        <f t="shared" ref="BF11" si="95">+BF9-BF10</f>
        <v>3878.0000000000014</v>
      </c>
      <c r="BG11" s="17">
        <f t="shared" ref="BG11" si="96">+BG9-BG10</f>
        <v>3877.0000000000014</v>
      </c>
      <c r="BH11" s="17">
        <f t="shared" ref="BH11" si="97">+BH9-BH10</f>
        <v>2541.0000000000014</v>
      </c>
      <c r="BJ11" s="17">
        <f>+BJ9-BJ10</f>
        <v>4665.3324666666667</v>
      </c>
      <c r="BK11" s="17">
        <f>BL10/90*BK12</f>
        <v>2541.0000000000014</v>
      </c>
      <c r="BL11" s="17">
        <f t="shared" ref="BL11:BM11" si="98">BM10/90*BL12</f>
        <v>4695.8780000000006</v>
      </c>
      <c r="BM11" s="17">
        <f t="shared" si="98"/>
        <v>4696.2630000000017</v>
      </c>
      <c r="BN11" s="17">
        <f>BQ10/90*BN12</f>
        <v>4665.3324666666686</v>
      </c>
      <c r="BP11" s="17">
        <f>+BP9-BP10</f>
        <v>7249.9303800000052</v>
      </c>
      <c r="BQ11" s="17">
        <f>BR10/90*BQ12</f>
        <v>4665.3324666666686</v>
      </c>
      <c r="BR11" s="17">
        <f t="shared" ref="BR11" si="99">BS10/90*BR12</f>
        <v>7267.5124666666707</v>
      </c>
      <c r="BS11" s="17">
        <f t="shared" ref="BS11" si="100">BT10/90*BS12</f>
        <v>7267.3624666666701</v>
      </c>
      <c r="BT11" s="17">
        <f>BW10/90*BT12</f>
        <v>7249.9303800000043</v>
      </c>
      <c r="BV11" s="17">
        <f>+BV9-BV10</f>
        <v>9142.437539999999</v>
      </c>
      <c r="BW11" s="17">
        <f>BX10/90*BW12</f>
        <v>7249.9303800000043</v>
      </c>
      <c r="BX11" s="17">
        <f t="shared" ref="BX11" si="101">BY10/90*BX12</f>
        <v>9142.9025733333383</v>
      </c>
      <c r="BY11" s="17">
        <f t="shared" ref="BY11" si="102">BZ10/90*BY12</f>
        <v>9142.4375400000044</v>
      </c>
      <c r="BZ11" s="17">
        <f>+BY11</f>
        <v>9142.4375400000044</v>
      </c>
    </row>
    <row r="12" spans="1:78" s="16" customFormat="1" x14ac:dyDescent="0.25">
      <c r="B12" s="16" t="s">
        <v>281</v>
      </c>
      <c r="E12" s="45">
        <v>60</v>
      </c>
      <c r="F12" s="45">
        <f>+E12</f>
        <v>60</v>
      </c>
      <c r="G12" s="45">
        <f t="shared" ref="G12" si="103">+F12</f>
        <v>60</v>
      </c>
      <c r="H12" s="45">
        <f t="shared" ref="H12" si="104">+G12</f>
        <v>60</v>
      </c>
      <c r="I12" s="45">
        <f t="shared" ref="I12" si="105">+H12</f>
        <v>60</v>
      </c>
      <c r="J12" s="45">
        <f t="shared" ref="J12" si="106">+I12</f>
        <v>60</v>
      </c>
      <c r="K12" s="45">
        <f t="shared" ref="K12" si="107">+J12</f>
        <v>60</v>
      </c>
      <c r="L12" s="45">
        <f t="shared" ref="L12" si="108">+K12</f>
        <v>60</v>
      </c>
      <c r="M12" s="45">
        <f t="shared" ref="M12" si="109">+L12</f>
        <v>60</v>
      </c>
      <c r="N12" s="45">
        <f t="shared" ref="N12" si="110">+M12</f>
        <v>60</v>
      </c>
      <c r="O12" s="45">
        <f t="shared" ref="O12" si="111">+N12</f>
        <v>60</v>
      </c>
      <c r="P12" s="45">
        <f t="shared" ref="P12" si="112">+O12</f>
        <v>60</v>
      </c>
      <c r="R12" s="45">
        <f>+P12</f>
        <v>60</v>
      </c>
      <c r="S12" s="45">
        <f>+R12</f>
        <v>60</v>
      </c>
      <c r="T12" s="45">
        <f t="shared" ref="T12:AC12" si="113">+S12</f>
        <v>60</v>
      </c>
      <c r="U12" s="45">
        <f t="shared" si="113"/>
        <v>60</v>
      </c>
      <c r="V12" s="45">
        <f t="shared" si="113"/>
        <v>60</v>
      </c>
      <c r="W12" s="45">
        <f t="shared" si="113"/>
        <v>60</v>
      </c>
      <c r="X12" s="45">
        <f t="shared" si="113"/>
        <v>60</v>
      </c>
      <c r="Y12" s="45">
        <f t="shared" si="113"/>
        <v>60</v>
      </c>
      <c r="Z12" s="45">
        <f t="shared" si="113"/>
        <v>60</v>
      </c>
      <c r="AA12" s="45">
        <f t="shared" si="113"/>
        <v>60</v>
      </c>
      <c r="AB12" s="45">
        <f t="shared" si="113"/>
        <v>60</v>
      </c>
      <c r="AC12" s="45">
        <f t="shared" si="113"/>
        <v>60</v>
      </c>
      <c r="AE12" s="45">
        <f>+AC12</f>
        <v>60</v>
      </c>
      <c r="AF12" s="45">
        <f>+AE12</f>
        <v>60</v>
      </c>
      <c r="AG12" s="45">
        <f t="shared" ref="AG12:AP12" si="114">+AF12</f>
        <v>60</v>
      </c>
      <c r="AH12" s="45">
        <f t="shared" si="114"/>
        <v>60</v>
      </c>
      <c r="AI12" s="45">
        <f t="shared" si="114"/>
        <v>60</v>
      </c>
      <c r="AJ12" s="45">
        <f t="shared" si="114"/>
        <v>60</v>
      </c>
      <c r="AK12" s="45">
        <f t="shared" si="114"/>
        <v>60</v>
      </c>
      <c r="AL12" s="45">
        <f t="shared" si="114"/>
        <v>60</v>
      </c>
      <c r="AM12" s="45">
        <f t="shared" si="114"/>
        <v>60</v>
      </c>
      <c r="AN12" s="45">
        <f t="shared" si="114"/>
        <v>60</v>
      </c>
      <c r="AO12" s="45">
        <f t="shared" si="114"/>
        <v>60</v>
      </c>
      <c r="AP12" s="45">
        <f t="shared" si="114"/>
        <v>60</v>
      </c>
      <c r="AR12" s="45"/>
      <c r="AS12" s="45"/>
      <c r="AT12" s="45"/>
      <c r="AU12" s="45"/>
      <c r="AV12" s="45"/>
      <c r="AX12" s="45"/>
      <c r="AY12" s="45"/>
      <c r="AZ12" s="45"/>
      <c r="BA12" s="45"/>
      <c r="BB12" s="45"/>
      <c r="BD12" s="45"/>
      <c r="BE12" s="45"/>
      <c r="BF12" s="45"/>
      <c r="BG12" s="45"/>
      <c r="BH12" s="45"/>
      <c r="BK12" s="45">
        <f>+AP12</f>
        <v>60</v>
      </c>
      <c r="BL12" s="45">
        <f t="shared" ref="BL12" si="115">+BK12</f>
        <v>60</v>
      </c>
      <c r="BM12" s="45">
        <f t="shared" ref="BM12" si="116">+BL12</f>
        <v>60</v>
      </c>
      <c r="BN12" s="45">
        <f t="shared" ref="BN12" si="117">+BM12</f>
        <v>60</v>
      </c>
      <c r="BQ12" s="45">
        <f>+BN12</f>
        <v>60</v>
      </c>
      <c r="BR12" s="45">
        <f t="shared" ref="BR12" si="118">+BQ12</f>
        <v>60</v>
      </c>
      <c r="BS12" s="45">
        <f t="shared" ref="BS12" si="119">+BR12</f>
        <v>60</v>
      </c>
      <c r="BT12" s="45">
        <f t="shared" ref="BT12" si="120">+BS12</f>
        <v>60</v>
      </c>
      <c r="BW12" s="45">
        <f>+BT12</f>
        <v>60</v>
      </c>
      <c r="BX12" s="45">
        <f t="shared" ref="BX12" si="121">+BW12</f>
        <v>60</v>
      </c>
      <c r="BY12" s="45">
        <f t="shared" ref="BY12" si="122">+BX12</f>
        <v>60</v>
      </c>
      <c r="BZ12" s="45">
        <f t="shared" ref="BZ12" si="123">+BY12</f>
        <v>60</v>
      </c>
    </row>
    <row r="13" spans="1:78" s="16" customFormat="1" x14ac:dyDescent="0.25"/>
    <row r="14" spans="1:78" s="16" customFormat="1" x14ac:dyDescent="0.25"/>
    <row r="15" spans="1:78" s="16" customFormat="1" x14ac:dyDescent="0.25">
      <c r="A15" s="50" t="s">
        <v>366</v>
      </c>
    </row>
    <row r="16" spans="1:78" s="16" customFormat="1" x14ac:dyDescent="0.25">
      <c r="B16" s="16" t="s">
        <v>271</v>
      </c>
      <c r="E16" s="16">
        <f>+C20</f>
        <v>0</v>
      </c>
      <c r="F16" s="16">
        <f>+E20</f>
        <v>0</v>
      </c>
      <c r="G16" s="16">
        <f t="shared" ref="G16" si="124">+F20</f>
        <v>0</v>
      </c>
      <c r="H16" s="16">
        <f t="shared" ref="H16" si="125">+G20</f>
        <v>0</v>
      </c>
      <c r="I16" s="16">
        <f t="shared" ref="I16" si="126">+H20</f>
        <v>0</v>
      </c>
      <c r="J16" s="16">
        <f t="shared" ref="J16" si="127">+I20</f>
        <v>0</v>
      </c>
      <c r="K16" s="16">
        <f t="shared" ref="K16" si="128">+J20</f>
        <v>0</v>
      </c>
      <c r="L16" s="16">
        <f t="shared" ref="L16" si="129">+K20</f>
        <v>0</v>
      </c>
      <c r="M16" s="16">
        <f t="shared" ref="M16" si="130">+L20</f>
        <v>0</v>
      </c>
      <c r="N16" s="16">
        <f t="shared" ref="N16" si="131">+M20</f>
        <v>0</v>
      </c>
      <c r="O16" s="16">
        <f t="shared" ref="O16" si="132">+N20</f>
        <v>0</v>
      </c>
      <c r="P16" s="16">
        <f t="shared" ref="P16" si="133">+O20</f>
        <v>0</v>
      </c>
      <c r="R16" s="16">
        <f>+P20</f>
        <v>0</v>
      </c>
      <c r="S16" s="16">
        <f>+R20</f>
        <v>0</v>
      </c>
      <c r="T16" s="16">
        <f t="shared" ref="T16:AC16" si="134">+S20</f>
        <v>0</v>
      </c>
      <c r="U16" s="16">
        <f t="shared" si="134"/>
        <v>0</v>
      </c>
      <c r="V16" s="16">
        <f t="shared" si="134"/>
        <v>15700.000000000002</v>
      </c>
      <c r="W16" s="16">
        <f t="shared" si="134"/>
        <v>41866.666666666672</v>
      </c>
      <c r="X16" s="16">
        <f t="shared" si="134"/>
        <v>94200.000000000015</v>
      </c>
      <c r="Y16" s="16">
        <f t="shared" si="134"/>
        <v>120525.04554794524</v>
      </c>
      <c r="Z16" s="16">
        <f t="shared" si="134"/>
        <v>128509.31563981048</v>
      </c>
      <c r="AA16" s="16">
        <f t="shared" si="134"/>
        <v>146859.47663043483</v>
      </c>
      <c r="AB16" s="16">
        <f t="shared" si="134"/>
        <v>132493.00981137392</v>
      </c>
      <c r="AC16" s="16">
        <f t="shared" si="134"/>
        <v>150664.88172191536</v>
      </c>
      <c r="AE16" s="16">
        <f>+AC20</f>
        <v>166718.23823014024</v>
      </c>
      <c r="AF16" s="16">
        <f>+AE20</f>
        <v>165545.664730135</v>
      </c>
      <c r="AG16" s="16">
        <f t="shared" ref="AG16:AP16" si="135">+AF20</f>
        <v>168316.14919617056</v>
      </c>
      <c r="AH16" s="16">
        <f t="shared" si="135"/>
        <v>173602.00000000006</v>
      </c>
      <c r="AI16" s="16">
        <f t="shared" si="135"/>
        <v>266695.00000000012</v>
      </c>
      <c r="AJ16" s="16">
        <f t="shared" si="135"/>
        <v>359788.00000000012</v>
      </c>
      <c r="AK16" s="16">
        <f t="shared" si="135"/>
        <v>452881.00000000017</v>
      </c>
      <c r="AL16" s="16">
        <f t="shared" si="135"/>
        <v>459921.00000000023</v>
      </c>
      <c r="AM16" s="16">
        <f t="shared" si="135"/>
        <v>472767.16666666686</v>
      </c>
      <c r="AN16" s="16">
        <f t="shared" si="135"/>
        <v>485613.33333333355</v>
      </c>
      <c r="AO16" s="16">
        <f t="shared" si="135"/>
        <v>473000.00000000017</v>
      </c>
      <c r="AP16" s="16">
        <f t="shared" si="135"/>
        <v>473000.00000000017</v>
      </c>
      <c r="AR16" s="16">
        <f>+E16</f>
        <v>0</v>
      </c>
      <c r="AS16" s="16">
        <f>+AR20</f>
        <v>0</v>
      </c>
      <c r="AT16" s="16">
        <f t="shared" ref="AT16:AV16" si="136">+AS20</f>
        <v>0</v>
      </c>
      <c r="AU16" s="16">
        <f t="shared" si="136"/>
        <v>0</v>
      </c>
      <c r="AV16" s="16">
        <f t="shared" si="136"/>
        <v>0</v>
      </c>
      <c r="AX16" s="16">
        <f>+AV20</f>
        <v>0</v>
      </c>
      <c r="AY16" s="16">
        <f>+AX16</f>
        <v>0</v>
      </c>
      <c r="AZ16" s="16">
        <f t="shared" ref="AZ16:BB16" si="137">+AY20</f>
        <v>0</v>
      </c>
      <c r="BA16" s="16">
        <f t="shared" si="137"/>
        <v>94200.000000000015</v>
      </c>
      <c r="BB16" s="16">
        <f t="shared" si="137"/>
        <v>146859.47663043483</v>
      </c>
      <c r="BD16" s="16">
        <f>+BB20</f>
        <v>166718.23823014021</v>
      </c>
      <c r="BE16" s="16">
        <f>+BD16</f>
        <v>166718.23823014021</v>
      </c>
      <c r="BF16" s="16">
        <f t="shared" ref="BF16:BH16" si="138">+BE20</f>
        <v>173601.99999999994</v>
      </c>
      <c r="BG16" s="16">
        <f t="shared" si="138"/>
        <v>452881</v>
      </c>
      <c r="BH16" s="16">
        <f t="shared" si="138"/>
        <v>485613.33333333331</v>
      </c>
      <c r="BJ16" s="16">
        <f>+AP20</f>
        <v>561453.75000000023</v>
      </c>
      <c r="BK16" s="16">
        <f>+BH20</f>
        <v>561453.74999999977</v>
      </c>
      <c r="BL16" s="16">
        <f t="shared" ref="BL16" si="139">+BK20</f>
        <v>562562.00000000012</v>
      </c>
      <c r="BM16" s="16">
        <f t="shared" ref="BM16" si="140">+BL20</f>
        <v>983496.62522222253</v>
      </c>
      <c r="BN16" s="16">
        <f t="shared" ref="BN16" si="141">+BM20</f>
        <v>1047821.6637777782</v>
      </c>
      <c r="BP16" s="16">
        <f>+BQ16</f>
        <v>1223233.0392333341</v>
      </c>
      <c r="BQ16" s="16">
        <f>+BN20</f>
        <v>1223233.0392333341</v>
      </c>
      <c r="BR16" s="16">
        <f t="shared" ref="BR16" si="142">+BQ20</f>
        <v>1275505.0019066674</v>
      </c>
      <c r="BS16" s="16">
        <f t="shared" ref="BS16" si="143">+BR20</f>
        <v>1951004.6974000009</v>
      </c>
      <c r="BT16" s="16">
        <f t="shared" ref="BT16" si="144">+BS20</f>
        <v>1857214.3409355567</v>
      </c>
      <c r="BV16" s="16">
        <f>+BW16</f>
        <v>2203104.3182646679</v>
      </c>
      <c r="BW16" s="16">
        <f>+BT20</f>
        <v>2203104.3182646679</v>
      </c>
      <c r="BX16" s="16">
        <f t="shared" ref="BX16" si="145">+BW20</f>
        <v>2271827.1359911128</v>
      </c>
      <c r="BY16" s="16">
        <f t="shared" ref="BY16" si="146">+BX20</f>
        <v>2839813.6205511126</v>
      </c>
      <c r="BZ16" s="16">
        <f t="shared" ref="BZ16" si="147">+BY20</f>
        <v>3015650.2252800013</v>
      </c>
    </row>
    <row r="17" spans="1:78" s="16" customFormat="1" x14ac:dyDescent="0.25">
      <c r="B17" s="16" t="s">
        <v>278</v>
      </c>
      <c r="E17" s="16">
        <f t="shared" ref="E17:I17" si="148">+E18-E16</f>
        <v>0</v>
      </c>
      <c r="F17" s="16">
        <f t="shared" si="148"/>
        <v>0</v>
      </c>
      <c r="G17" s="16">
        <f t="shared" si="148"/>
        <v>0</v>
      </c>
      <c r="H17" s="16">
        <f t="shared" si="148"/>
        <v>0</v>
      </c>
      <c r="I17" s="16">
        <f t="shared" si="148"/>
        <v>0</v>
      </c>
      <c r="J17" s="16">
        <f>+J18-J16</f>
        <v>0</v>
      </c>
      <c r="K17" s="16">
        <f t="shared" ref="K17:P17" si="149">+K18-K16</f>
        <v>0</v>
      </c>
      <c r="L17" s="16">
        <f t="shared" si="149"/>
        <v>0</v>
      </c>
      <c r="M17" s="16">
        <f t="shared" si="149"/>
        <v>0</v>
      </c>
      <c r="N17" s="16">
        <f t="shared" si="149"/>
        <v>0</v>
      </c>
      <c r="O17" s="16">
        <f t="shared" si="149"/>
        <v>0</v>
      </c>
      <c r="P17" s="16">
        <f t="shared" si="149"/>
        <v>0</v>
      </c>
      <c r="R17" s="16">
        <f t="shared" ref="R17:V17" si="150">+R18-R16</f>
        <v>0</v>
      </c>
      <c r="S17" s="16">
        <f t="shared" si="150"/>
        <v>0</v>
      </c>
      <c r="T17" s="16">
        <f t="shared" si="150"/>
        <v>0</v>
      </c>
      <c r="U17" s="16">
        <f t="shared" si="150"/>
        <v>15700.000000000002</v>
      </c>
      <c r="V17" s="16">
        <f t="shared" si="150"/>
        <v>26166.666666666672</v>
      </c>
      <c r="W17" s="16">
        <f>+W18-W16</f>
        <v>52333.333333333343</v>
      </c>
      <c r="X17" s="16">
        <f t="shared" ref="X17:AC17" si="151">+X18-X16</f>
        <v>73425.045547945236</v>
      </c>
      <c r="Y17" s="16">
        <f t="shared" si="151"/>
        <v>55084.270091865255</v>
      </c>
      <c r="Z17" s="16">
        <f t="shared" si="151"/>
        <v>65450.160990624354</v>
      </c>
      <c r="AA17" s="16">
        <f t="shared" si="151"/>
        <v>37283.533180939092</v>
      </c>
      <c r="AB17" s="16">
        <f t="shared" si="151"/>
        <v>69821.871910541435</v>
      </c>
      <c r="AC17" s="16">
        <f t="shared" si="151"/>
        <v>67703.356508224882</v>
      </c>
      <c r="AE17" s="16">
        <f t="shared" ref="AE17" si="152">+AE18-AE16</f>
        <v>60592.426499994763</v>
      </c>
      <c r="AF17" s="16">
        <f t="shared" ref="AF17" si="153">+AF18-AF16</f>
        <v>64535.484466035559</v>
      </c>
      <c r="AG17" s="16">
        <f t="shared" ref="AG17" si="154">+AG18-AG16</f>
        <v>67050.850803829497</v>
      </c>
      <c r="AH17" s="16">
        <f t="shared" ref="AH17" si="155">+AH18-AH16</f>
        <v>159863.00000000006</v>
      </c>
      <c r="AI17" s="16">
        <f t="shared" ref="AI17" si="156">+AI18-AI16</f>
        <v>159863</v>
      </c>
      <c r="AJ17" s="16">
        <f>+AJ18-AJ16</f>
        <v>159863.00000000012</v>
      </c>
      <c r="AK17" s="16">
        <f t="shared" ref="AK17" si="157">+AK18-AK16</f>
        <v>181225.00000000006</v>
      </c>
      <c r="AL17" s="16">
        <f t="shared" ref="AL17" si="158">+AL18-AL16</f>
        <v>187031.16666666674</v>
      </c>
      <c r="AM17" s="16">
        <f t="shared" ref="AM17" si="159">+AM18-AM16</f>
        <v>187031.16666666674</v>
      </c>
      <c r="AN17" s="16">
        <f t="shared" ref="AN17" si="160">+AN18-AN16</f>
        <v>176586.66666666669</v>
      </c>
      <c r="AO17" s="16">
        <f t="shared" ref="AO17" si="161">+AO18-AO16</f>
        <v>189200.00000000006</v>
      </c>
      <c r="AP17" s="16">
        <f t="shared" ref="AP17" si="162">+AP18-AP16</f>
        <v>277653.75000000006</v>
      </c>
      <c r="AR17" s="16">
        <f>SUM(E17:P17)</f>
        <v>0</v>
      </c>
      <c r="AS17" s="16">
        <f>SUM(E17:G17)</f>
        <v>0</v>
      </c>
      <c r="AT17" s="16">
        <f>SUM(H17:J17)</f>
        <v>0</v>
      </c>
      <c r="AU17" s="16">
        <f>SUM(K17:M17)</f>
        <v>0</v>
      </c>
      <c r="AV17" s="16">
        <f>SUM(N17:P17)</f>
        <v>0</v>
      </c>
      <c r="AX17" s="16">
        <f>SUM(R17:AC17)</f>
        <v>462968.2382301403</v>
      </c>
      <c r="AY17" s="16">
        <f>SUM(R19:T19)</f>
        <v>0</v>
      </c>
      <c r="AZ17" s="16">
        <f>SUM(U17:W17)</f>
        <v>94200.000000000015</v>
      </c>
      <c r="BA17" s="16">
        <f>SUM(X17:Z17)</f>
        <v>193959.47663043486</v>
      </c>
      <c r="BB17" s="16">
        <f>SUM(AA17:AC17)</f>
        <v>174808.76159970541</v>
      </c>
      <c r="BD17" s="16">
        <f>SUM(AE17:AP17)</f>
        <v>1870495.5117698603</v>
      </c>
      <c r="BE17" s="16">
        <f>SUM(AE17:AG17)</f>
        <v>192178.76176985982</v>
      </c>
      <c r="BF17" s="16">
        <f>SUM(AH17:AJ17)</f>
        <v>479589.00000000017</v>
      </c>
      <c r="BG17" s="16">
        <f>SUM(AK17:AM17)</f>
        <v>555287.33333333349</v>
      </c>
      <c r="BH17" s="16">
        <f>SUM(AN17:AP17)</f>
        <v>643440.41666666674</v>
      </c>
      <c r="BJ17" s="16">
        <f>SUM(BK17:BN17)</f>
        <v>4670512.7322333362</v>
      </c>
      <c r="BK17" s="16">
        <f t="shared" ref="BK17:BN17" si="163">+BK18-BK16</f>
        <v>674852.7500000007</v>
      </c>
      <c r="BL17" s="16">
        <f t="shared" si="163"/>
        <v>1144228.6252222229</v>
      </c>
      <c r="BM17" s="16">
        <f t="shared" si="163"/>
        <v>1328820.6995555558</v>
      </c>
      <c r="BN17" s="16">
        <f t="shared" si="163"/>
        <v>1522610.6574555568</v>
      </c>
      <c r="BP17" s="16">
        <f>SUM(BQ17:BT17)</f>
        <v>9293279.2808313388</v>
      </c>
      <c r="BQ17" s="16">
        <f t="shared" ref="BQ17:BT17" si="164">+BQ18-BQ16</f>
        <v>1625000.1559733341</v>
      </c>
      <c r="BR17" s="16">
        <f t="shared" si="164"/>
        <v>2339201.8718933347</v>
      </c>
      <c r="BS17" s="16">
        <f t="shared" si="164"/>
        <v>2488421.7430355577</v>
      </c>
      <c r="BT17" s="16">
        <f t="shared" si="164"/>
        <v>2840655.5099291126</v>
      </c>
      <c r="BV17" s="16">
        <f>SUM(BW17:BZ17)</f>
        <v>15263945.52626534</v>
      </c>
      <c r="BW17" s="16">
        <f t="shared" ref="BW17:BZ17" si="165">+BW18-BW16</f>
        <v>3072955.9789964473</v>
      </c>
      <c r="BX17" s="16">
        <f t="shared" si="165"/>
        <v>3713593.2882400011</v>
      </c>
      <c r="BY17" s="16">
        <f t="shared" si="165"/>
        <v>4169324.5086288904</v>
      </c>
      <c r="BZ17" s="16">
        <f t="shared" si="165"/>
        <v>4308071.7504000012</v>
      </c>
    </row>
    <row r="18" spans="1:78" s="16" customFormat="1" x14ac:dyDescent="0.25">
      <c r="B18" s="16" t="s">
        <v>279</v>
      </c>
      <c r="E18" s="18">
        <f t="shared" ref="E18:I18" si="166">+E20+E19</f>
        <v>0</v>
      </c>
      <c r="F18" s="18">
        <f t="shared" si="166"/>
        <v>0</v>
      </c>
      <c r="G18" s="18">
        <f t="shared" si="166"/>
        <v>0</v>
      </c>
      <c r="H18" s="18">
        <f t="shared" si="166"/>
        <v>0</v>
      </c>
      <c r="I18" s="18">
        <f t="shared" si="166"/>
        <v>0</v>
      </c>
      <c r="J18" s="18">
        <f>+J20+J19</f>
        <v>0</v>
      </c>
      <c r="K18" s="18">
        <f t="shared" ref="K18:P18" si="167">+K20+K19</f>
        <v>0</v>
      </c>
      <c r="L18" s="18">
        <f t="shared" si="167"/>
        <v>0</v>
      </c>
      <c r="M18" s="18">
        <f t="shared" si="167"/>
        <v>0</v>
      </c>
      <c r="N18" s="18">
        <f t="shared" si="167"/>
        <v>0</v>
      </c>
      <c r="O18" s="18">
        <f t="shared" si="167"/>
        <v>0</v>
      </c>
      <c r="P18" s="18">
        <f t="shared" si="167"/>
        <v>0</v>
      </c>
      <c r="R18" s="18">
        <f t="shared" ref="R18:V18" si="168">+R20+R19</f>
        <v>0</v>
      </c>
      <c r="S18" s="18">
        <f t="shared" si="168"/>
        <v>0</v>
      </c>
      <c r="T18" s="18">
        <f t="shared" si="168"/>
        <v>0</v>
      </c>
      <c r="U18" s="18">
        <f t="shared" si="168"/>
        <v>15700.000000000002</v>
      </c>
      <c r="V18" s="18">
        <f t="shared" si="168"/>
        <v>41866.666666666672</v>
      </c>
      <c r="W18" s="18">
        <f>+W20+W19</f>
        <v>94200.000000000015</v>
      </c>
      <c r="X18" s="18">
        <f t="shared" ref="X18:AC18" si="169">+X20+X19</f>
        <v>167625.04554794525</v>
      </c>
      <c r="Y18" s="18">
        <f t="shared" si="169"/>
        <v>175609.31563981049</v>
      </c>
      <c r="Z18" s="18">
        <f t="shared" si="169"/>
        <v>193959.47663043483</v>
      </c>
      <c r="AA18" s="18">
        <f t="shared" si="169"/>
        <v>184143.00981137392</v>
      </c>
      <c r="AB18" s="18">
        <f t="shared" si="169"/>
        <v>202314.88172191536</v>
      </c>
      <c r="AC18" s="18">
        <f t="shared" si="169"/>
        <v>218368.23823014024</v>
      </c>
      <c r="AE18" s="18">
        <f t="shared" ref="AE18" si="170">+AE20+AE19</f>
        <v>227310.664730135</v>
      </c>
      <c r="AF18" s="18">
        <f t="shared" ref="AF18" si="171">+AF20+AF19</f>
        <v>230081.14919617056</v>
      </c>
      <c r="AG18" s="18">
        <f t="shared" ref="AG18" si="172">+AG20+AG19</f>
        <v>235367.00000000006</v>
      </c>
      <c r="AH18" s="18">
        <f t="shared" ref="AH18" si="173">+AH20+AH19</f>
        <v>333465.00000000012</v>
      </c>
      <c r="AI18" s="18">
        <f t="shared" ref="AI18" si="174">+AI20+AI19</f>
        <v>426558.00000000012</v>
      </c>
      <c r="AJ18" s="18">
        <f>+AJ20+AJ19</f>
        <v>519651.00000000023</v>
      </c>
      <c r="AK18" s="18">
        <f t="shared" ref="AK18" si="175">+AK20+AK19</f>
        <v>634106.00000000023</v>
      </c>
      <c r="AL18" s="18">
        <f t="shared" ref="AL18" si="176">+AL20+AL19</f>
        <v>646952.16666666698</v>
      </c>
      <c r="AM18" s="18">
        <f t="shared" ref="AM18" si="177">+AM20+AM19</f>
        <v>659798.3333333336</v>
      </c>
      <c r="AN18" s="18">
        <f t="shared" ref="AN18" si="178">+AN20+AN19</f>
        <v>662200.00000000023</v>
      </c>
      <c r="AO18" s="18">
        <f t="shared" ref="AO18" si="179">+AO20+AO19</f>
        <v>662200.00000000023</v>
      </c>
      <c r="AP18" s="18">
        <f t="shared" ref="AP18" si="180">+AP20+AP19</f>
        <v>750653.75000000023</v>
      </c>
      <c r="AR18" s="18">
        <f>+AR16+AR17</f>
        <v>0</v>
      </c>
      <c r="AS18" s="18">
        <f t="shared" ref="AS18" si="181">+AS16+AS17</f>
        <v>0</v>
      </c>
      <c r="AT18" s="18">
        <f t="shared" ref="AT18" si="182">+AT16+AT17</f>
        <v>0</v>
      </c>
      <c r="AU18" s="18">
        <f t="shared" ref="AU18" si="183">+AU16+AU17</f>
        <v>0</v>
      </c>
      <c r="AV18" s="18">
        <f t="shared" ref="AV18" si="184">+AV16+AV17</f>
        <v>0</v>
      </c>
      <c r="AX18" s="18">
        <f>+AX16+AX17</f>
        <v>462968.2382301403</v>
      </c>
      <c r="AY18" s="18">
        <f t="shared" ref="AY18" si="185">+AY16+AY17</f>
        <v>0</v>
      </c>
      <c r="AZ18" s="18">
        <f t="shared" ref="AZ18" si="186">+AZ16+AZ17</f>
        <v>94200.000000000015</v>
      </c>
      <c r="BA18" s="18">
        <f t="shared" ref="BA18" si="187">+BA16+BA17</f>
        <v>288159.47663043486</v>
      </c>
      <c r="BB18" s="18">
        <f t="shared" ref="BB18" si="188">+BB16+BB17</f>
        <v>321668.23823014024</v>
      </c>
      <c r="BD18" s="18">
        <f>+BD16+BD17</f>
        <v>2037213.7500000005</v>
      </c>
      <c r="BE18" s="18">
        <f t="shared" ref="BE18" si="189">+BE16+BE17</f>
        <v>358897</v>
      </c>
      <c r="BF18" s="18">
        <f t="shared" ref="BF18" si="190">+BF16+BF17</f>
        <v>653191.00000000012</v>
      </c>
      <c r="BG18" s="18">
        <f t="shared" ref="BG18" si="191">+BG16+BG17</f>
        <v>1008168.3333333335</v>
      </c>
      <c r="BH18" s="18">
        <f t="shared" ref="BH18" si="192">+BH16+BH17</f>
        <v>1129053.75</v>
      </c>
      <c r="BJ18" s="18">
        <f>+BJ16+BJ17</f>
        <v>5231966.4822333362</v>
      </c>
      <c r="BK18" s="18">
        <f t="shared" ref="BK18:BN18" si="193">+BK20+BK19</f>
        <v>1236306.5000000005</v>
      </c>
      <c r="BL18" s="18">
        <f t="shared" si="193"/>
        <v>1706790.6252222229</v>
      </c>
      <c r="BM18" s="18">
        <f t="shared" si="193"/>
        <v>2312317.3247777782</v>
      </c>
      <c r="BN18" s="18">
        <f t="shared" si="193"/>
        <v>2570432.321233335</v>
      </c>
      <c r="BP18" s="18">
        <f>+BP16+BP17</f>
        <v>10516512.320064673</v>
      </c>
      <c r="BQ18" s="18">
        <f t="shared" ref="BQ18:BT18" si="194">+BQ20+BQ19</f>
        <v>2848233.1952066682</v>
      </c>
      <c r="BR18" s="18">
        <f t="shared" si="194"/>
        <v>3614706.873800002</v>
      </c>
      <c r="BS18" s="18">
        <f t="shared" si="194"/>
        <v>4439426.4404355586</v>
      </c>
      <c r="BT18" s="18">
        <f t="shared" si="194"/>
        <v>4697869.8508646693</v>
      </c>
      <c r="BV18" s="18">
        <f>+BV16+BV17</f>
        <v>17467049.844530009</v>
      </c>
      <c r="BW18" s="18">
        <f t="shared" ref="BW18:BZ18" si="195">+BW20+BW19</f>
        <v>5276060.2972611152</v>
      </c>
      <c r="BX18" s="18">
        <f t="shared" si="195"/>
        <v>5985420.4242311139</v>
      </c>
      <c r="BY18" s="18">
        <f t="shared" si="195"/>
        <v>7009138.129180003</v>
      </c>
      <c r="BZ18" s="18">
        <f t="shared" si="195"/>
        <v>7323721.9756800029</v>
      </c>
    </row>
    <row r="19" spans="1:78" s="16" customFormat="1" x14ac:dyDescent="0.25">
      <c r="B19" s="16" t="s">
        <v>280</v>
      </c>
      <c r="E19" s="16">
        <f>+'Rev &amp; COGS'!E32</f>
        <v>0</v>
      </c>
      <c r="F19" s="16">
        <f>+'Rev &amp; COGS'!F32</f>
        <v>0</v>
      </c>
      <c r="G19" s="16">
        <f>+'Rev &amp; COGS'!G32</f>
        <v>0</v>
      </c>
      <c r="H19" s="16">
        <f>+'Rev &amp; COGS'!H32</f>
        <v>0</v>
      </c>
      <c r="I19" s="16">
        <f>+'Rev &amp; COGS'!I32</f>
        <v>0</v>
      </c>
      <c r="J19" s="16">
        <f>+'Rev &amp; COGS'!J32</f>
        <v>0</v>
      </c>
      <c r="K19" s="16">
        <f>+'Rev &amp; COGS'!K32</f>
        <v>0</v>
      </c>
      <c r="L19" s="16">
        <f>+'Rev &amp; COGS'!L32</f>
        <v>0</v>
      </c>
      <c r="M19" s="16">
        <f>+'Rev &amp; COGS'!M32</f>
        <v>0</v>
      </c>
      <c r="N19" s="16">
        <f>+'Rev &amp; COGS'!N32</f>
        <v>0</v>
      </c>
      <c r="O19" s="16">
        <f>+'Rev &amp; COGS'!O32</f>
        <v>0</v>
      </c>
      <c r="P19" s="16">
        <f>+'Rev &amp; COGS'!P32</f>
        <v>0</v>
      </c>
      <c r="R19" s="16">
        <f>+'Rev &amp; COGS'!R32</f>
        <v>0</v>
      </c>
      <c r="S19" s="16">
        <f>+'Rev &amp; COGS'!S32</f>
        <v>0</v>
      </c>
      <c r="T19" s="16">
        <f>+'Rev &amp; COGS'!T32</f>
        <v>0</v>
      </c>
      <c r="U19" s="16">
        <f>+'Rev &amp; COGS'!U32</f>
        <v>0</v>
      </c>
      <c r="V19" s="16">
        <f>+'Rev &amp; COGS'!V32</f>
        <v>0</v>
      </c>
      <c r="W19" s="16">
        <f>+'Rev &amp; COGS'!W32</f>
        <v>0</v>
      </c>
      <c r="X19" s="16">
        <f>+'Rev &amp; COGS'!X32</f>
        <v>47100.000000000007</v>
      </c>
      <c r="Y19" s="16">
        <f>+'Rev &amp; COGS'!Y32</f>
        <v>47100.000000000007</v>
      </c>
      <c r="Z19" s="16">
        <f>+'Rev &amp; COGS'!Z32</f>
        <v>47100.000000000007</v>
      </c>
      <c r="AA19" s="16">
        <f>+'Rev &amp; COGS'!AA32</f>
        <v>51650.000000000007</v>
      </c>
      <c r="AB19" s="16">
        <f>+'Rev &amp; COGS'!AB32</f>
        <v>51650.000000000007</v>
      </c>
      <c r="AC19" s="16">
        <f>+'Rev &amp; COGS'!AC32</f>
        <v>51650.000000000007</v>
      </c>
      <c r="AE19" s="16">
        <f>+'Rev &amp; COGS'!AE32</f>
        <v>61765.000000000015</v>
      </c>
      <c r="AF19" s="16">
        <f>+'Rev &amp; COGS'!AF32</f>
        <v>61765.000000000015</v>
      </c>
      <c r="AG19" s="16">
        <f>+'Rev &amp; COGS'!AG32</f>
        <v>61765.000000000015</v>
      </c>
      <c r="AH19" s="16">
        <f>+'Rev &amp; COGS'!AH32</f>
        <v>66770.000000000029</v>
      </c>
      <c r="AI19" s="16">
        <f>+'Rev &amp; COGS'!AI32</f>
        <v>66770.000000000029</v>
      </c>
      <c r="AJ19" s="16">
        <f>+'Rev &amp; COGS'!AJ32</f>
        <v>66770.000000000029</v>
      </c>
      <c r="AK19" s="16">
        <f>+'Rev &amp; COGS'!AK32</f>
        <v>174185.00000000006</v>
      </c>
      <c r="AL19" s="16">
        <f>+'Rev &amp; COGS'!AL32</f>
        <v>174185.00000000006</v>
      </c>
      <c r="AM19" s="16">
        <f>+'Rev &amp; COGS'!AM32</f>
        <v>174185.00000000006</v>
      </c>
      <c r="AN19" s="16">
        <f>+'Rev &amp; COGS'!AN32</f>
        <v>189200.00000000006</v>
      </c>
      <c r="AO19" s="16">
        <f>+'Rev &amp; COGS'!AO32</f>
        <v>189200.00000000006</v>
      </c>
      <c r="AP19" s="16">
        <f>+'Rev &amp; COGS'!AP32</f>
        <v>189200.00000000006</v>
      </c>
      <c r="AR19" s="16">
        <f>SUM(E19:P19)</f>
        <v>0</v>
      </c>
      <c r="AS19" s="16">
        <f>SUM(E19:G19)</f>
        <v>0</v>
      </c>
      <c r="AT19" s="16">
        <f>SUM(H19:J19)</f>
        <v>0</v>
      </c>
      <c r="AU19" s="16">
        <f>SUM(K19:M19)</f>
        <v>0</v>
      </c>
      <c r="AV19" s="16">
        <f>SUM(N19:P19)</f>
        <v>0</v>
      </c>
      <c r="AX19" s="16">
        <f>SUM(R19:AC19)</f>
        <v>296250.00000000006</v>
      </c>
      <c r="AY19" s="16">
        <f>SUM(R19:T19)</f>
        <v>0</v>
      </c>
      <c r="AZ19" s="16">
        <f>SUM(U19:W19)</f>
        <v>0</v>
      </c>
      <c r="BA19" s="16">
        <f>SUM(X19:Z19)</f>
        <v>141300.00000000003</v>
      </c>
      <c r="BB19" s="16">
        <f>SUM(AA19:AC19)</f>
        <v>154950.00000000003</v>
      </c>
      <c r="BD19" s="16">
        <f>SUM(AE19:AP19)</f>
        <v>1475760.0000000002</v>
      </c>
      <c r="BE19" s="16">
        <f>SUM(AE19:AG19)</f>
        <v>185295.00000000006</v>
      </c>
      <c r="BF19" s="16">
        <f>SUM(AH19:AJ19)</f>
        <v>200310.00000000009</v>
      </c>
      <c r="BG19" s="16">
        <f>SUM(AK19:AM19)</f>
        <v>522555.00000000017</v>
      </c>
      <c r="BH19" s="16">
        <f>SUM(AN19:AP19)</f>
        <v>567600.00000000023</v>
      </c>
      <c r="BJ19" s="16">
        <f>SUM(BK19:BN19)</f>
        <v>4008733.4430000014</v>
      </c>
      <c r="BK19" s="16">
        <f>+'Rev &amp; COGS'!BK32</f>
        <v>673744.50000000023</v>
      </c>
      <c r="BL19" s="16">
        <f>+'Rev &amp; COGS'!BL32</f>
        <v>723294.00000000023</v>
      </c>
      <c r="BM19" s="16">
        <f>+'Rev &amp; COGS'!BM32</f>
        <v>1264495.6610000003</v>
      </c>
      <c r="BN19" s="16">
        <f>+'Rev &amp; COGS'!BN32</f>
        <v>1347199.2820000006</v>
      </c>
      <c r="BP19" s="16">
        <f>SUM(BQ19:BT19)</f>
        <v>8313408.0018000044</v>
      </c>
      <c r="BQ19" s="16">
        <f>+'Rev &amp; COGS'!BQ32</f>
        <v>1572728.1933000009</v>
      </c>
      <c r="BR19" s="16">
        <f>+'Rev &amp; COGS'!BR32</f>
        <v>1663702.1764000009</v>
      </c>
      <c r="BS19" s="16">
        <f>+'Rev &amp; COGS'!BS32</f>
        <v>2582212.0995000014</v>
      </c>
      <c r="BT19" s="16">
        <f>+'Rev &amp; COGS'!BT32</f>
        <v>2494765.5326000014</v>
      </c>
      <c r="BV19" s="16">
        <f>SUM(BW19:BZ19)</f>
        <v>14451399.619250007</v>
      </c>
      <c r="BW19" s="16">
        <f>+'Rev &amp; COGS'!BW32</f>
        <v>3004233.1612700019</v>
      </c>
      <c r="BX19" s="16">
        <f>+'Rev &amp; COGS'!BX32</f>
        <v>3145606.8036800018</v>
      </c>
      <c r="BY19" s="16">
        <f>+'Rev &amp; COGS'!BY32</f>
        <v>3993487.9039000021</v>
      </c>
      <c r="BZ19" s="16">
        <f>+'Rev &amp; COGS'!BZ32</f>
        <v>4308071.7504000021</v>
      </c>
    </row>
    <row r="20" spans="1:78" s="16" customFormat="1" x14ac:dyDescent="0.25">
      <c r="B20" s="16" t="s">
        <v>282</v>
      </c>
      <c r="E20" s="17">
        <f t="shared" ref="E20" si="196">+F19/30*E21</f>
        <v>0</v>
      </c>
      <c r="F20" s="17">
        <f t="shared" ref="F20" si="197">+G19/30*F21</f>
        <v>0</v>
      </c>
      <c r="G20" s="17">
        <f t="shared" ref="G20" si="198">+H19/30*G21</f>
        <v>0</v>
      </c>
      <c r="H20" s="17">
        <f>IF(I19=0,+I20/3*2)+I19/30*H21</f>
        <v>0</v>
      </c>
      <c r="I20" s="17">
        <f>IF(J19=0,+J20/3*2)+J19/30*I21</f>
        <v>0</v>
      </c>
      <c r="J20" s="17">
        <f>+K19/30*J21</f>
        <v>0</v>
      </c>
      <c r="K20" s="17">
        <f>+L19/30*K21</f>
        <v>0</v>
      </c>
      <c r="L20" s="17">
        <f t="shared" ref="L20" si="199">+M19/30*L21</f>
        <v>0</v>
      </c>
      <c r="M20" s="17">
        <f t="shared" ref="M20" si="200">+N19/30*M21</f>
        <v>0</v>
      </c>
      <c r="N20" s="17">
        <f t="shared" ref="N20" si="201">+O19/30*N21</f>
        <v>0</v>
      </c>
      <c r="O20" s="17">
        <f t="shared" ref="O20" si="202">+P19/30*O21</f>
        <v>0</v>
      </c>
      <c r="P20" s="17">
        <f>+R19/30*P21</f>
        <v>0</v>
      </c>
      <c r="R20" s="17">
        <f t="shared" ref="R20:T20" si="203">+S19/30*R21</f>
        <v>0</v>
      </c>
      <c r="S20" s="17">
        <f t="shared" si="203"/>
        <v>0</v>
      </c>
      <c r="T20" s="17">
        <f t="shared" si="203"/>
        <v>0</v>
      </c>
      <c r="U20" s="17">
        <f t="shared" ref="U20:V20" si="204">SUM(V19:X19)/90*U21</f>
        <v>15700.000000000002</v>
      </c>
      <c r="V20" s="17">
        <f t="shared" si="204"/>
        <v>41866.666666666672</v>
      </c>
      <c r="W20" s="17">
        <f>SUM(X19:Z19)/90*W21</f>
        <v>94200.000000000015</v>
      </c>
      <c r="X20" s="17">
        <f>SUM(Y19:AA19)/90*X21</f>
        <v>120525.04554794524</v>
      </c>
      <c r="Y20" s="17">
        <f t="shared" ref="Y20:Z20" si="205">SUM(Z19:AB19)/90*Y21</f>
        <v>128509.31563981048</v>
      </c>
      <c r="Z20" s="17">
        <f t="shared" si="205"/>
        <v>146859.47663043483</v>
      </c>
      <c r="AA20" s="17">
        <f>SUM(AB19:AE19)/90*AA21</f>
        <v>132493.00981137392</v>
      </c>
      <c r="AB20" s="17">
        <f t="shared" ref="AB20:AC20" si="206">SUM(AC19:AF19)/90*AB21</f>
        <v>150664.88172191536</v>
      </c>
      <c r="AC20" s="17">
        <f t="shared" si="206"/>
        <v>166718.23823014024</v>
      </c>
      <c r="AE20" s="17">
        <f>SUM(AF19:AH19)/90*AE21</f>
        <v>165545.664730135</v>
      </c>
      <c r="AF20" s="17">
        <f t="shared" ref="AF20:AL20" si="207">SUM(AG19:AI19)/90*AF21</f>
        <v>168316.14919617056</v>
      </c>
      <c r="AG20" s="17">
        <f t="shared" si="207"/>
        <v>173602.00000000006</v>
      </c>
      <c r="AH20" s="17">
        <f t="shared" si="207"/>
        <v>266695.00000000012</v>
      </c>
      <c r="AI20" s="17">
        <f t="shared" si="207"/>
        <v>359788.00000000012</v>
      </c>
      <c r="AJ20" s="17">
        <f t="shared" si="207"/>
        <v>452881.00000000017</v>
      </c>
      <c r="AK20" s="17">
        <f t="shared" si="207"/>
        <v>459921.00000000023</v>
      </c>
      <c r="AL20" s="17">
        <f t="shared" si="207"/>
        <v>472767.16666666686</v>
      </c>
      <c r="AM20" s="17">
        <f>SUM(AN19:$AP19)/90*AM21</f>
        <v>485613.33333333355</v>
      </c>
      <c r="AN20" s="17">
        <f>SUM(AO19:$AP19)/60*AN21</f>
        <v>473000.00000000017</v>
      </c>
      <c r="AO20" s="17">
        <f>SUM(AP19:$AP19)/30*AO21</f>
        <v>473000.00000000017</v>
      </c>
      <c r="AP20" s="17">
        <f>+BK19/90*AP21</f>
        <v>561453.75000000023</v>
      </c>
      <c r="AR20" s="17">
        <f>+AR18-AR19</f>
        <v>0</v>
      </c>
      <c r="AS20" s="17">
        <f t="shared" ref="AS20" si="208">+AS18-AS19</f>
        <v>0</v>
      </c>
      <c r="AT20" s="17">
        <f t="shared" ref="AT20" si="209">+AT18-AT19</f>
        <v>0</v>
      </c>
      <c r="AU20" s="17">
        <f t="shared" ref="AU20" si="210">+AU18-AU19</f>
        <v>0</v>
      </c>
      <c r="AV20" s="17">
        <f t="shared" ref="AV20" si="211">+AV18-AV19</f>
        <v>0</v>
      </c>
      <c r="AX20" s="17">
        <f>+AX18-AX19</f>
        <v>166718.23823014024</v>
      </c>
      <c r="AY20" s="17">
        <f t="shared" ref="AY20" si="212">+AY18-AY19</f>
        <v>0</v>
      </c>
      <c r="AZ20" s="17">
        <f t="shared" ref="AZ20" si="213">+AZ18-AZ19</f>
        <v>94200.000000000015</v>
      </c>
      <c r="BA20" s="17">
        <f t="shared" ref="BA20" si="214">+BA18-BA19</f>
        <v>146859.47663043483</v>
      </c>
      <c r="BB20" s="17">
        <f t="shared" ref="BB20" si="215">+BB18-BB19</f>
        <v>166718.23823014021</v>
      </c>
      <c r="BD20" s="17">
        <f>+BD18-BD19</f>
        <v>561453.75000000023</v>
      </c>
      <c r="BE20" s="17">
        <f t="shared" ref="BE20" si="216">+BE18-BE19</f>
        <v>173601.99999999994</v>
      </c>
      <c r="BF20" s="17">
        <f t="shared" ref="BF20" si="217">+BF18-BF19</f>
        <v>452881</v>
      </c>
      <c r="BG20" s="17">
        <f t="shared" ref="BG20" si="218">+BG18-BG19</f>
        <v>485613.33333333331</v>
      </c>
      <c r="BH20" s="17">
        <f t="shared" ref="BH20" si="219">+BH18-BH19</f>
        <v>561453.74999999977</v>
      </c>
      <c r="BJ20" s="17">
        <f>+BJ18-BJ19</f>
        <v>1223233.0392333348</v>
      </c>
      <c r="BK20" s="17">
        <f>+BL19/90*BK21</f>
        <v>562562.00000000012</v>
      </c>
      <c r="BL20" s="17">
        <f t="shared" ref="BL20:BM20" si="220">+BM19/90*BL21</f>
        <v>983496.62522222253</v>
      </c>
      <c r="BM20" s="17">
        <f t="shared" si="220"/>
        <v>1047821.6637777782</v>
      </c>
      <c r="BN20" s="17">
        <f>+BQ19/90*BN21</f>
        <v>1223233.0392333341</v>
      </c>
      <c r="BP20" s="17">
        <f>+BP18-BP19</f>
        <v>2203104.3182646688</v>
      </c>
      <c r="BQ20" s="17">
        <f>+BR19/90*BQ21</f>
        <v>1275505.0019066674</v>
      </c>
      <c r="BR20" s="17">
        <f t="shared" ref="BR20" si="221">+BS19/90*BR21</f>
        <v>1951004.6974000009</v>
      </c>
      <c r="BS20" s="17">
        <f t="shared" ref="BS20" si="222">+BT19/90*BS21</f>
        <v>1857214.3409355567</v>
      </c>
      <c r="BT20" s="17">
        <f>+BW19/90*BT21</f>
        <v>2203104.3182646679</v>
      </c>
      <c r="BV20" s="17">
        <f>+BV18-BV19</f>
        <v>3015650.2252800018</v>
      </c>
      <c r="BW20" s="17">
        <f>+BX19/90*BW21</f>
        <v>2271827.1359911128</v>
      </c>
      <c r="BX20" s="17">
        <f t="shared" ref="BX20" si="223">+BY19/90*BX21</f>
        <v>2839813.6205511126</v>
      </c>
      <c r="BY20" s="17">
        <f t="shared" ref="BY20" si="224">+BZ19/90*BY21</f>
        <v>3015650.2252800013</v>
      </c>
      <c r="BZ20" s="17">
        <f>+BY20</f>
        <v>3015650.2252800013</v>
      </c>
    </row>
    <row r="21" spans="1:78" s="16" customFormat="1" x14ac:dyDescent="0.25">
      <c r="B21" s="16" t="s">
        <v>281</v>
      </c>
      <c r="E21" s="45">
        <v>90</v>
      </c>
      <c r="F21" s="45">
        <f>+E21</f>
        <v>90</v>
      </c>
      <c r="G21" s="45">
        <f t="shared" ref="G21:P21" si="225">+F21</f>
        <v>90</v>
      </c>
      <c r="H21" s="45">
        <f t="shared" si="225"/>
        <v>90</v>
      </c>
      <c r="I21" s="45">
        <f t="shared" si="225"/>
        <v>90</v>
      </c>
      <c r="J21" s="45">
        <f t="shared" si="225"/>
        <v>90</v>
      </c>
      <c r="K21" s="45">
        <f t="shared" si="225"/>
        <v>90</v>
      </c>
      <c r="L21" s="45">
        <f t="shared" si="225"/>
        <v>90</v>
      </c>
      <c r="M21" s="45">
        <f t="shared" si="225"/>
        <v>90</v>
      </c>
      <c r="N21" s="45">
        <f t="shared" si="225"/>
        <v>90</v>
      </c>
      <c r="O21" s="45">
        <f t="shared" si="225"/>
        <v>90</v>
      </c>
      <c r="P21" s="45">
        <f t="shared" si="225"/>
        <v>90</v>
      </c>
      <c r="R21" s="45">
        <f>+P21</f>
        <v>90</v>
      </c>
      <c r="S21" s="45">
        <f>+R21</f>
        <v>90</v>
      </c>
      <c r="T21" s="45"/>
      <c r="U21" s="45">
        <v>30</v>
      </c>
      <c r="V21" s="45">
        <v>40</v>
      </c>
      <c r="W21" s="45">
        <v>60</v>
      </c>
      <c r="X21" s="45">
        <v>74.372671232876712</v>
      </c>
      <c r="Y21" s="45">
        <v>76.900521327014232</v>
      </c>
      <c r="Z21" s="45">
        <v>85.300760869565224</v>
      </c>
      <c r="AA21" s="45">
        <v>72.240456081081092</v>
      </c>
      <c r="AB21" s="45">
        <v>77.405179558011056</v>
      </c>
      <c r="AC21" s="45">
        <v>80.977044392523368</v>
      </c>
      <c r="AE21" s="45">
        <v>78.292747376311851</v>
      </c>
      <c r="AF21" s="45">
        <v>77.563059971098269</v>
      </c>
      <c r="AG21" s="45">
        <v>78</v>
      </c>
      <c r="AH21" s="45">
        <v>78</v>
      </c>
      <c r="AI21" s="45">
        <v>78</v>
      </c>
      <c r="AJ21" s="45">
        <v>78</v>
      </c>
      <c r="AK21" s="45">
        <v>77</v>
      </c>
      <c r="AL21" s="45">
        <v>77</v>
      </c>
      <c r="AM21" s="45">
        <v>77</v>
      </c>
      <c r="AN21" s="45">
        <v>75</v>
      </c>
      <c r="AO21" s="45">
        <v>75</v>
      </c>
      <c r="AP21" s="45">
        <v>75</v>
      </c>
      <c r="AR21" s="45">
        <f t="shared" ref="AR21" si="226">+AQ21</f>
        <v>0</v>
      </c>
      <c r="AS21" s="45">
        <f t="shared" ref="AS21" si="227">+AR21</f>
        <v>0</v>
      </c>
      <c r="AT21" s="45">
        <f t="shared" ref="AT21" si="228">+AS21</f>
        <v>0</v>
      </c>
      <c r="AU21" s="45">
        <f t="shared" ref="AU21" si="229">+AT21</f>
        <v>0</v>
      </c>
      <c r="AV21" s="45">
        <f t="shared" ref="AV21" si="230">+AU21</f>
        <v>0</v>
      </c>
      <c r="BJ21" s="24"/>
      <c r="BK21" s="45">
        <v>70</v>
      </c>
      <c r="BL21" s="45">
        <v>70</v>
      </c>
      <c r="BM21" s="45">
        <v>70</v>
      </c>
      <c r="BN21" s="45">
        <v>70</v>
      </c>
      <c r="BQ21" s="45">
        <v>69</v>
      </c>
      <c r="BR21" s="45">
        <v>68</v>
      </c>
      <c r="BS21" s="45">
        <v>67</v>
      </c>
      <c r="BT21" s="45">
        <v>66</v>
      </c>
      <c r="BW21" s="45">
        <v>65</v>
      </c>
      <c r="BX21" s="45">
        <v>64</v>
      </c>
      <c r="BY21" s="45">
        <v>63</v>
      </c>
      <c r="BZ21" s="45">
        <v>62</v>
      </c>
    </row>
    <row r="22" spans="1:78" s="16" customFormat="1" x14ac:dyDescent="0.25">
      <c r="BN22" s="24"/>
    </row>
    <row r="23" spans="1:78" s="16" customFormat="1" x14ac:dyDescent="0.25">
      <c r="A23" s="19" t="s">
        <v>642</v>
      </c>
      <c r="BN23" s="24"/>
    </row>
    <row r="24" spans="1:78" s="16" customFormat="1" x14ac:dyDescent="0.25">
      <c r="B24" s="16" t="s">
        <v>643</v>
      </c>
      <c r="AE24" s="16">
        <f t="shared" ref="AE24:AJ24" si="231">SUM(AE16:AJ16,BE16:BF16)</f>
        <v>1640985.2903865862</v>
      </c>
      <c r="AF24" s="16">
        <f t="shared" si="231"/>
        <v>2213310.8139263061</v>
      </c>
      <c r="AG24" s="16">
        <f t="shared" si="231"/>
        <v>2819697.4825295047</v>
      </c>
      <c r="AH24" s="16">
        <f t="shared" si="231"/>
        <v>2671267.5000000009</v>
      </c>
      <c r="AI24" s="16">
        <f t="shared" si="231"/>
        <v>3059119.2500000009</v>
      </c>
      <c r="AJ24" s="16">
        <f t="shared" si="231"/>
        <v>3826878.0000000009</v>
      </c>
      <c r="AK24" s="16">
        <f>SUM(AK16:AP16,BK16:BL16)</f>
        <v>3941198.2500000009</v>
      </c>
      <c r="AL24" s="16">
        <f>+AK24</f>
        <v>3941198.2500000009</v>
      </c>
      <c r="AM24" s="16">
        <f>+AL24</f>
        <v>3941198.2500000009</v>
      </c>
      <c r="AN24" s="16">
        <f t="shared" ref="AN24:AP24" si="232">+AM24</f>
        <v>3941198.2500000009</v>
      </c>
      <c r="AO24" s="16">
        <f t="shared" si="232"/>
        <v>3941198.2500000009</v>
      </c>
      <c r="AP24" s="16">
        <f t="shared" si="232"/>
        <v>3941198.2500000009</v>
      </c>
      <c r="BK24" s="16">
        <f>+AP24</f>
        <v>3941198.2500000009</v>
      </c>
      <c r="BL24" s="16">
        <f>+BK24</f>
        <v>3941198.2500000009</v>
      </c>
      <c r="BM24" s="16">
        <f>+BM16+BN16+BQ16+BR16</f>
        <v>4530056.3301400021</v>
      </c>
      <c r="BN24" s="16">
        <f>+BM24</f>
        <v>4530056.3301400021</v>
      </c>
      <c r="BQ24" s="16">
        <f>+BN24</f>
        <v>4530056.3301400021</v>
      </c>
      <c r="BR24" s="16">
        <f>+BQ24</f>
        <v>4530056.3301400021</v>
      </c>
      <c r="BS24" s="16">
        <f>+BS17+BT17+BW17+BX17</f>
        <v>12115626.520201117</v>
      </c>
      <c r="BT24" s="16">
        <f>+BS24</f>
        <v>12115626.520201117</v>
      </c>
      <c r="BW24" s="16">
        <f>+BT24</f>
        <v>12115626.520201117</v>
      </c>
      <c r="BX24" s="16">
        <f>+BW24</f>
        <v>12115626.520201117</v>
      </c>
      <c r="BY24" s="16">
        <f>(+BY17+BZ17)*2</f>
        <v>16954792.518057782</v>
      </c>
      <c r="BZ24" s="16">
        <f>+BY24</f>
        <v>16954792.518057782</v>
      </c>
    </row>
    <row r="25" spans="1:78" s="16" customFormat="1" x14ac:dyDescent="0.25">
      <c r="B25" s="16" t="s">
        <v>644</v>
      </c>
      <c r="AE25" s="261" t="s">
        <v>645</v>
      </c>
      <c r="AF25" s="261" t="s">
        <v>645</v>
      </c>
      <c r="AG25" s="261" t="s">
        <v>645</v>
      </c>
      <c r="AH25" s="264" t="s">
        <v>661</v>
      </c>
      <c r="AI25" s="261" t="s">
        <v>661</v>
      </c>
      <c r="AJ25" s="261" t="s">
        <v>661</v>
      </c>
      <c r="AK25" s="261" t="s">
        <v>661</v>
      </c>
      <c r="AL25" s="261" t="str">
        <f>+AK25</f>
        <v>YES</v>
      </c>
      <c r="AM25" s="261" t="str">
        <f t="shared" ref="AM25:AP25" si="233">+AL25</f>
        <v>YES</v>
      </c>
      <c r="AN25" s="261" t="str">
        <f t="shared" si="233"/>
        <v>YES</v>
      </c>
      <c r="AO25" s="261" t="str">
        <f t="shared" si="233"/>
        <v>YES</v>
      </c>
      <c r="AP25" s="261" t="str">
        <f t="shared" si="233"/>
        <v>YES</v>
      </c>
      <c r="BK25" s="261" t="str">
        <f>+AP25</f>
        <v>YES</v>
      </c>
      <c r="BL25" s="261" t="str">
        <f t="shared" ref="BL25:BN25" si="234">+BK25</f>
        <v>YES</v>
      </c>
      <c r="BM25" s="261" t="str">
        <f t="shared" si="234"/>
        <v>YES</v>
      </c>
      <c r="BN25" s="261" t="str">
        <f t="shared" si="234"/>
        <v>YES</v>
      </c>
      <c r="BQ25" s="261" t="str">
        <f>+BN25</f>
        <v>YES</v>
      </c>
      <c r="BR25" s="261" t="str">
        <f t="shared" ref="BR25:BT25" si="235">+BQ25</f>
        <v>YES</v>
      </c>
      <c r="BS25" s="261" t="str">
        <f t="shared" si="235"/>
        <v>YES</v>
      </c>
      <c r="BT25" s="261" t="str">
        <f t="shared" si="235"/>
        <v>YES</v>
      </c>
      <c r="BW25" s="261" t="str">
        <f>+BT25</f>
        <v>YES</v>
      </c>
      <c r="BX25" s="261" t="str">
        <f t="shared" ref="BX25:BZ25" si="236">+BW25</f>
        <v>YES</v>
      </c>
      <c r="BY25" s="261" t="str">
        <f t="shared" si="236"/>
        <v>YES</v>
      </c>
      <c r="BZ25" s="261" t="str">
        <f t="shared" si="236"/>
        <v>YES</v>
      </c>
    </row>
    <row r="26" spans="1:78" s="16" customFormat="1" x14ac:dyDescent="0.25">
      <c r="AL26" s="66">
        <v>6.8876132827194647</v>
      </c>
      <c r="AM26" s="66">
        <v>6.8876132827194736</v>
      </c>
      <c r="AN26" s="66">
        <v>6.5031702062172965</v>
      </c>
      <c r="AO26" s="66">
        <v>6.9676823638042471</v>
      </c>
      <c r="AP26" s="66">
        <v>7.424301494476933</v>
      </c>
      <c r="BK26" s="66">
        <v>13.332170582401421</v>
      </c>
      <c r="BL26" s="66">
        <v>16.275628968457529</v>
      </c>
      <c r="BM26" s="66">
        <v>17.799387845832914</v>
      </c>
      <c r="BN26" s="66">
        <v>30.593974214288156</v>
      </c>
      <c r="BQ26" s="66">
        <v>36.285730082190518</v>
      </c>
      <c r="BR26" s="66">
        <v>41.926576838457414</v>
      </c>
      <c r="BS26" s="66">
        <v>45.867910370142425</v>
      </c>
      <c r="BT26" s="66">
        <v>61.384194300240537</v>
      </c>
      <c r="BW26" s="66">
        <v>71.14062674555133</v>
      </c>
      <c r="BX26" s="66">
        <v>81.959426832187702</v>
      </c>
      <c r="BY26" s="66">
        <v>90.002458435530073</v>
      </c>
      <c r="BZ26" s="66">
        <v>92.885144331589288</v>
      </c>
    </row>
    <row r="27" spans="1:78" s="16" customFormat="1" x14ac:dyDescent="0.25">
      <c r="A27" s="19" t="s">
        <v>362</v>
      </c>
      <c r="Y27" s="16" t="s">
        <v>1091</v>
      </c>
    </row>
    <row r="28" spans="1:78" s="16" customFormat="1" x14ac:dyDescent="0.25">
      <c r="B28" s="16" t="s">
        <v>363</v>
      </c>
      <c r="R28" s="44">
        <v>3610</v>
      </c>
      <c r="S28" s="44">
        <f>+R28</f>
        <v>3610</v>
      </c>
      <c r="T28" s="44">
        <f t="shared" ref="T28:AC28" si="237">+S28</f>
        <v>3610</v>
      </c>
      <c r="U28" s="44">
        <f t="shared" si="237"/>
        <v>3610</v>
      </c>
      <c r="V28" s="44">
        <f t="shared" si="237"/>
        <v>3610</v>
      </c>
      <c r="W28" s="44">
        <f t="shared" si="237"/>
        <v>3610</v>
      </c>
      <c r="X28" s="44">
        <f t="shared" si="237"/>
        <v>3610</v>
      </c>
      <c r="Y28" s="44">
        <f t="shared" si="237"/>
        <v>3610</v>
      </c>
      <c r="Z28" s="44">
        <f t="shared" si="237"/>
        <v>3610</v>
      </c>
      <c r="AA28" s="44">
        <f t="shared" si="237"/>
        <v>3610</v>
      </c>
      <c r="AB28" s="44">
        <f t="shared" si="237"/>
        <v>3610</v>
      </c>
      <c r="AC28" s="44">
        <f t="shared" si="237"/>
        <v>3610</v>
      </c>
      <c r="AE28" s="44">
        <f t="shared" ref="AE28:AG28" si="238">IF(AE25="no",3610,6500*21)</f>
        <v>3610</v>
      </c>
      <c r="AF28" s="44">
        <f t="shared" si="238"/>
        <v>3610</v>
      </c>
      <c r="AG28" s="44">
        <f t="shared" si="238"/>
        <v>3610</v>
      </c>
      <c r="AH28" s="44">
        <f t="shared" ref="AH28:AJ28" si="239">IF(AH25="no",3610,6500*21)</f>
        <v>136500</v>
      </c>
      <c r="AI28" s="44">
        <f t="shared" si="239"/>
        <v>136500</v>
      </c>
      <c r="AJ28" s="44">
        <f t="shared" si="239"/>
        <v>136500</v>
      </c>
      <c r="AK28" s="44">
        <f>IF(AK25="no",3610,6500*21)</f>
        <v>136500</v>
      </c>
      <c r="AL28" s="44">
        <f t="shared" ref="AL28:AP28" si="240">IF(AL25="no",3610,6500*21)</f>
        <v>136500</v>
      </c>
      <c r="AM28" s="44">
        <f t="shared" si="240"/>
        <v>136500</v>
      </c>
      <c r="AN28" s="44">
        <f t="shared" si="240"/>
        <v>136500</v>
      </c>
      <c r="AO28" s="44">
        <f t="shared" si="240"/>
        <v>136500</v>
      </c>
      <c r="AP28" s="44">
        <f t="shared" si="240"/>
        <v>136500</v>
      </c>
      <c r="BK28" s="44">
        <f>IF(BK25="no",3610,6500*21)</f>
        <v>136500</v>
      </c>
      <c r="BL28" s="44">
        <f t="shared" ref="BL28:BN28" si="241">IF(BL25="no",3610,6500*21)</f>
        <v>136500</v>
      </c>
      <c r="BM28" s="44">
        <f t="shared" si="241"/>
        <v>136500</v>
      </c>
      <c r="BN28" s="44">
        <f t="shared" si="241"/>
        <v>136500</v>
      </c>
      <c r="BQ28" s="44">
        <f>IF(BQ25="no",3610,6500*21)</f>
        <v>136500</v>
      </c>
      <c r="BR28" s="44">
        <f t="shared" ref="BR28:BT28" si="242">IF(BR25="no",3610,6500*21)</f>
        <v>136500</v>
      </c>
      <c r="BS28" s="44">
        <f t="shared" si="242"/>
        <v>136500</v>
      </c>
      <c r="BT28" s="44">
        <f t="shared" si="242"/>
        <v>136500</v>
      </c>
      <c r="BW28" s="44">
        <f>IF(BW25="no",3610,6500*21)</f>
        <v>136500</v>
      </c>
      <c r="BX28" s="44">
        <f t="shared" ref="BX28:BZ28" si="243">IF(BX25="no",3610,6500*21)</f>
        <v>136500</v>
      </c>
      <c r="BY28" s="44">
        <f t="shared" si="243"/>
        <v>136500</v>
      </c>
      <c r="BZ28" s="44">
        <f t="shared" si="243"/>
        <v>136500</v>
      </c>
    </row>
    <row r="29" spans="1:78" s="16" customFormat="1" x14ac:dyDescent="0.25">
      <c r="B29" s="16" t="s">
        <v>364</v>
      </c>
      <c r="U29" s="46">
        <v>0.68</v>
      </c>
      <c r="V29" s="46">
        <v>0.68</v>
      </c>
      <c r="W29" s="46">
        <v>0.68</v>
      </c>
      <c r="X29" s="46">
        <v>0.8</v>
      </c>
      <c r="Y29" s="46">
        <v>0.8</v>
      </c>
      <c r="Z29" s="46">
        <v>1</v>
      </c>
      <c r="AA29" s="46">
        <v>0.8</v>
      </c>
      <c r="AB29" s="46">
        <v>1</v>
      </c>
      <c r="AC29" s="46">
        <v>1</v>
      </c>
      <c r="AD29" s="65"/>
      <c r="AE29" s="46">
        <v>0.8</v>
      </c>
      <c r="AF29" s="46">
        <v>0.85</v>
      </c>
      <c r="AG29" s="46">
        <v>0.9</v>
      </c>
      <c r="AH29" s="46">
        <v>0.9</v>
      </c>
      <c r="AI29" s="46">
        <v>0.9</v>
      </c>
      <c r="AJ29" s="46">
        <v>0.9</v>
      </c>
      <c r="AK29" s="46">
        <v>0.9</v>
      </c>
      <c r="AL29" s="46">
        <v>0.9</v>
      </c>
      <c r="AM29" s="46">
        <v>0.9</v>
      </c>
      <c r="AN29" s="46">
        <v>0.9</v>
      </c>
      <c r="AO29" s="46">
        <v>0.9</v>
      </c>
      <c r="AP29" s="46">
        <v>0.9</v>
      </c>
      <c r="BK29" s="46">
        <v>0.9</v>
      </c>
      <c r="BL29" s="46">
        <v>0.9</v>
      </c>
      <c r="BM29" s="46">
        <v>0.9</v>
      </c>
      <c r="BN29" s="46">
        <v>0.9</v>
      </c>
      <c r="BQ29" s="46">
        <v>0.9</v>
      </c>
      <c r="BR29" s="46">
        <v>0.9</v>
      </c>
      <c r="BS29" s="46">
        <v>0.9</v>
      </c>
      <c r="BT29" s="46">
        <v>0.9</v>
      </c>
      <c r="BW29" s="46">
        <v>0.9</v>
      </c>
      <c r="BX29" s="46">
        <v>0.9</v>
      </c>
      <c r="BY29" s="46">
        <v>0.9</v>
      </c>
      <c r="BZ29" s="46">
        <v>0.9</v>
      </c>
    </row>
    <row r="30" spans="1:78" s="16" customFormat="1" x14ac:dyDescent="0.25">
      <c r="B30" s="16" t="s">
        <v>365</v>
      </c>
      <c r="U30" s="16">
        <f t="shared" ref="U30:X30" si="244">CEILING(+U17/U28/U29, 1)</f>
        <v>7</v>
      </c>
      <c r="V30" s="16">
        <f t="shared" si="244"/>
        <v>11</v>
      </c>
      <c r="W30" s="16">
        <f t="shared" si="244"/>
        <v>22</v>
      </c>
      <c r="X30" s="16">
        <f t="shared" si="244"/>
        <v>26</v>
      </c>
      <c r="Y30" s="16">
        <v>26</v>
      </c>
      <c r="Z30" s="16">
        <f>Y30</f>
        <v>26</v>
      </c>
      <c r="AA30" s="16">
        <f t="shared" ref="AA30:AC30" si="245">Z30</f>
        <v>26</v>
      </c>
      <c r="AB30" s="16">
        <f t="shared" si="245"/>
        <v>26</v>
      </c>
      <c r="AC30" s="16">
        <f t="shared" si="245"/>
        <v>26</v>
      </c>
      <c r="AE30" s="16">
        <f>CEILING(IF(AE25="no",0*AE17/AE28/AE29+AC30,IF(AE17&lt;AE28*2*AE29,4,+AE17/AE28/AE29+2)),1)</f>
        <v>26</v>
      </c>
      <c r="AF30" s="16">
        <f>CEILING(IF(AF25="no",0*AF17/AF28/AF29+AE30,IF(AF17&lt;AF28*2*AF29,4,+AF17/AF28/AF29+2)),1)</f>
        <v>26</v>
      </c>
      <c r="AG30" s="16">
        <f>CEILING(IF(AG25="no",0*AG17/AG28/AG29+AF30,IF(AG17&lt;AG28*2*AG29,4,+AG17/AG28/AG29+2)),1)</f>
        <v>26</v>
      </c>
      <c r="AH30" s="16">
        <f>CEILING(IF(AH25="no",0*AH17/AH28/AH29+AG30,IF(AH17&lt;AH28*2*AH29,4,+AH17/AH28/AH29+2)),1)</f>
        <v>4</v>
      </c>
      <c r="AI30" s="16">
        <f t="shared" ref="AI30:AP30" si="246">CEILING(IF(AI25="no",0*AI17/AI28/AI29+AH30,IF(AI17&lt;AI28*2*AI29,4,+AI17/AI28/AI29+2)),1)</f>
        <v>4</v>
      </c>
      <c r="AJ30" s="16">
        <f t="shared" si="246"/>
        <v>4</v>
      </c>
      <c r="AK30" s="16">
        <f t="shared" si="246"/>
        <v>4</v>
      </c>
      <c r="AL30" s="16">
        <f t="shared" si="246"/>
        <v>4</v>
      </c>
      <c r="AM30" s="16">
        <f t="shared" si="246"/>
        <v>4</v>
      </c>
      <c r="AN30" s="16">
        <f t="shared" si="246"/>
        <v>4</v>
      </c>
      <c r="AO30" s="16">
        <f t="shared" si="246"/>
        <v>4</v>
      </c>
      <c r="AP30" s="16">
        <f t="shared" si="246"/>
        <v>5</v>
      </c>
      <c r="BK30" s="16">
        <f t="shared" ref="BK30" si="247">CEILING(IF(BK25="no",+BK17/BK28/BK29,IF(BK17&lt;BK28*2*BK29,4,+BK17/BK28/BK29+2)),1)</f>
        <v>8</v>
      </c>
      <c r="BL30" s="16">
        <f t="shared" ref="BL30" si="248">CEILING(IF(BL25="no",+BL17/BL28/BL29,IF(BL17&lt;BL28*2*BL29,4,+BL17/BL28/BL29+2)),1)</f>
        <v>12</v>
      </c>
      <c r="BM30" s="16">
        <f t="shared" ref="BM30" si="249">CEILING(IF(BM25="no",+BM17/BM28/BM29,IF(BM17&lt;BM28*2*BM29,4,+BM17/BM28/BM29+2)),1)</f>
        <v>13</v>
      </c>
      <c r="BN30" s="16">
        <f t="shared" ref="BN30" si="250">CEILING(IF(BN25="no",+BN17/BN28/BN29,IF(BN17&lt;BN28*2*BN29,4,+BN17/BN28/BN29+2)),1)</f>
        <v>15</v>
      </c>
      <c r="BQ30" s="16">
        <f t="shared" ref="BQ30" si="251">CEILING(IF(BQ25="no",+BQ17/BQ28/BQ29,IF(BQ17&lt;BQ28*2*BQ29,4,+BQ17/BQ28/BQ29+2)),1)</f>
        <v>16</v>
      </c>
      <c r="BR30" s="16">
        <f t="shared" ref="BR30" si="252">CEILING(IF(BR25="no",+BR17/BR28/BR29,IF(BR17&lt;BR28*2*BR29,4,+BR17/BR28/BR29+2)),1)</f>
        <v>22</v>
      </c>
      <c r="BS30" s="16">
        <f t="shared" ref="BS30" si="253">CEILING(IF(BS25="no",+BS17/BS28/BS29,IF(BS17&lt;BS28*2*BS29,4,+BS17/BS28/BS29+2)),1)</f>
        <v>23</v>
      </c>
      <c r="BT30" s="16">
        <f t="shared" ref="BT30" si="254">CEILING(IF(BT25="no",+BT17/BT28/BT29,IF(BT17&lt;BT28*2*BT29,4,+BT17/BT28/BT29+2)),1)</f>
        <v>26</v>
      </c>
      <c r="BW30" s="16">
        <f t="shared" ref="BW30" si="255">CEILING(IF(BW25="no",+BW17/BW28/BW29,IF(BW17&lt;BW28*2*BW29,4,+BW17/BW28/BW29+2)),1)</f>
        <v>28</v>
      </c>
      <c r="BX30" s="16">
        <f t="shared" ref="BX30" si="256">CEILING(IF(BX25="no",+BX17/BX28/BX29,IF(BX17&lt;BX28*2*BX29,4,+BX17/BX28/BX29+2)),1)</f>
        <v>33</v>
      </c>
      <c r="BY30" s="16">
        <f t="shared" ref="BY30" si="257">CEILING(IF(BY25="no",+BY17/BY28/BY29,IF(BY17&lt;BY28*2*BY29,4,+BY17/BY28/BY29+2)),1)</f>
        <v>36</v>
      </c>
      <c r="BZ30" s="16">
        <f t="shared" ref="BZ30" si="258">CEILING(IF(BZ25="no",+BZ17/BZ28/BZ29,IF(BZ17&lt;BZ28*2*BZ29,4,+BZ17/BZ28/BZ29+2)),1)</f>
        <v>38</v>
      </c>
    </row>
    <row r="31" spans="1:78" s="16" customFormat="1" x14ac:dyDescent="0.25">
      <c r="B31" s="16" t="s">
        <v>592</v>
      </c>
      <c r="U31" s="16">
        <f>+Factory!U132</f>
        <v>7</v>
      </c>
      <c r="V31" s="16">
        <f>+Factory!V132</f>
        <v>11</v>
      </c>
      <c r="W31" s="16">
        <f>+Factory!W132</f>
        <v>22</v>
      </c>
      <c r="X31" s="16">
        <f>+Factory!X132</f>
        <v>26</v>
      </c>
      <c r="Y31" s="16">
        <f>+Factory!Y132</f>
        <v>26</v>
      </c>
      <c r="Z31" s="16">
        <f>+Factory!Z132</f>
        <v>26</v>
      </c>
      <c r="AA31" s="16">
        <f>+Factory!AA132</f>
        <v>26</v>
      </c>
      <c r="AB31" s="16">
        <f>+Factory!AB132</f>
        <v>26</v>
      </c>
      <c r="AC31" s="16">
        <f>+Factory!AC132</f>
        <v>26</v>
      </c>
      <c r="AE31" s="16">
        <f>+Factory!AE132</f>
        <v>26</v>
      </c>
      <c r="AF31" s="16">
        <f>+Factory!AF132</f>
        <v>26</v>
      </c>
      <c r="AG31" s="16">
        <f>+Factory!AG132</f>
        <v>26</v>
      </c>
      <c r="AH31" s="16">
        <f>+Factory!AH132</f>
        <v>4</v>
      </c>
      <c r="AI31" s="16">
        <f>+Factory!AI132</f>
        <v>4</v>
      </c>
      <c r="AJ31" s="16">
        <f>+Factory!AJ132</f>
        <v>4</v>
      </c>
      <c r="AK31" s="16">
        <f>+Factory!AK132</f>
        <v>4</v>
      </c>
      <c r="AL31" s="16">
        <f>+Factory!AL132</f>
        <v>4</v>
      </c>
      <c r="AM31" s="16">
        <f>+Factory!AM132</f>
        <v>4</v>
      </c>
      <c r="AN31" s="16">
        <f>+Factory!AN132</f>
        <v>4</v>
      </c>
      <c r="AO31" s="16">
        <f>+Factory!AO132</f>
        <v>4</v>
      </c>
      <c r="AP31" s="16">
        <f>+Factory!AP132</f>
        <v>5</v>
      </c>
      <c r="BK31" s="16">
        <f>+Factory!BK132</f>
        <v>8</v>
      </c>
      <c r="BL31" s="16">
        <f>+Factory!BL132</f>
        <v>12</v>
      </c>
      <c r="BM31" s="16">
        <f>+Factory!BM132</f>
        <v>13</v>
      </c>
      <c r="BN31" s="16">
        <f>+Factory!BN132</f>
        <v>15</v>
      </c>
      <c r="BQ31" s="16">
        <f>+Factory!BQ132</f>
        <v>16</v>
      </c>
      <c r="BR31" s="16">
        <f>+Factory!BR132</f>
        <v>22</v>
      </c>
      <c r="BS31" s="16">
        <f>+Factory!BS132</f>
        <v>23</v>
      </c>
      <c r="BT31" s="16">
        <f>+Factory!BT132</f>
        <v>26</v>
      </c>
      <c r="BW31" s="16">
        <f>+Factory!BW132</f>
        <v>28</v>
      </c>
      <c r="BX31" s="16">
        <f>+Factory!BX132</f>
        <v>33</v>
      </c>
      <c r="BY31" s="16">
        <f>+Factory!BY132</f>
        <v>36</v>
      </c>
      <c r="BZ31" s="16">
        <f>+Factory!BZ132</f>
        <v>38</v>
      </c>
    </row>
    <row r="32" spans="1:78" s="16" customFormat="1" x14ac:dyDescent="0.25">
      <c r="U32" s="66"/>
      <c r="V32" s="66"/>
      <c r="W32" s="66"/>
      <c r="X32" s="66"/>
      <c r="Y32" s="66"/>
      <c r="Z32" s="66"/>
      <c r="AA32" s="66"/>
      <c r="AB32" s="66"/>
      <c r="AC32" s="66"/>
      <c r="AE32" s="66"/>
      <c r="AF32" s="66"/>
      <c r="AG32" s="66"/>
      <c r="AH32" s="66"/>
      <c r="AI32" s="66"/>
      <c r="AJ32" s="66"/>
      <c r="AK32" s="66"/>
      <c r="AL32" s="66"/>
      <c r="AM32" s="66"/>
      <c r="AN32" s="66"/>
      <c r="AO32" s="66"/>
      <c r="AP32" s="66"/>
    </row>
    <row r="33" spans="1:78" s="16" customFormat="1" x14ac:dyDescent="0.25">
      <c r="A33" s="19" t="s">
        <v>660</v>
      </c>
      <c r="U33" s="66"/>
      <c r="V33" s="66"/>
      <c r="W33" s="66"/>
      <c r="X33" s="66"/>
      <c r="Y33" s="66"/>
      <c r="Z33" s="66"/>
      <c r="AA33" s="66"/>
      <c r="AB33" s="66"/>
      <c r="AC33" s="66"/>
      <c r="AE33" s="66"/>
      <c r="AF33" s="66"/>
      <c r="AG33" s="66"/>
      <c r="AH33" s="66"/>
      <c r="AI33" s="66"/>
      <c r="AJ33" s="66"/>
      <c r="AK33" s="66"/>
      <c r="AL33" s="66"/>
      <c r="AM33" s="66"/>
      <c r="AN33" s="66"/>
      <c r="AO33" s="66"/>
      <c r="AP33" s="66"/>
    </row>
    <row r="34" spans="1:78" s="16" customFormat="1" x14ac:dyDescent="0.25">
      <c r="B34" s="16" t="s">
        <v>367</v>
      </c>
      <c r="U34" s="16">
        <f>IF(U$20&lt;U$17,U$20,U$17)</f>
        <v>15700.000000000002</v>
      </c>
      <c r="V34" s="16">
        <f t="shared" ref="V34:AP34" si="259">IF(V20&lt;V17,V20,V17)</f>
        <v>26166.666666666672</v>
      </c>
      <c r="W34" s="16">
        <f t="shared" si="259"/>
        <v>52333.333333333343</v>
      </c>
      <c r="X34" s="16">
        <f t="shared" si="259"/>
        <v>73425.045547945236</v>
      </c>
      <c r="Y34" s="16">
        <f t="shared" si="259"/>
        <v>55084.270091865255</v>
      </c>
      <c r="Z34" s="16">
        <f t="shared" si="259"/>
        <v>65450.160990624354</v>
      </c>
      <c r="AA34" s="16">
        <f t="shared" si="259"/>
        <v>37283.533180939092</v>
      </c>
      <c r="AB34" s="16">
        <f t="shared" si="259"/>
        <v>69821.871910541435</v>
      </c>
      <c r="AC34" s="16">
        <f t="shared" si="259"/>
        <v>67703.356508224882</v>
      </c>
      <c r="AE34" s="16">
        <f t="shared" si="259"/>
        <v>60592.426499994763</v>
      </c>
      <c r="AF34" s="16">
        <f t="shared" si="259"/>
        <v>64535.484466035559</v>
      </c>
      <c r="AG34" s="16">
        <f t="shared" si="259"/>
        <v>67050.850803829497</v>
      </c>
      <c r="AH34" s="16">
        <f t="shared" si="259"/>
        <v>159863.00000000006</v>
      </c>
      <c r="AI34" s="16">
        <f t="shared" si="259"/>
        <v>159863</v>
      </c>
      <c r="AJ34" s="16">
        <f t="shared" si="259"/>
        <v>159863.00000000012</v>
      </c>
      <c r="AK34" s="16">
        <f t="shared" si="259"/>
        <v>181225.00000000006</v>
      </c>
      <c r="AL34" s="16">
        <f t="shared" si="259"/>
        <v>187031.16666666674</v>
      </c>
      <c r="AM34" s="16">
        <f t="shared" si="259"/>
        <v>187031.16666666674</v>
      </c>
      <c r="AN34" s="16">
        <f t="shared" si="259"/>
        <v>176586.66666666669</v>
      </c>
      <c r="AO34" s="16">
        <f t="shared" si="259"/>
        <v>189200.00000000006</v>
      </c>
      <c r="AP34" s="16">
        <f t="shared" si="259"/>
        <v>277653.75000000006</v>
      </c>
    </row>
    <row r="35" spans="1:78" s="16" customFormat="1" x14ac:dyDescent="0.25">
      <c r="B35" s="16" t="s">
        <v>368</v>
      </c>
      <c r="U35" s="16">
        <f>IF(U34=U20,0,IF(U$20&lt;U$17,U$20,U$17))</f>
        <v>0</v>
      </c>
      <c r="V35" s="16">
        <f>IF(V34=V20,0,IF(V$20-SUM(V$34:V34)&lt;U$17,V$20-SUM(V$34:V34),U$17))</f>
        <v>15700.000000000002</v>
      </c>
      <c r="W35" s="16">
        <f>IF(W34=W20,0,IF(W$20-SUM(W$34:W34)&lt;V$17,W$20-SUM(W$34:W34),V$17))</f>
        <v>26166.666666666672</v>
      </c>
      <c r="X35" s="16">
        <f>IF(X34=X20,0,IF(X$20-SUM(X$34:X34)&lt;W$17,X$20-SUM(X$34:X34),W$17))</f>
        <v>47100</v>
      </c>
      <c r="Y35" s="16">
        <f>IF(Y34=Y20,0,IF(Y$20-SUM(Y$34:Y34)&lt;X$17,Y$20-SUM(Y$34:Y34),X$17))</f>
        <v>73425.045547945236</v>
      </c>
      <c r="Z35" s="16">
        <f>IF(Z34=Z20,0,IF(Z$20-SUM(Z$34:Z34)&lt;Y$17,Z$20-SUM(Z$34:Z34),Y$17))</f>
        <v>55084.270091865255</v>
      </c>
      <c r="AA35" s="16">
        <f>IF(AA34=AA20,0,IF(AA$20-SUM(AA$34:AA34)&lt;Z$17,AA$20-SUM(AA$34:AA34),Z$17))</f>
        <v>65450.160990624354</v>
      </c>
      <c r="AB35" s="16">
        <f>IF(AB34=AB20,0,IF(AB$20-SUM(AB$34:AB34)&lt;AA$17,AB$20-SUM(AB$34:AB34),AA$17))</f>
        <v>37283.533180939092</v>
      </c>
      <c r="AC35" s="16">
        <f>IF(AC34=AC20,0,IF(AC$20-SUM(AC$34:AC34)&lt;AB$17,AC$20-SUM(AC$34:AC34),AB$17))</f>
        <v>69821.871910541435</v>
      </c>
      <c r="AE35" s="16">
        <f>IF(AE34=AE20,0,IF(AE$20-SUM(AE$34:AE34)&lt;AC$17,AE$20-SUM(AE$34:AE34),AC$17))</f>
        <v>67703.356508224882</v>
      </c>
      <c r="AF35" s="16">
        <f>IF(AF34=AF20,0,IF(AF$20-SUM(AF$34:AF34)&lt;AE$17,AF$20-SUM(AF$34:AF34),AE$17))</f>
        <v>60592.426499994763</v>
      </c>
      <c r="AG35" s="16">
        <f>IF(AG34=AG20,0,IF(AG$20-SUM(AG$34:AG34)&lt;AF$17,AG$20-SUM(AG$34:AG34),AF$17))</f>
        <v>64535.484466035559</v>
      </c>
      <c r="AH35" s="16">
        <f>IF(AH34=AH20,0,IF(AH$20-SUM(AH$34:AH34)&lt;AG$17,AH$20-SUM(AH$34:AH34),AG$17))</f>
        <v>67050.850803829497</v>
      </c>
      <c r="AI35" s="16">
        <f>IF(AI34=AI20,0,IF(AI$20-SUM(AI$34:AI34)&lt;AH$17,AI$20-SUM(AI$34:AI34),AH$17))</f>
        <v>159863.00000000006</v>
      </c>
      <c r="AJ35" s="16">
        <f>IF(AJ34=AJ20,0,IF(AJ$20-SUM(AJ$34:AJ34)&lt;AI$17,AJ$20-SUM(AJ$34:AJ34),AI$17))</f>
        <v>159863</v>
      </c>
      <c r="AK35" s="16">
        <f>IF(AK34=AK20,0,IF(AK$20-SUM(AK$34:AK34)&lt;AJ$17,AK$20-SUM(AK$34:AK34),AJ$17))</f>
        <v>159863.00000000012</v>
      </c>
      <c r="AL35" s="16">
        <f>IF(AL34=AL20,0,IF(AL$20-SUM(AL$34:AL34)&lt;AK$17,AL$20-SUM(AL$34:AL34),AK$17))</f>
        <v>181225.00000000006</v>
      </c>
      <c r="AM35" s="16">
        <f>IF(AM34=AM20,0,IF(AM$20-SUM(AM$34:AM34)&lt;AL$17,AM$20-SUM(AM$34:AM34),AL$17))</f>
        <v>187031.16666666674</v>
      </c>
      <c r="AN35" s="16">
        <f>IF(AN34=AN20,0,IF(AN$20-SUM(AN$34:AN34)&lt;AM$17,AN$20-SUM(AN$34:AN34),AM$17))</f>
        <v>187031.16666666674</v>
      </c>
      <c r="AO35" s="16">
        <f>IF(AO34=AO20,0,IF(AO$20-SUM(AO$34:AO34)&lt;AN$17,AO$20-SUM(AO$34:AO34),AN$17))</f>
        <v>176586.66666666669</v>
      </c>
      <c r="AP35" s="16">
        <f>IF(AP34=AP20,0,IF(AP$20-SUM(AP$34:AP34)&lt;AO$17,AP$20-SUM(AP$34:AP34),AO$17))</f>
        <v>189200.00000000006</v>
      </c>
    </row>
    <row r="36" spans="1:78" s="16" customFormat="1" x14ac:dyDescent="0.25">
      <c r="B36" s="67" t="s">
        <v>369</v>
      </c>
      <c r="U36" s="66"/>
      <c r="V36" s="16">
        <f>IF(V35=V21,0,IF(V$20-SUM(V$34:V35)&lt;T$17,V$20-SUM(V$34:V35),T$17))</f>
        <v>0</v>
      </c>
      <c r="W36" s="16">
        <f>IF(W35=W21,0,IF(W$20-SUM(W$34:W35)&lt;U$17,W$20-SUM(W$34:W35),U$17))</f>
        <v>15700.000000000002</v>
      </c>
      <c r="X36" s="16">
        <f>IF(X35=X21,0,IF(X$20-SUM(X$34:X35)&lt;V$17,X$20-SUM(X$34:X35),V$17))</f>
        <v>0</v>
      </c>
      <c r="Y36" s="16">
        <f>IF(Y35=Y21,0,IF(Y$20-SUM(Y$34:Y35)&lt;W$17,Y$20-SUM(Y$34:Y35),W$17))</f>
        <v>-1.4551915228366852E-11</v>
      </c>
      <c r="Z36" s="16">
        <f>IF(Z35=Z21,0,IF(Z$20-SUM(Z$34:Z35)&lt;X$17,Z$20-SUM(Z$34:Z35),X$17))</f>
        <v>26325.045547945221</v>
      </c>
      <c r="AA36" s="16">
        <f>IF(AA35=AA21,0,IF(AA$20-SUM(AA$34:AA35)&lt;Y$17,AA$20-SUM(AA$34:AA35),Y$17))</f>
        <v>29759.315639810477</v>
      </c>
      <c r="AB36" s="16">
        <f>IF(AB35=AB21,0,IF(AB$20-SUM(AB$34:AB35)&lt;Z$17,AB$20-SUM(AB$34:AB35),Z$17))</f>
        <v>43559.47663043483</v>
      </c>
      <c r="AC36" s="16">
        <f>IF(AC35=AC21,0,IF(AC$20-SUM(AC$34:AC35)&lt;AA$17,AC$20-SUM(AC$34:AC35),AA$17))</f>
        <v>29193.009811373922</v>
      </c>
      <c r="AE36" s="16">
        <f>IF(AE35=AE21,0,IF(AE$20-SUM(AE$34:AE35)&lt;AC$17,AE$20-SUM(AE$34:AE35),AC$17))</f>
        <v>37249.881721915357</v>
      </c>
      <c r="AF36" s="16">
        <f>IF(AF35=AF21,0,IF(AF$20-SUM(AF$34:AF35)&lt;AC$17,AF$20-SUM(AF$34:AF35),AC$17))</f>
        <v>43188.238230140239</v>
      </c>
      <c r="AG36" s="16">
        <f>IF(AG35=AG21,0,IF(AG$20-SUM(AG$34:AG35)&lt;AE$17,AG$20-SUM(AG$34:AG35),AE$17))</f>
        <v>42015.664730135002</v>
      </c>
      <c r="AH36" s="16">
        <f>IF(AH35=AH21,0,IF(AH$20-SUM(AH$34:AH35)&lt;AF$17,AH$20-SUM(AH$34:AH35),AF$17))</f>
        <v>39781.149196170561</v>
      </c>
      <c r="AI36" s="16">
        <f>IF(AI35=AI21,0,IF(AI$20-SUM(AI$34:AI35)&lt;AG$17,AI$20-SUM(AI$34:AI35),AG$17))</f>
        <v>40062.000000000058</v>
      </c>
      <c r="AJ36" s="16">
        <f>IF(AJ35=AJ21,0,IF(AJ$20-SUM(AJ$34:AJ35)&lt;AH$17,AJ$20-SUM(AJ$34:AJ35),AH$17))</f>
        <v>133155.00000000006</v>
      </c>
      <c r="AK36" s="16">
        <f>IF(AK35=AK21,0,IF(AK$20-SUM(AK$34:AK35)&lt;AI$17,AK$20-SUM(AK$34:AK35),AI$17))</f>
        <v>118833.00000000006</v>
      </c>
      <c r="AL36" s="16">
        <f>IF(AL35=AL21,0,IF(AL$20-SUM(AL$34:AL35)&lt;AJ$17,AL$20-SUM(AL$34:AL35),AJ$17))</f>
        <v>104511.00000000006</v>
      </c>
      <c r="AM36" s="16">
        <f>IF(AM35=AM21,0,IF(AM$20-SUM(AM$34:AM35)&lt;AK$17,AM$20-SUM(AM$34:AM35),AK$17))</f>
        <v>111551.00000000006</v>
      </c>
      <c r="AN36" s="16">
        <f>IF(AN35=AN21,0,IF(AN$20-SUM(AN$34:AN35)&lt;AL$17,AN$20-SUM(AN$34:AN35),AL$17))</f>
        <v>109382.16666666674</v>
      </c>
      <c r="AO36" s="16">
        <f>IF(AO35=AO21,0,IF(AO$20-SUM(AO$34:AO35)&lt;AM$17,AO$20-SUM(AO$34:AO35),AM$17))</f>
        <v>107213.33333333343</v>
      </c>
      <c r="AP36" s="16">
        <f>IF(AP35=AP21,0,IF(AP$20-SUM(AP$34:AP35)&lt;AN$17,AP$20-SUM(AP$34:AP35),AN$17))</f>
        <v>94600.000000000116</v>
      </c>
    </row>
    <row r="37" spans="1:78" s="16" customFormat="1" x14ac:dyDescent="0.25">
      <c r="B37" s="67" t="s">
        <v>370</v>
      </c>
      <c r="U37" s="66"/>
      <c r="V37" s="16">
        <f>IF(V36=V22,0,IF(V$20-SUM(V$34:V36)&lt;S$17,V$20-SUM(V$34:V36),S$17))</f>
        <v>0</v>
      </c>
      <c r="W37" s="16">
        <f>IF(W36=W22,0,IF(W$20-SUM(W$34:W36)&lt;T$17,W$20-SUM(W$34:W36),T$17))</f>
        <v>0</v>
      </c>
      <c r="X37" s="16">
        <f>IF(X36=X22,0,IF(X$20-SUM(X$34:X36)&lt;U$17,X$20-SUM(X$34:X36),U$17))</f>
        <v>0</v>
      </c>
      <c r="Y37" s="16">
        <f>IF(Y36=Y22,0,IF(Y$20-SUM(Y$34:Y36)&lt;V$17,Y$20-SUM(Y$34:Y36),V$17))</f>
        <v>0</v>
      </c>
      <c r="Z37" s="16">
        <f>IF(Z36=Z22,0,IF(Z$20-SUM(Z$34:Z36)&lt;W$17,Z$20-SUM(Z$34:Z36),W$17))</f>
        <v>0</v>
      </c>
      <c r="AA37" s="16">
        <f>IF(AA36=AA22,0,IF(AA$20-SUM(AA$34:AA36)&lt;X$17,AA$20-SUM(AA$34:AA36),X$17))</f>
        <v>0</v>
      </c>
      <c r="AB37" s="16">
        <f>IF(AB36=AB22,0,IF(AB$20-SUM(AB$34:AB36)&lt;Y$17,AB$20-SUM(AB$34:AB36),Y$17))</f>
        <v>0</v>
      </c>
      <c r="AC37" s="16">
        <f>IF(AC36=AC22,0,IF(AC$20-SUM(AC$34:AC36)&lt;Z$17,AC$20-SUM(AC$34:AC36),Z$17))</f>
        <v>0</v>
      </c>
      <c r="AE37" s="16">
        <f>IF(AE36=AE22,0,IF(AE$20-SUM(AE$34:AE36)&lt;AB$17,AE$20-SUM(AE$34:AE36),AB$17))</f>
        <v>0</v>
      </c>
      <c r="AF37" s="16">
        <f>IF(AF36=AF22,0,IF(AF$20-SUM(AF$34:AF36)&lt;AC$17,AF$20-SUM(AF$34:AF36),AC$17))</f>
        <v>0</v>
      </c>
      <c r="AG37" s="16">
        <f>IF(AG36=AG22,0,IF(AG$20-SUM(AG$34:AG36)&lt;AC$17,AG$20-SUM(AG$34:AG36),AC$17))</f>
        <v>0</v>
      </c>
      <c r="AH37" s="16">
        <f>IF(AH36=AH22,0,IF(AH$20-SUM(AH$34:AH36)&lt;AE$17,AH$20-SUM(AH$34:AH36),AE$17))</f>
        <v>0</v>
      </c>
      <c r="AI37" s="16">
        <f>IF(AI36=AI22,0,IF(AI$20-SUM(AI$34:AI36)&lt;AF$17,AI$20-SUM(AI$34:AI36),AF$17))</f>
        <v>0</v>
      </c>
      <c r="AJ37" s="16">
        <f>IF(AJ36=AJ22,0,IF(AJ$20-SUM(AJ$34:AJ36)&lt;AG$17,AJ$20-SUM(AJ$34:AJ36),AG$17))</f>
        <v>0</v>
      </c>
      <c r="AK37" s="16">
        <f>IF(AK36=AK22,0,IF(AK$20-SUM(AK$34:AK36)&lt;AH$17,AK$20-SUM(AK$34:AK36),AH$17))</f>
        <v>0</v>
      </c>
      <c r="AL37" s="16">
        <f>IF(AL36=AL22,0,IF(AL$20-SUM(AL$34:AL36)&lt;AI$17,AL$20-SUM(AL$34:AL36),AI$17))</f>
        <v>0</v>
      </c>
      <c r="AM37" s="16">
        <f>IF(AM36=AM22,0,IF(AM$20-SUM(AM$34:AM36)&lt;AJ$17,AM$20-SUM(AM$34:AM36),AJ$17))</f>
        <v>0</v>
      </c>
      <c r="AN37" s="16">
        <f>IF(AN36=AN22,0,IF(AN$20-SUM(AN$34:AN36)&lt;AK$17,AN$20-SUM(AN$34:AN36),AK$17))</f>
        <v>0</v>
      </c>
      <c r="AO37" s="16">
        <f>IF(AO36=AO22,0,IF(AO$20-SUM(AO$34:AO36)&lt;AL$17,AO$20-SUM(AO$34:AO36),AL$17))</f>
        <v>0</v>
      </c>
      <c r="AP37" s="16">
        <f>IF(AP36=AP22,0,IF(AP$20-SUM(AP$34:AP36)&lt;AM$17,AP$20-SUM(AP$34:AP36),AM$17))</f>
        <v>0</v>
      </c>
    </row>
    <row r="38" spans="1:78" s="16" customFormat="1" x14ac:dyDescent="0.25">
      <c r="U38" s="18">
        <f>SUM(U34:U37)</f>
        <v>15700.000000000002</v>
      </c>
      <c r="V38" s="18">
        <f>SUM(V34:V37)</f>
        <v>41866.666666666672</v>
      </c>
      <c r="W38" s="18">
        <f t="shared" ref="W38:AC38" si="260">SUM(W34:W37)</f>
        <v>94200.000000000015</v>
      </c>
      <c r="X38" s="18">
        <f t="shared" si="260"/>
        <v>120525.04554794524</v>
      </c>
      <c r="Y38" s="18">
        <f t="shared" si="260"/>
        <v>128509.31563981048</v>
      </c>
      <c r="Z38" s="18">
        <f t="shared" si="260"/>
        <v>146859.47663043483</v>
      </c>
      <c r="AA38" s="18">
        <f t="shared" si="260"/>
        <v>132493.00981137392</v>
      </c>
      <c r="AB38" s="18">
        <f t="shared" si="260"/>
        <v>150664.88172191536</v>
      </c>
      <c r="AC38" s="18">
        <f t="shared" si="260"/>
        <v>166718.23823014024</v>
      </c>
      <c r="AE38" s="18">
        <f t="shared" ref="AE38" si="261">SUM(AE34:AE37)</f>
        <v>165545.664730135</v>
      </c>
      <c r="AF38" s="18">
        <f t="shared" ref="AF38" si="262">SUM(AF34:AF37)</f>
        <v>168316.14919617056</v>
      </c>
      <c r="AG38" s="18">
        <f t="shared" ref="AG38" si="263">SUM(AG34:AG37)</f>
        <v>173602.00000000006</v>
      </c>
      <c r="AH38" s="18">
        <f t="shared" ref="AH38" si="264">SUM(AH34:AH37)</f>
        <v>266695.00000000012</v>
      </c>
      <c r="AI38" s="18">
        <f t="shared" ref="AI38" si="265">SUM(AI34:AI37)</f>
        <v>359788.00000000012</v>
      </c>
      <c r="AJ38" s="18">
        <f t="shared" ref="AJ38" si="266">SUM(AJ34:AJ37)</f>
        <v>452881.00000000017</v>
      </c>
      <c r="AK38" s="18">
        <f t="shared" ref="AK38" si="267">SUM(AK34:AK37)</f>
        <v>459921.00000000023</v>
      </c>
      <c r="AL38" s="18">
        <f t="shared" ref="AL38" si="268">SUM(AL34:AL37)</f>
        <v>472767.16666666686</v>
      </c>
      <c r="AM38" s="18">
        <f t="shared" ref="AM38" si="269">SUM(AM34:AM37)</f>
        <v>485613.33333333355</v>
      </c>
      <c r="AN38" s="18">
        <f t="shared" ref="AN38" si="270">SUM(AN34:AN37)</f>
        <v>473000.00000000017</v>
      </c>
      <c r="AO38" s="18">
        <f t="shared" ref="AO38" si="271">SUM(AO34:AO37)</f>
        <v>473000.00000000017</v>
      </c>
      <c r="AP38" s="18">
        <f t="shared" ref="AP38" si="272">SUM(AP34:AP37)</f>
        <v>561453.75000000023</v>
      </c>
    </row>
    <row r="39" spans="1:78" s="16" customFormat="1" x14ac:dyDescent="0.25">
      <c r="U39" s="17">
        <f t="shared" ref="U39:AC39" si="273">+U38-U20</f>
        <v>0</v>
      </c>
      <c r="V39" s="17">
        <f t="shared" si="273"/>
        <v>0</v>
      </c>
      <c r="W39" s="17">
        <f t="shared" si="273"/>
        <v>0</v>
      </c>
      <c r="X39" s="17">
        <f t="shared" si="273"/>
        <v>0</v>
      </c>
      <c r="Y39" s="17">
        <f t="shared" si="273"/>
        <v>0</v>
      </c>
      <c r="Z39" s="17">
        <f t="shared" si="273"/>
        <v>0</v>
      </c>
      <c r="AA39" s="17">
        <f t="shared" si="273"/>
        <v>0</v>
      </c>
      <c r="AB39" s="17">
        <f t="shared" si="273"/>
        <v>0</v>
      </c>
      <c r="AC39" s="17">
        <f t="shared" si="273"/>
        <v>0</v>
      </c>
      <c r="AE39" s="17">
        <f t="shared" ref="AE39:AP39" si="274">+AE38-AE20</f>
        <v>0</v>
      </c>
      <c r="AF39" s="17">
        <f t="shared" si="274"/>
        <v>0</v>
      </c>
      <c r="AG39" s="17">
        <f t="shared" si="274"/>
        <v>0</v>
      </c>
      <c r="AH39" s="17">
        <f t="shared" si="274"/>
        <v>0</v>
      </c>
      <c r="AI39" s="17">
        <f t="shared" si="274"/>
        <v>0</v>
      </c>
      <c r="AJ39" s="17">
        <f t="shared" si="274"/>
        <v>0</v>
      </c>
      <c r="AK39" s="17">
        <f t="shared" si="274"/>
        <v>0</v>
      </c>
      <c r="AL39" s="17">
        <f t="shared" si="274"/>
        <v>0</v>
      </c>
      <c r="AM39" s="17">
        <f t="shared" si="274"/>
        <v>0</v>
      </c>
      <c r="AN39" s="17">
        <f t="shared" si="274"/>
        <v>0</v>
      </c>
      <c r="AO39" s="17">
        <f t="shared" si="274"/>
        <v>0</v>
      </c>
      <c r="AP39" s="17">
        <f t="shared" si="274"/>
        <v>0</v>
      </c>
    </row>
    <row r="40" spans="1:78" s="16" customFormat="1" x14ac:dyDescent="0.25"/>
    <row r="41" spans="1:78" s="16" customFormat="1" x14ac:dyDescent="0.25">
      <c r="A41" s="19" t="s">
        <v>284</v>
      </c>
    </row>
    <row r="42" spans="1:78" s="16" customFormat="1" x14ac:dyDescent="0.25">
      <c r="B42" s="16" t="s">
        <v>285</v>
      </c>
      <c r="R42" s="24">
        <f t="shared" ref="R42:AC42" si="275">VLOOKUP(R$54,PET,2)</f>
        <v>0.34</v>
      </c>
      <c r="S42" s="24">
        <f t="shared" si="275"/>
        <v>0.34</v>
      </c>
      <c r="T42" s="24">
        <f t="shared" si="275"/>
        <v>0.34</v>
      </c>
      <c r="U42" s="24">
        <f t="shared" si="275"/>
        <v>0.34</v>
      </c>
      <c r="V42" s="24">
        <f t="shared" si="275"/>
        <v>0.34</v>
      </c>
      <c r="W42" s="24">
        <f t="shared" si="275"/>
        <v>0.34</v>
      </c>
      <c r="X42" s="24">
        <f t="shared" si="275"/>
        <v>0.34</v>
      </c>
      <c r="Y42" s="24">
        <f t="shared" si="275"/>
        <v>0.34</v>
      </c>
      <c r="Z42" s="24">
        <f t="shared" si="275"/>
        <v>0.34</v>
      </c>
      <c r="AA42" s="24">
        <f t="shared" si="275"/>
        <v>0.34</v>
      </c>
      <c r="AB42" s="24">
        <f t="shared" si="275"/>
        <v>0.34</v>
      </c>
      <c r="AC42" s="24">
        <f t="shared" si="275"/>
        <v>0.34</v>
      </c>
      <c r="AD42" s="25"/>
      <c r="AE42" s="24">
        <f t="shared" ref="AE42:AJ42" si="276">IF(AE25="no",VLOOKUP(AE$54,PET,2),0)</f>
        <v>0.34</v>
      </c>
      <c r="AF42" s="24">
        <f t="shared" si="276"/>
        <v>0.34</v>
      </c>
      <c r="AG42" s="24">
        <f t="shared" si="276"/>
        <v>0.34</v>
      </c>
      <c r="AH42" s="24">
        <f t="shared" si="276"/>
        <v>0</v>
      </c>
      <c r="AI42" s="24">
        <f t="shared" si="276"/>
        <v>0</v>
      </c>
      <c r="AJ42" s="24">
        <f t="shared" si="276"/>
        <v>0</v>
      </c>
      <c r="AK42" s="24">
        <f t="shared" ref="AK42:AP42" si="277">IF(AK25="no",VLOOKUP(AK$54,PET,2),0)</f>
        <v>0</v>
      </c>
      <c r="AL42" s="24">
        <f t="shared" si="277"/>
        <v>0</v>
      </c>
      <c r="AM42" s="24">
        <f t="shared" si="277"/>
        <v>0</v>
      </c>
      <c r="AN42" s="24">
        <f t="shared" si="277"/>
        <v>0</v>
      </c>
      <c r="AO42" s="24">
        <f t="shared" si="277"/>
        <v>0</v>
      </c>
      <c r="AP42" s="24">
        <f t="shared" si="277"/>
        <v>0</v>
      </c>
      <c r="BK42" s="24">
        <f>IF(BK25="no",VLOOKUP(BK$54,PET,2),0)</f>
        <v>0</v>
      </c>
      <c r="BL42" s="24">
        <f>IF(BL25="no",VLOOKUP(BL$54,PET,2),0)</f>
        <v>0</v>
      </c>
      <c r="BM42" s="24">
        <f>IF(BM25="no",VLOOKUP(BM$54,PET,2),0)</f>
        <v>0</v>
      </c>
      <c r="BN42" s="24">
        <f>IF(BN25="no",VLOOKUP(BN$54,PET,2),0)</f>
        <v>0</v>
      </c>
      <c r="BQ42" s="24">
        <f>IF(BQ25="no",VLOOKUP(BQ$54,PET,2),0)</f>
        <v>0</v>
      </c>
      <c r="BR42" s="24">
        <f>IF(BR25="no",VLOOKUP(BR$54,PET,2),0)</f>
        <v>0</v>
      </c>
      <c r="BS42" s="24">
        <f>IF(BS25="no",VLOOKUP(BS$54,PET,2),0)</f>
        <v>0</v>
      </c>
      <c r="BT42" s="24">
        <f>IF(BT25="no",VLOOKUP(BT$54,PET,2),0)</f>
        <v>0</v>
      </c>
      <c r="BV42" s="24"/>
      <c r="BW42" s="24">
        <f>IF(BW25="no",VLOOKUP(BW$54,PET,2),0)</f>
        <v>0</v>
      </c>
      <c r="BX42" s="24">
        <f>IF(BX25="no",VLOOKUP(BX$54,PET,2),0)</f>
        <v>0</v>
      </c>
      <c r="BY42" s="24">
        <f>IF(BY25="no",VLOOKUP(BY$54,PET,2),0)</f>
        <v>0</v>
      </c>
      <c r="BZ42" s="24">
        <f>IF(BZ25="no",VLOOKUP(BZ$54,PET,2),0)</f>
        <v>0</v>
      </c>
    </row>
    <row r="43" spans="1:78" s="16" customFormat="1" x14ac:dyDescent="0.25">
      <c r="B43" s="16" t="s">
        <v>381</v>
      </c>
      <c r="R43" s="64">
        <f t="shared" ref="R43:AC43" si="278">((CEILING(+R$54/2000,1)*VLOOKUP(+R$54,GVP,2))+(VLOOKUP(R$54,GVP,3)*R$54))*IF(R54=0,0,1/R54)</f>
        <v>0</v>
      </c>
      <c r="S43" s="64">
        <f t="shared" si="278"/>
        <v>0</v>
      </c>
      <c r="T43" s="64">
        <f t="shared" si="278"/>
        <v>0</v>
      </c>
      <c r="U43" s="64">
        <f t="shared" si="278"/>
        <v>0.75796178343949039</v>
      </c>
      <c r="V43" s="64">
        <f t="shared" si="278"/>
        <v>0.75796178343949039</v>
      </c>
      <c r="W43" s="64">
        <f t="shared" si="278"/>
        <v>0.75796178343949039</v>
      </c>
      <c r="X43" s="64">
        <f t="shared" si="278"/>
        <v>0.75127665719938141</v>
      </c>
      <c r="Y43" s="64">
        <f t="shared" si="278"/>
        <v>0.7532483407102476</v>
      </c>
      <c r="Z43" s="64">
        <f t="shared" si="278"/>
        <v>0.75439204041660179</v>
      </c>
      <c r="AA43" s="64">
        <f t="shared" si="278"/>
        <v>0.75346310270914019</v>
      </c>
      <c r="AB43" s="64">
        <f t="shared" si="278"/>
        <v>0.751353902720995</v>
      </c>
      <c r="AC43" s="64">
        <f t="shared" si="278"/>
        <v>0.75257241120567819</v>
      </c>
      <c r="AD43" s="25"/>
      <c r="AE43" s="64">
        <f t="shared" ref="AE43:AJ43" si="279">IF(AE25="no",((CEILING(+AE$54/2000,1)*VLOOKUP(+AE$54,GVP,2))+(VLOOKUP(AE$54,GVP,3)*AE$54))*IF(AE54=0,0,1/AE54),0)</f>
        <v>0.75250680462518404</v>
      </c>
      <c r="AF43" s="64">
        <f t="shared" si="279"/>
        <v>0.75102469027757757</v>
      </c>
      <c r="AG43" s="64">
        <f t="shared" si="279"/>
        <v>0.75503032094297251</v>
      </c>
      <c r="AH43" s="64">
        <f t="shared" si="279"/>
        <v>0</v>
      </c>
      <c r="AI43" s="64">
        <f t="shared" si="279"/>
        <v>0</v>
      </c>
      <c r="AJ43" s="64">
        <f t="shared" si="279"/>
        <v>0</v>
      </c>
      <c r="AK43" s="64">
        <f t="shared" ref="AK43:AP43" si="280">IF(AK25="no",((CEILING(+AK$54/2000,1)*VLOOKUP(+AK$54,GVP,2))+(VLOOKUP(AK$54,GVP,3)*AK$54))*IF(AK54=0,0,1/AK54),0)</f>
        <v>0</v>
      </c>
      <c r="AL43" s="64">
        <f t="shared" si="280"/>
        <v>0</v>
      </c>
      <c r="AM43" s="64">
        <f t="shared" si="280"/>
        <v>0</v>
      </c>
      <c r="AN43" s="64">
        <f t="shared" si="280"/>
        <v>0</v>
      </c>
      <c r="AO43" s="64">
        <f t="shared" si="280"/>
        <v>0</v>
      </c>
      <c r="AP43" s="64">
        <f t="shared" si="280"/>
        <v>0</v>
      </c>
      <c r="BK43" s="64">
        <f>IF(BK25="no",((CEILING(+BK$54/2000,1)*VLOOKUP(+BK$54,GVP,2))+(VLOOKUP(BK$54,GVP,3)*BK$54))*IF(BK54=0,0,1/BK54),0)</f>
        <v>0</v>
      </c>
      <c r="BL43" s="64">
        <f>IF(BL25="no",((CEILING(+BL$54/2000,1)*VLOOKUP(+BL$54,GVP,2))+(VLOOKUP(BL$54,GVP,3)*BL$54))*IF(BL54=0,0,1/BL54),0)</f>
        <v>0</v>
      </c>
      <c r="BM43" s="64">
        <f>IF(BM25="no",((CEILING(+BM$54/2000,1)*VLOOKUP(+BM$54,GVP,2))+(VLOOKUP(BM$54,GVP,3)*BM$54))*IF(BM54=0,0,1/BM54),0)</f>
        <v>0</v>
      </c>
      <c r="BN43" s="64">
        <f>IF(BN25="no",((CEILING(+BN$54/2000,1)*VLOOKUP(+BN$54,GVP,2))+(VLOOKUP(BN$54,GVP,3)*BN$54))*IF(BN54=0,0,1/BN54),0)</f>
        <v>0</v>
      </c>
      <c r="BQ43" s="64">
        <f>IF(BQ25="no",((CEILING(+BQ$54/2000,1)*VLOOKUP(+BQ$54,GVP,2))+(VLOOKUP(BQ$54,GVP,3)*BQ$54))*IF(BQ54=0,0,1/BQ54),0)</f>
        <v>0</v>
      </c>
      <c r="BR43" s="64">
        <f>IF(BR25="no",((CEILING(+BR$54/2000,1)*VLOOKUP(+BR$54,GVP,2))+(VLOOKUP(BR$54,GVP,3)*BR$54))*IF(BR54=0,0,1/BR54),0)</f>
        <v>0</v>
      </c>
      <c r="BS43" s="64">
        <f>IF(BS25="no",((CEILING(+BS$54/2000,1)*VLOOKUP(+BS$54,GVP,2))+(VLOOKUP(BS$54,GVP,3)*BS$54))*IF(BS54=0,0,1/BS54),0)</f>
        <v>0</v>
      </c>
      <c r="BT43" s="64">
        <f>IF(BT25="no",((CEILING(+BT$54/2000,1)*VLOOKUP(+BT$54,GVP,2))+(VLOOKUP(BT$54,GVP,3)*BT$54))*IF(BT54=0,0,1/BT54),0)</f>
        <v>0</v>
      </c>
      <c r="BV43" s="64"/>
      <c r="BW43" s="64">
        <f>IF(BW25="no",((CEILING(+BW$54/2000,1)*VLOOKUP(+BW$54,GVP,2))+(VLOOKUP(BW$54,GVP,3)*BW$54))*IF(BW54=0,0,1/BW54),0)</f>
        <v>0</v>
      </c>
      <c r="BX43" s="64">
        <f>IF(BX25="no",((CEILING(+BX$54/2000,1)*VLOOKUP(+BX$54,GVP,2))+(VLOOKUP(BX$54,GVP,3)*BX$54))*IF(BX54=0,0,1/BX54),0)</f>
        <v>0</v>
      </c>
      <c r="BY43" s="64">
        <f>IF(BY25="no",((CEILING(+BY$54/2000,1)*VLOOKUP(+BY$54,GVP,2))+(VLOOKUP(BY$54,GVP,3)*BY$54))*IF(BY54=0,0,1/BY54),0)</f>
        <v>0</v>
      </c>
      <c r="BZ43" s="64">
        <f>IF(BZ25="no",((CEILING(+BZ$54/2000,1)*VLOOKUP(+BZ$54,GVP,2))+(VLOOKUP(BZ$54,GVP,3)*BZ$54))*IF(BZ54=0,0,1/BZ54),0)</f>
        <v>0</v>
      </c>
    </row>
    <row r="44" spans="1:78" s="16" customFormat="1" x14ac:dyDescent="0.25">
      <c r="B44" s="16" t="s">
        <v>360</v>
      </c>
      <c r="R44" s="24">
        <f t="shared" ref="R44:AC44" si="281">VLOOKUP(R$54,rTF,2)</f>
        <v>0.05</v>
      </c>
      <c r="S44" s="24">
        <f t="shared" si="281"/>
        <v>0.05</v>
      </c>
      <c r="T44" s="24">
        <f t="shared" si="281"/>
        <v>0.05</v>
      </c>
      <c r="U44" s="24">
        <f t="shared" si="281"/>
        <v>0.05</v>
      </c>
      <c r="V44" s="24">
        <f t="shared" si="281"/>
        <v>0.05</v>
      </c>
      <c r="W44" s="24">
        <f t="shared" si="281"/>
        <v>0.05</v>
      </c>
      <c r="X44" s="24">
        <f t="shared" si="281"/>
        <v>0.05</v>
      </c>
      <c r="Y44" s="24">
        <f t="shared" si="281"/>
        <v>0.05</v>
      </c>
      <c r="Z44" s="24">
        <f t="shared" si="281"/>
        <v>0.05</v>
      </c>
      <c r="AA44" s="24">
        <f t="shared" si="281"/>
        <v>0.05</v>
      </c>
      <c r="AB44" s="24">
        <f t="shared" si="281"/>
        <v>0.05</v>
      </c>
      <c r="AC44" s="24">
        <f t="shared" si="281"/>
        <v>0.05</v>
      </c>
      <c r="AD44" s="25"/>
      <c r="AE44" s="24">
        <f t="shared" ref="AE44:AJ44" si="282">IF(AE25="no",VLOOKUP(AE$54,rTF,2),0)</f>
        <v>0.05</v>
      </c>
      <c r="AF44" s="24">
        <f t="shared" si="282"/>
        <v>0.05</v>
      </c>
      <c r="AG44" s="24">
        <f t="shared" si="282"/>
        <v>0.05</v>
      </c>
      <c r="AH44" s="24">
        <f t="shared" si="282"/>
        <v>0</v>
      </c>
      <c r="AI44" s="24">
        <f t="shared" si="282"/>
        <v>0</v>
      </c>
      <c r="AJ44" s="24">
        <f t="shared" si="282"/>
        <v>0</v>
      </c>
      <c r="AK44" s="24">
        <f t="shared" ref="AK44:AP44" si="283">IF(AK25="no",VLOOKUP(AK$54,rTF,2),0)</f>
        <v>0</v>
      </c>
      <c r="AL44" s="24">
        <f t="shared" si="283"/>
        <v>0</v>
      </c>
      <c r="AM44" s="24">
        <f t="shared" si="283"/>
        <v>0</v>
      </c>
      <c r="AN44" s="24">
        <f t="shared" si="283"/>
        <v>0</v>
      </c>
      <c r="AO44" s="24">
        <f t="shared" si="283"/>
        <v>0</v>
      </c>
      <c r="AP44" s="24">
        <f t="shared" si="283"/>
        <v>0</v>
      </c>
      <c r="BD44" s="263"/>
      <c r="BK44" s="24">
        <f>IF(BK25="no",VLOOKUP(BK$54,rTF,2),0)</f>
        <v>0</v>
      </c>
      <c r="BL44" s="24">
        <f>IF(BL25="no",VLOOKUP(BL$54,rTF,2),0)</f>
        <v>0</v>
      </c>
      <c r="BM44" s="24">
        <f>IF(BM25="no",VLOOKUP(BM$54,rTF,2),0)</f>
        <v>0</v>
      </c>
      <c r="BN44" s="24">
        <f>IF(BN25="no",VLOOKUP(BN$54,rTF,2),0)</f>
        <v>0</v>
      </c>
      <c r="BQ44" s="24">
        <f>IF(BQ25="no",VLOOKUP(BQ$54,rTF,2),0)</f>
        <v>0</v>
      </c>
      <c r="BR44" s="24">
        <f>IF(BR25="no",VLOOKUP(BR$54,rTF,2),0)</f>
        <v>0</v>
      </c>
      <c r="BS44" s="24">
        <f>IF(BS25="no",VLOOKUP(BS$54,rTF,2),0)</f>
        <v>0</v>
      </c>
      <c r="BT44" s="24">
        <f>IF(BT25="no",VLOOKUP(BT$54,rTF,2),0)</f>
        <v>0</v>
      </c>
      <c r="BV44" s="24"/>
      <c r="BW44" s="24">
        <f>IF(BW25="no",VLOOKUP(BW$54,rTF,2),0)</f>
        <v>0</v>
      </c>
      <c r="BX44" s="24">
        <f>IF(BX25="no",VLOOKUP(BX$54,rTF,2),0)</f>
        <v>0</v>
      </c>
      <c r="BY44" s="24">
        <f>IF(BY25="no",VLOOKUP(BY$54,rTF,2),0)</f>
        <v>0</v>
      </c>
      <c r="BZ44" s="24">
        <f>IF(BZ25="no",VLOOKUP(BZ$54,rTF,2),0)</f>
        <v>0</v>
      </c>
    </row>
    <row r="45" spans="1:78" s="16" customFormat="1" x14ac:dyDescent="0.25">
      <c r="B45" s="16" t="s">
        <v>286</v>
      </c>
      <c r="R45" s="24">
        <f t="shared" ref="R45:AC45" si="284">VLOOKUP(R$54,Pouches,2)</f>
        <v>0.35</v>
      </c>
      <c r="S45" s="24">
        <f t="shared" si="284"/>
        <v>0.35</v>
      </c>
      <c r="T45" s="24">
        <f t="shared" si="284"/>
        <v>0.35</v>
      </c>
      <c r="U45" s="24">
        <f t="shared" si="284"/>
        <v>0.05</v>
      </c>
      <c r="V45" s="24">
        <f t="shared" si="284"/>
        <v>0.05</v>
      </c>
      <c r="W45" s="24">
        <f t="shared" si="284"/>
        <v>0.05</v>
      </c>
      <c r="X45" s="24">
        <f t="shared" si="284"/>
        <v>0.05</v>
      </c>
      <c r="Y45" s="24">
        <f t="shared" si="284"/>
        <v>0.05</v>
      </c>
      <c r="Z45" s="24">
        <f t="shared" si="284"/>
        <v>0.05</v>
      </c>
      <c r="AA45" s="24">
        <f t="shared" si="284"/>
        <v>0.05</v>
      </c>
      <c r="AB45" s="24">
        <f t="shared" si="284"/>
        <v>0.05</v>
      </c>
      <c r="AC45" s="24">
        <f t="shared" si="284"/>
        <v>0.05</v>
      </c>
      <c r="AD45" s="25"/>
      <c r="AE45" s="24">
        <f t="shared" ref="AE45:AP45" si="285">IF(AE25="no",VLOOKUP(AE$54,Pouches,2),0)</f>
        <v>0.05</v>
      </c>
      <c r="AF45" s="24">
        <f t="shared" si="285"/>
        <v>0.05</v>
      </c>
      <c r="AG45" s="24">
        <f t="shared" si="285"/>
        <v>0.05</v>
      </c>
      <c r="AH45" s="24">
        <f t="shared" si="285"/>
        <v>0</v>
      </c>
      <c r="AI45" s="24">
        <f t="shared" si="285"/>
        <v>0</v>
      </c>
      <c r="AJ45" s="24">
        <f t="shared" si="285"/>
        <v>0</v>
      </c>
      <c r="AK45" s="24">
        <f t="shared" si="285"/>
        <v>0</v>
      </c>
      <c r="AL45" s="24">
        <f t="shared" si="285"/>
        <v>0</v>
      </c>
      <c r="AM45" s="24">
        <f t="shared" si="285"/>
        <v>0</v>
      </c>
      <c r="AN45" s="24">
        <f t="shared" si="285"/>
        <v>0</v>
      </c>
      <c r="AO45" s="24">
        <f t="shared" si="285"/>
        <v>0</v>
      </c>
      <c r="AP45" s="24">
        <f t="shared" si="285"/>
        <v>0</v>
      </c>
      <c r="BK45" s="24">
        <f>IF(BK25=0,VLOOKUP(BK$54,Pouches,2),0)</f>
        <v>0</v>
      </c>
      <c r="BL45" s="24">
        <f>IF(BL25=0,VLOOKUP(BL$54,Pouches,2),0)</f>
        <v>0</v>
      </c>
      <c r="BM45" s="24">
        <f>IF(BM25=0,VLOOKUP(BM$54,Pouches,2),0)</f>
        <v>0</v>
      </c>
      <c r="BN45" s="24">
        <f>IF(BN25=0,VLOOKUP(BN$54,Pouches,2),0)</f>
        <v>0</v>
      </c>
      <c r="BQ45" s="24">
        <f>IF(BQ25=0,VLOOKUP(BQ$54,Pouches,2),0)</f>
        <v>0</v>
      </c>
      <c r="BR45" s="24">
        <f>IF(BR25=0,VLOOKUP(BR$54,Pouches,2),0)</f>
        <v>0</v>
      </c>
      <c r="BS45" s="24">
        <f>IF(BS25=0,VLOOKUP(BS$54,Pouches,2),0)</f>
        <v>0</v>
      </c>
      <c r="BT45" s="24">
        <f>IF(BT25=0,VLOOKUP(BT$54,Pouches,2),0)</f>
        <v>0</v>
      </c>
      <c r="BV45" s="24"/>
      <c r="BW45" s="24">
        <f>IF(BW25=0,VLOOKUP(BW$54,Pouches,2),0)</f>
        <v>0</v>
      </c>
      <c r="BX45" s="24">
        <f>IF(BX25=0,VLOOKUP(BX$54,Pouches,2),0)</f>
        <v>0</v>
      </c>
      <c r="BY45" s="24">
        <f>IF(BY25=0,VLOOKUP(BY$54,Pouches,2),0)</f>
        <v>0</v>
      </c>
      <c r="BZ45" s="24">
        <f>IF(BZ25=0,VLOOKUP(BZ$54,Pouches,2),0)</f>
        <v>0</v>
      </c>
    </row>
    <row r="46" spans="1:78" s="16" customFormat="1" x14ac:dyDescent="0.25">
      <c r="B46" s="16" t="s">
        <v>180</v>
      </c>
      <c r="R46" s="24">
        <f t="shared" ref="R46:AC46" si="286">VLOOKUP(R$54,Dessicant,2)</f>
        <v>0.05</v>
      </c>
      <c r="S46" s="24">
        <f t="shared" si="286"/>
        <v>0.05</v>
      </c>
      <c r="T46" s="24">
        <f t="shared" si="286"/>
        <v>0.05</v>
      </c>
      <c r="U46" s="24">
        <f t="shared" si="286"/>
        <v>0.05</v>
      </c>
      <c r="V46" s="24">
        <f t="shared" si="286"/>
        <v>0.05</v>
      </c>
      <c r="W46" s="24">
        <f t="shared" si="286"/>
        <v>0.05</v>
      </c>
      <c r="X46" s="24">
        <f t="shared" si="286"/>
        <v>0.05</v>
      </c>
      <c r="Y46" s="24">
        <f t="shared" si="286"/>
        <v>0.05</v>
      </c>
      <c r="Z46" s="24">
        <f t="shared" si="286"/>
        <v>0.05</v>
      </c>
      <c r="AA46" s="24">
        <f t="shared" si="286"/>
        <v>0.05</v>
      </c>
      <c r="AB46" s="24">
        <f t="shared" si="286"/>
        <v>0.05</v>
      </c>
      <c r="AC46" s="24">
        <f t="shared" si="286"/>
        <v>0.05</v>
      </c>
      <c r="AD46" s="25"/>
      <c r="AE46" s="24">
        <f t="shared" ref="AE46:AJ46" si="287">IF(AE25="no",VLOOKUP(AE$54,Dessicant,2),0)</f>
        <v>0.05</v>
      </c>
      <c r="AF46" s="24">
        <f t="shared" si="287"/>
        <v>0.05</v>
      </c>
      <c r="AG46" s="24">
        <f t="shared" si="287"/>
        <v>0.05</v>
      </c>
      <c r="AH46" s="24">
        <f t="shared" si="287"/>
        <v>0</v>
      </c>
      <c r="AI46" s="24">
        <f t="shared" si="287"/>
        <v>0</v>
      </c>
      <c r="AJ46" s="24">
        <f t="shared" si="287"/>
        <v>0</v>
      </c>
      <c r="AK46" s="24">
        <f t="shared" ref="AK46:AP46" si="288">IF(AK25="no",VLOOKUP(AK$54,Dessicant,2),0)</f>
        <v>0</v>
      </c>
      <c r="AL46" s="24">
        <f t="shared" si="288"/>
        <v>0</v>
      </c>
      <c r="AM46" s="24">
        <f t="shared" si="288"/>
        <v>0</v>
      </c>
      <c r="AN46" s="24">
        <f t="shared" si="288"/>
        <v>0</v>
      </c>
      <c r="AO46" s="24">
        <f t="shared" si="288"/>
        <v>0</v>
      </c>
      <c r="AP46" s="24">
        <f t="shared" si="288"/>
        <v>0</v>
      </c>
      <c r="BK46" s="24">
        <f>IF(BK25="no",VLOOKUP(BK$54,Dessicant,2),0)</f>
        <v>0</v>
      </c>
      <c r="BL46" s="24">
        <f>IF(BL25="no",VLOOKUP(BL$54,Dessicant,2),0)</f>
        <v>0</v>
      </c>
      <c r="BM46" s="24">
        <f>IF(BM25="no",VLOOKUP(BM$54,Dessicant,2),0)</f>
        <v>0</v>
      </c>
      <c r="BN46" s="24">
        <f>IF(BN25="no",VLOOKUP(BN$54,Dessicant,2),0)</f>
        <v>0</v>
      </c>
      <c r="BQ46" s="24">
        <f>IF(BQ25="no",VLOOKUP(BQ$54,Dessicant,2),0)</f>
        <v>0</v>
      </c>
      <c r="BR46" s="24">
        <f>IF(BR25="no",VLOOKUP(BR$54,Dessicant,2),0)</f>
        <v>0</v>
      </c>
      <c r="BS46" s="24">
        <f>IF(BS25="no",VLOOKUP(BS$54,Dessicant,2),0)</f>
        <v>0</v>
      </c>
      <c r="BT46" s="24">
        <f>IF(BT25="no",VLOOKUP(BT$54,Dessicant,2),0)</f>
        <v>0</v>
      </c>
      <c r="BV46" s="24"/>
      <c r="BW46" s="24">
        <f>IF(BW25="no",VLOOKUP(BW$54,Dessicant,2),0)</f>
        <v>0</v>
      </c>
      <c r="BX46" s="24">
        <f>IF(BX25="no",VLOOKUP(BX$54,Dessicant,2),0)</f>
        <v>0</v>
      </c>
      <c r="BY46" s="24">
        <f>IF(BY25="no",VLOOKUP(BY$54,Dessicant,2),0)</f>
        <v>0</v>
      </c>
      <c r="BZ46" s="24">
        <f>IF(BZ25="no",VLOOKUP(BZ$54,Dessicant,2),0)</f>
        <v>0</v>
      </c>
    </row>
    <row r="47" spans="1:78" s="16" customFormat="1" x14ac:dyDescent="0.25">
      <c r="B47" s="16" t="s">
        <v>648</v>
      </c>
      <c r="R47" s="24"/>
      <c r="S47" s="24"/>
      <c r="T47" s="24"/>
      <c r="U47" s="24"/>
      <c r="V47" s="24"/>
      <c r="W47" s="24"/>
      <c r="X47" s="24"/>
      <c r="Y47" s="24"/>
      <c r="Z47" s="24"/>
      <c r="AA47" s="24"/>
      <c r="AB47" s="24"/>
      <c r="AC47" s="24"/>
      <c r="AD47" s="25"/>
      <c r="AE47" s="24">
        <f t="shared" ref="AE47:AJ47" si="289">IF(AE25="no",0,VLOOKUP(AE24,CMO,10))</f>
        <v>0</v>
      </c>
      <c r="AF47" s="24">
        <f t="shared" si="289"/>
        <v>0</v>
      </c>
      <c r="AG47" s="24">
        <f t="shared" si="289"/>
        <v>0</v>
      </c>
      <c r="AH47" s="24">
        <f t="shared" si="289"/>
        <v>1.1980000000000002</v>
      </c>
      <c r="AI47" s="24">
        <f t="shared" si="289"/>
        <v>1.1980000000000002</v>
      </c>
      <c r="AJ47" s="24">
        <f t="shared" si="289"/>
        <v>1.1980000000000002</v>
      </c>
      <c r="AK47" s="24">
        <f t="shared" ref="AK47:AP47" si="290">IF(AK25="no",0,VLOOKUP(AK24,CMO,10))</f>
        <v>1.1980000000000002</v>
      </c>
      <c r="AL47" s="24">
        <f t="shared" si="290"/>
        <v>1.1980000000000002</v>
      </c>
      <c r="AM47" s="24">
        <f t="shared" si="290"/>
        <v>1.1980000000000002</v>
      </c>
      <c r="AN47" s="24">
        <f t="shared" si="290"/>
        <v>1.1980000000000002</v>
      </c>
      <c r="AO47" s="24">
        <f t="shared" si="290"/>
        <v>1.1980000000000002</v>
      </c>
      <c r="AP47" s="24">
        <f t="shared" si="290"/>
        <v>1.1980000000000002</v>
      </c>
      <c r="BK47" s="24">
        <f>IF(BK25="no",0,VLOOKUP(BK24,CMO,10))</f>
        <v>1.1980000000000002</v>
      </c>
      <c r="BL47" s="24">
        <f>IF(BL25="no",0,VLOOKUP(BL24,CMO,10))</f>
        <v>1.1980000000000002</v>
      </c>
      <c r="BM47" s="24">
        <f>IF(BM25="no",0,VLOOKUP(BM24,CMO,10))</f>
        <v>1.1980000000000002</v>
      </c>
      <c r="BN47" s="24">
        <f>IF(BN25="no",0,VLOOKUP(BN24,CMO,10))</f>
        <v>1.1980000000000002</v>
      </c>
      <c r="BQ47" s="24">
        <f>IF(BQ25="no",0,VLOOKUP(BQ24,CMO,10))</f>
        <v>1.1980000000000002</v>
      </c>
      <c r="BR47" s="24">
        <f>IF(BR25="no",0,VLOOKUP(BR24,CMO,10))</f>
        <v>1.1980000000000002</v>
      </c>
      <c r="BS47" s="24">
        <f>IF(BS25="no",0,VLOOKUP(BS24,CMO,10))</f>
        <v>1.177</v>
      </c>
      <c r="BT47" s="24">
        <f>IF(BT25="no",0,VLOOKUP(BT24,CMO,10))</f>
        <v>1.177</v>
      </c>
      <c r="BV47" s="24"/>
      <c r="BW47" s="24">
        <f>IF(BW25="no",0,VLOOKUP(BW24,CMO,10))</f>
        <v>1.177</v>
      </c>
      <c r="BX47" s="24">
        <f>IF(BX25="no",0,VLOOKUP(BX24,CMO,10))</f>
        <v>1.177</v>
      </c>
      <c r="BY47" s="24">
        <f>IF(BY25="no",0,VLOOKUP(BY24,CMO,10))</f>
        <v>1.177</v>
      </c>
      <c r="BZ47" s="24">
        <f>IF(BZ25="no",0,VLOOKUP(BZ24,CMO,10))</f>
        <v>1.177</v>
      </c>
    </row>
    <row r="48" spans="1:78" s="16" customFormat="1" x14ac:dyDescent="0.25">
      <c r="B48" s="16" t="s">
        <v>289</v>
      </c>
      <c r="R48" s="26">
        <f t="shared" ref="R48:AP48" si="291">SUM(R42:R47)</f>
        <v>0.79</v>
      </c>
      <c r="S48" s="26">
        <f t="shared" si="291"/>
        <v>0.79</v>
      </c>
      <c r="T48" s="26">
        <f t="shared" si="291"/>
        <v>0.79</v>
      </c>
      <c r="U48" s="26">
        <f t="shared" si="291"/>
        <v>1.2479617834394905</v>
      </c>
      <c r="V48" s="26">
        <f t="shared" si="291"/>
        <v>1.2479617834394905</v>
      </c>
      <c r="W48" s="26">
        <f t="shared" si="291"/>
        <v>1.2479617834394905</v>
      </c>
      <c r="X48" s="26">
        <f t="shared" si="291"/>
        <v>1.2412766571993816</v>
      </c>
      <c r="Y48" s="26">
        <f t="shared" si="291"/>
        <v>1.2432483407102477</v>
      </c>
      <c r="Z48" s="26">
        <f t="shared" si="291"/>
        <v>1.244392040416602</v>
      </c>
      <c r="AA48" s="26">
        <f t="shared" si="291"/>
        <v>1.2434631027091403</v>
      </c>
      <c r="AB48" s="26">
        <f t="shared" si="291"/>
        <v>1.2413539027209952</v>
      </c>
      <c r="AC48" s="26">
        <f t="shared" si="291"/>
        <v>1.2425724112056784</v>
      </c>
      <c r="AD48" s="26">
        <f t="shared" si="291"/>
        <v>0</v>
      </c>
      <c r="AE48" s="26">
        <f t="shared" si="291"/>
        <v>1.2425068046251841</v>
      </c>
      <c r="AF48" s="26">
        <f t="shared" si="291"/>
        <v>1.2410246902775777</v>
      </c>
      <c r="AG48" s="26">
        <f t="shared" si="291"/>
        <v>1.2450303209429727</v>
      </c>
      <c r="AH48" s="26">
        <f t="shared" si="291"/>
        <v>1.1980000000000002</v>
      </c>
      <c r="AI48" s="26">
        <f t="shared" si="291"/>
        <v>1.1980000000000002</v>
      </c>
      <c r="AJ48" s="26">
        <f t="shared" si="291"/>
        <v>1.1980000000000002</v>
      </c>
      <c r="AK48" s="26">
        <f t="shared" si="291"/>
        <v>1.1980000000000002</v>
      </c>
      <c r="AL48" s="26">
        <f t="shared" si="291"/>
        <v>1.1980000000000002</v>
      </c>
      <c r="AM48" s="26">
        <f t="shared" si="291"/>
        <v>1.1980000000000002</v>
      </c>
      <c r="AN48" s="26">
        <f t="shared" si="291"/>
        <v>1.1980000000000002</v>
      </c>
      <c r="AO48" s="26">
        <f t="shared" si="291"/>
        <v>1.1980000000000002</v>
      </c>
      <c r="AP48" s="26">
        <f t="shared" si="291"/>
        <v>1.1980000000000002</v>
      </c>
      <c r="BK48" s="26">
        <f>SUM(BK42:BK47)</f>
        <v>1.1980000000000002</v>
      </c>
      <c r="BL48" s="26">
        <f>SUM(BL42:BL47)</f>
        <v>1.1980000000000002</v>
      </c>
      <c r="BM48" s="26">
        <f>SUM(BM42:BM47)</f>
        <v>1.1980000000000002</v>
      </c>
      <c r="BN48" s="26">
        <f>SUM(BN42:BN47)</f>
        <v>1.1980000000000002</v>
      </c>
      <c r="BQ48" s="26">
        <f>SUM(BQ42:BQ47)</f>
        <v>1.1980000000000002</v>
      </c>
      <c r="BR48" s="26">
        <f>SUM(BR42:BR47)</f>
        <v>1.1980000000000002</v>
      </c>
      <c r="BS48" s="26">
        <f>SUM(BS42:BS47)</f>
        <v>1.177</v>
      </c>
      <c r="BT48" s="26">
        <f>SUM(BT42:BT47)</f>
        <v>1.177</v>
      </c>
      <c r="BV48" s="26">
        <f>SUM(BV42:BV47)</f>
        <v>0</v>
      </c>
      <c r="BW48" s="26">
        <f>SUM(BW42:BW47)</f>
        <v>1.177</v>
      </c>
      <c r="BX48" s="26">
        <f>SUM(BX42:BX47)</f>
        <v>1.177</v>
      </c>
      <c r="BY48" s="26">
        <f>SUM(BY42:BY47)</f>
        <v>1.177</v>
      </c>
      <c r="BZ48" s="26">
        <f>SUM(BZ42:BZ47)</f>
        <v>1.177</v>
      </c>
    </row>
    <row r="49" spans="1:78" s="16" customFormat="1" x14ac:dyDescent="0.25">
      <c r="B49" s="16" t="s">
        <v>290</v>
      </c>
      <c r="R49" s="27">
        <v>4.8000000000000001E-2</v>
      </c>
      <c r="S49" s="27">
        <v>4.8000000000000001E-2</v>
      </c>
      <c r="T49" s="27">
        <v>4.8000000000000001E-2</v>
      </c>
      <c r="U49" s="27">
        <v>4.8000000000000001E-2</v>
      </c>
      <c r="V49" s="27">
        <f>+U49</f>
        <v>4.8000000000000001E-2</v>
      </c>
      <c r="W49" s="27">
        <f t="shared" ref="W49:AC49" si="292">+V49</f>
        <v>4.8000000000000001E-2</v>
      </c>
      <c r="X49" s="27">
        <f t="shared" si="292"/>
        <v>4.8000000000000001E-2</v>
      </c>
      <c r="Y49" s="27">
        <f t="shared" si="292"/>
        <v>4.8000000000000001E-2</v>
      </c>
      <c r="Z49" s="27">
        <f t="shared" si="292"/>
        <v>4.8000000000000001E-2</v>
      </c>
      <c r="AA49" s="27">
        <f t="shared" si="292"/>
        <v>4.8000000000000001E-2</v>
      </c>
      <c r="AB49" s="27">
        <f t="shared" si="292"/>
        <v>4.8000000000000001E-2</v>
      </c>
      <c r="AC49" s="27">
        <f t="shared" si="292"/>
        <v>4.8000000000000001E-2</v>
      </c>
      <c r="AD49" s="28"/>
      <c r="AE49" s="27">
        <f t="shared" ref="AE49:AJ49" si="293">IF(AE25="no",0.048,(346/AE17)+0.0023)</f>
        <v>4.8000000000000001E-2</v>
      </c>
      <c r="AF49" s="27">
        <f t="shared" si="293"/>
        <v>4.8000000000000001E-2</v>
      </c>
      <c r="AG49" s="27">
        <f t="shared" si="293"/>
        <v>4.8000000000000001E-2</v>
      </c>
      <c r="AH49" s="27">
        <f t="shared" si="293"/>
        <v>4.4643532274510041E-3</v>
      </c>
      <c r="AI49" s="27">
        <f t="shared" si="293"/>
        <v>4.464353227451005E-3</v>
      </c>
      <c r="AJ49" s="27">
        <f t="shared" si="293"/>
        <v>4.4643532274510032E-3</v>
      </c>
      <c r="AK49" s="27">
        <f>IF(AK25="no",0.048,(346/AK17)+0.0023)</f>
        <v>4.2092288591529855E-3</v>
      </c>
      <c r="AL49" s="27">
        <f t="shared" ref="AL49:AP49" si="294">IF(AL25="no",0.048,(346/AL17)+0.0023)</f>
        <v>4.1499590531702824E-3</v>
      </c>
      <c r="AM49" s="27">
        <f t="shared" si="294"/>
        <v>4.1499590531702824E-3</v>
      </c>
      <c r="AN49" s="27">
        <f t="shared" si="294"/>
        <v>4.2593778314708539E-3</v>
      </c>
      <c r="AO49" s="27">
        <f t="shared" si="294"/>
        <v>4.1287526427061308E-3</v>
      </c>
      <c r="AP49" s="27">
        <f t="shared" si="294"/>
        <v>3.5461564088365453E-3</v>
      </c>
      <c r="BK49" s="27">
        <f>IF(BK25="no",0.048,(346/(BK17/3))+0.0023)</f>
        <v>3.8381133143489433E-3</v>
      </c>
      <c r="BL49" s="27">
        <f t="shared" ref="BL49:BN49" si="295">IF(BL25="no",0.048,(346/(BL17/3))+0.0023)</f>
        <v>3.2071613636640212E-3</v>
      </c>
      <c r="BM49" s="27">
        <f t="shared" si="295"/>
        <v>3.0811437617935776E-3</v>
      </c>
      <c r="BN49" s="27">
        <f t="shared" si="295"/>
        <v>2.981723850360149E-3</v>
      </c>
      <c r="BQ49" s="27">
        <f t="shared" ref="BQ49:BT49" si="296">IF(BQ25="no",0.048,(346/(BQ17/3))+0.0023)</f>
        <v>2.9387691694578726E-3</v>
      </c>
      <c r="BR49" s="27">
        <f t="shared" si="296"/>
        <v>2.7437410949743509E-3</v>
      </c>
      <c r="BS49" s="27">
        <f t="shared" si="296"/>
        <v>2.717131863963611E-3</v>
      </c>
      <c r="BT49" s="27">
        <f t="shared" si="296"/>
        <v>2.6654086165576281E-3</v>
      </c>
      <c r="BV49" s="27">
        <f>+BQ49</f>
        <v>2.9387691694578726E-3</v>
      </c>
      <c r="BW49" s="27">
        <f t="shared" ref="BW49:BZ49" si="297">IF(BW25="no",0.048,(346/(BW17/3))+0.0023)</f>
        <v>2.6377855091627394E-3</v>
      </c>
      <c r="BX49" s="27">
        <f t="shared" si="297"/>
        <v>2.5795136460654107E-3</v>
      </c>
      <c r="BY49" s="27">
        <f t="shared" si="297"/>
        <v>2.5489611921191888E-3</v>
      </c>
      <c r="BZ49" s="27">
        <f t="shared" si="297"/>
        <v>2.5409430622652983E-3</v>
      </c>
    </row>
    <row r="50" spans="1:78" s="16" customFormat="1" x14ac:dyDescent="0.25">
      <c r="B50" s="16" t="s">
        <v>291</v>
      </c>
      <c r="R50" s="28">
        <f>+Factory!$AX154</f>
        <v>24.72700038654812</v>
      </c>
      <c r="S50" s="28">
        <f>+Factory!$AX154</f>
        <v>24.72700038654812</v>
      </c>
      <c r="T50" s="28">
        <f>+Factory!$AX154</f>
        <v>24.72700038654812</v>
      </c>
      <c r="U50" s="28">
        <f>+Factory!$AX154</f>
        <v>24.72700038654812</v>
      </c>
      <c r="V50" s="28">
        <f>+U50</f>
        <v>24.72700038654812</v>
      </c>
      <c r="W50" s="28">
        <f t="shared" ref="W50:AC50" si="298">+V50</f>
        <v>24.72700038654812</v>
      </c>
      <c r="X50" s="28">
        <f t="shared" si="298"/>
        <v>24.72700038654812</v>
      </c>
      <c r="Y50" s="28">
        <f t="shared" si="298"/>
        <v>24.72700038654812</v>
      </c>
      <c r="Z50" s="28">
        <f t="shared" si="298"/>
        <v>24.72700038654812</v>
      </c>
      <c r="AA50" s="28">
        <f t="shared" si="298"/>
        <v>24.72700038654812</v>
      </c>
      <c r="AB50" s="28">
        <f t="shared" si="298"/>
        <v>24.72700038654812</v>
      </c>
      <c r="AC50" s="28">
        <f t="shared" si="298"/>
        <v>24.72700038654812</v>
      </c>
      <c r="AD50" s="28"/>
      <c r="AE50" s="28">
        <f>+Factory!BD154</f>
        <v>25.188127090301005</v>
      </c>
      <c r="AF50" s="28">
        <f t="shared" ref="AF50:AH50" si="299">+AE50</f>
        <v>25.188127090301005</v>
      </c>
      <c r="AG50" s="28">
        <f t="shared" si="299"/>
        <v>25.188127090301005</v>
      </c>
      <c r="AH50" s="28">
        <f t="shared" si="299"/>
        <v>25.188127090301005</v>
      </c>
      <c r="AI50" s="28">
        <f t="shared" ref="AI50:AI51" si="300">+AH50</f>
        <v>25.188127090301005</v>
      </c>
      <c r="AJ50" s="28">
        <f t="shared" ref="AJ50:AJ51" si="301">+AI50</f>
        <v>25.188127090301005</v>
      </c>
      <c r="AK50" s="28">
        <f t="shared" ref="AK50:AK51" si="302">+AJ50</f>
        <v>25.188127090301005</v>
      </c>
      <c r="AL50" s="28">
        <f t="shared" ref="AL50:AL51" si="303">+AK50</f>
        <v>25.188127090301005</v>
      </c>
      <c r="AM50" s="28">
        <f t="shared" ref="AM50:AM51" si="304">+AL50</f>
        <v>25.188127090301005</v>
      </c>
      <c r="AN50" s="28">
        <f t="shared" ref="AN50:AN51" si="305">+AM50</f>
        <v>25.188127090301005</v>
      </c>
      <c r="AO50" s="28">
        <f t="shared" ref="AO50:AO51" si="306">+AN50</f>
        <v>25.188127090301005</v>
      </c>
      <c r="AP50" s="28">
        <f t="shared" ref="AP50:AP51" si="307">+AO50</f>
        <v>25.188127090301005</v>
      </c>
      <c r="BK50" s="28">
        <f>+Factory!BJ154</f>
        <v>25.240384615384617</v>
      </c>
      <c r="BL50" s="28">
        <f t="shared" ref="BL50:BL51" si="308">+BK50</f>
        <v>25.240384615384617</v>
      </c>
      <c r="BM50" s="28">
        <f t="shared" ref="BM50:BM51" si="309">+BL50</f>
        <v>25.240384615384617</v>
      </c>
      <c r="BN50" s="28">
        <f t="shared" ref="BN50:BN51" si="310">+BM50</f>
        <v>25.240384615384617</v>
      </c>
      <c r="BQ50" s="28">
        <f>+Factory!BP154</f>
        <v>24.701591511936339</v>
      </c>
      <c r="BR50" s="28">
        <f t="shared" ref="BR50:BR51" si="311">+BQ50</f>
        <v>24.701591511936339</v>
      </c>
      <c r="BS50" s="28">
        <f t="shared" ref="BS50:BS51" si="312">+BR50</f>
        <v>24.701591511936339</v>
      </c>
      <c r="BT50" s="28">
        <f t="shared" ref="BT50:BT51" si="313">+BS50</f>
        <v>24.701591511936339</v>
      </c>
      <c r="BV50" s="28"/>
      <c r="BW50" s="28">
        <f>+Factory!BV154</f>
        <v>24.465811965811966</v>
      </c>
      <c r="BX50" s="28">
        <f t="shared" ref="BX50:BX51" si="314">+BW50</f>
        <v>24.465811965811966</v>
      </c>
      <c r="BY50" s="28">
        <f t="shared" ref="BY50:BY51" si="315">+BX50</f>
        <v>24.465811965811966</v>
      </c>
      <c r="BZ50" s="28">
        <f t="shared" ref="BZ50:BZ51" si="316">+BY50</f>
        <v>24.465811965811966</v>
      </c>
    </row>
    <row r="51" spans="1:78" s="16" customFormat="1" x14ac:dyDescent="0.25">
      <c r="B51" s="16" t="s">
        <v>292</v>
      </c>
      <c r="R51" s="29">
        <f>+Factory!$AX159</f>
        <v>0.65826546739848923</v>
      </c>
      <c r="S51" s="29">
        <f>+Factory!$AX159</f>
        <v>0.65826546739848923</v>
      </c>
      <c r="T51" s="29">
        <f>+Factory!$AX159</f>
        <v>0.65826546739848923</v>
      </c>
      <c r="U51" s="29">
        <f>+Factory!$AX159</f>
        <v>0.65826546739848923</v>
      </c>
      <c r="V51" s="29">
        <f>+U51</f>
        <v>0.65826546739848923</v>
      </c>
      <c r="W51" s="29">
        <f t="shared" ref="W51:AC51" si="317">+V51</f>
        <v>0.65826546739848923</v>
      </c>
      <c r="X51" s="29">
        <f t="shared" si="317"/>
        <v>0.65826546739848923</v>
      </c>
      <c r="Y51" s="29">
        <f t="shared" si="317"/>
        <v>0.65826546739848923</v>
      </c>
      <c r="Z51" s="29">
        <f t="shared" si="317"/>
        <v>0.65826546739848923</v>
      </c>
      <c r="AA51" s="29">
        <f t="shared" si="317"/>
        <v>0.65826546739848923</v>
      </c>
      <c r="AB51" s="29">
        <f t="shared" si="317"/>
        <v>0.65826546739848923</v>
      </c>
      <c r="AC51" s="29">
        <f t="shared" si="317"/>
        <v>0.65826546739848923</v>
      </c>
      <c r="AD51" s="28"/>
      <c r="AE51" s="266">
        <f>+Factory!BD159</f>
        <v>0.67169441054430046</v>
      </c>
      <c r="AF51" s="29">
        <f t="shared" ref="AF51:AH51" si="318">+AE51</f>
        <v>0.67169441054430046</v>
      </c>
      <c r="AG51" s="29">
        <f t="shared" si="318"/>
        <v>0.67169441054430046</v>
      </c>
      <c r="AH51" s="29">
        <f t="shared" si="318"/>
        <v>0.67169441054430046</v>
      </c>
      <c r="AI51" s="29">
        <f t="shared" si="300"/>
        <v>0.67169441054430046</v>
      </c>
      <c r="AJ51" s="29">
        <f t="shared" si="301"/>
        <v>0.67169441054430046</v>
      </c>
      <c r="AK51" s="29">
        <f t="shared" si="302"/>
        <v>0.67169441054430046</v>
      </c>
      <c r="AL51" s="29">
        <f t="shared" si="303"/>
        <v>0.67169441054430046</v>
      </c>
      <c r="AM51" s="29">
        <f t="shared" si="304"/>
        <v>0.67169441054430046</v>
      </c>
      <c r="AN51" s="29">
        <f t="shared" si="305"/>
        <v>0.67169441054430046</v>
      </c>
      <c r="AO51" s="29">
        <f t="shared" si="306"/>
        <v>0.67169441054430046</v>
      </c>
      <c r="AP51" s="29">
        <f t="shared" si="307"/>
        <v>0.67169441054430046</v>
      </c>
      <c r="BK51" s="29">
        <f>+Factory!BJ159</f>
        <v>0.68148459383753501</v>
      </c>
      <c r="BL51" s="29">
        <f t="shared" si="308"/>
        <v>0.68148459383753501</v>
      </c>
      <c r="BM51" s="29">
        <f t="shared" si="309"/>
        <v>0.68148459383753501</v>
      </c>
      <c r="BN51" s="29">
        <f t="shared" si="310"/>
        <v>0.68148459383753501</v>
      </c>
      <c r="BQ51" s="29">
        <f>+Factory!BP159</f>
        <v>0.60128701144887486</v>
      </c>
      <c r="BR51" s="29">
        <f t="shared" si="311"/>
        <v>0.60128701144887486</v>
      </c>
      <c r="BS51" s="29">
        <f t="shared" si="312"/>
        <v>0.60128701144887486</v>
      </c>
      <c r="BT51" s="29">
        <f t="shared" si="313"/>
        <v>0.60128701144887486</v>
      </c>
      <c r="BV51" s="29"/>
      <c r="BW51" s="29">
        <f>+Factory!BV159</f>
        <v>0.5650809144618546</v>
      </c>
      <c r="BX51" s="29">
        <f t="shared" si="314"/>
        <v>0.5650809144618546</v>
      </c>
      <c r="BY51" s="29">
        <f t="shared" si="315"/>
        <v>0.5650809144618546</v>
      </c>
      <c r="BZ51" s="29">
        <f t="shared" si="316"/>
        <v>0.5650809144618546</v>
      </c>
    </row>
    <row r="52" spans="1:78" s="16" customFormat="1" x14ac:dyDescent="0.25">
      <c r="BK52" s="65"/>
      <c r="BL52" s="65"/>
    </row>
    <row r="53" spans="1:78" s="16" customFormat="1" x14ac:dyDescent="0.25">
      <c r="B53" s="16" t="s">
        <v>287</v>
      </c>
      <c r="R53" s="46">
        <v>0.1</v>
      </c>
      <c r="S53" s="46">
        <f t="shared" ref="S53:U53" si="319">+R53</f>
        <v>0.1</v>
      </c>
      <c r="T53" s="46">
        <f t="shared" si="319"/>
        <v>0.1</v>
      </c>
      <c r="U53" s="46">
        <f t="shared" si="319"/>
        <v>0.1</v>
      </c>
      <c r="V53" s="46">
        <f>+U53</f>
        <v>0.1</v>
      </c>
      <c r="W53" s="46">
        <f t="shared" ref="W53:AC53" si="320">+V53</f>
        <v>0.1</v>
      </c>
      <c r="X53" s="46">
        <f t="shared" si="320"/>
        <v>0.1</v>
      </c>
      <c r="Y53" s="46">
        <f t="shared" si="320"/>
        <v>0.1</v>
      </c>
      <c r="Z53" s="46">
        <f t="shared" si="320"/>
        <v>0.1</v>
      </c>
      <c r="AA53" s="46">
        <f t="shared" si="320"/>
        <v>0.1</v>
      </c>
      <c r="AB53" s="46">
        <f t="shared" si="320"/>
        <v>0.1</v>
      </c>
      <c r="AC53" s="46">
        <f t="shared" si="320"/>
        <v>0.1</v>
      </c>
      <c r="AE53" s="46">
        <f>+AC53</f>
        <v>0.1</v>
      </c>
      <c r="AF53" s="46">
        <f t="shared" ref="AF53:AP53" si="321">+AE53</f>
        <v>0.1</v>
      </c>
      <c r="AG53" s="46">
        <f t="shared" si="321"/>
        <v>0.1</v>
      </c>
      <c r="AH53" s="46">
        <f t="shared" si="321"/>
        <v>0.1</v>
      </c>
      <c r="AI53" s="46">
        <f t="shared" si="321"/>
        <v>0.1</v>
      </c>
      <c r="AJ53" s="46">
        <f t="shared" si="321"/>
        <v>0.1</v>
      </c>
      <c r="AK53" s="46">
        <f t="shared" si="321"/>
        <v>0.1</v>
      </c>
      <c r="AL53" s="46">
        <f t="shared" si="321"/>
        <v>0.1</v>
      </c>
      <c r="AM53" s="46">
        <f t="shared" si="321"/>
        <v>0.1</v>
      </c>
      <c r="AN53" s="46">
        <f t="shared" si="321"/>
        <v>0.1</v>
      </c>
      <c r="AO53" s="46">
        <f t="shared" si="321"/>
        <v>0.1</v>
      </c>
      <c r="AP53" s="46">
        <f t="shared" si="321"/>
        <v>0.1</v>
      </c>
      <c r="BK53" s="46">
        <f>+AP53</f>
        <v>0.1</v>
      </c>
      <c r="BL53" s="46">
        <f t="shared" ref="BL53" si="322">+BK53</f>
        <v>0.1</v>
      </c>
      <c r="BM53" s="46">
        <f t="shared" ref="BM53" si="323">+BL53</f>
        <v>0.1</v>
      </c>
      <c r="BN53" s="46">
        <f t="shared" ref="BN53" si="324">+BM53</f>
        <v>0.1</v>
      </c>
      <c r="BQ53" s="46">
        <f>+BN53</f>
        <v>0.1</v>
      </c>
      <c r="BR53" s="46">
        <f t="shared" ref="BR53" si="325">+BQ53</f>
        <v>0.1</v>
      </c>
      <c r="BS53" s="46">
        <f t="shared" ref="BS53" si="326">+BR53</f>
        <v>0.1</v>
      </c>
      <c r="BT53" s="46">
        <f t="shared" ref="BT53" si="327">+BS53</f>
        <v>0.1</v>
      </c>
      <c r="BV53" s="46">
        <f>+BT53</f>
        <v>0.1</v>
      </c>
      <c r="BW53" s="46">
        <f t="shared" ref="BW53" si="328">+BV53</f>
        <v>0.1</v>
      </c>
      <c r="BX53" s="46">
        <f t="shared" ref="BX53" si="329">+BW53</f>
        <v>0.1</v>
      </c>
      <c r="BY53" s="46">
        <f t="shared" ref="BY53" si="330">+BX53</f>
        <v>0.1</v>
      </c>
      <c r="BZ53" s="46">
        <f t="shared" ref="BZ53" si="331">+BY53</f>
        <v>0.1</v>
      </c>
    </row>
    <row r="54" spans="1:78" s="16" customFormat="1" x14ac:dyDescent="0.25">
      <c r="B54" s="16" t="s">
        <v>288</v>
      </c>
      <c r="R54" s="17">
        <f t="shared" ref="R54:AC54" si="332">+R17/(1-R53)</f>
        <v>0</v>
      </c>
      <c r="S54" s="17">
        <f t="shared" si="332"/>
        <v>0</v>
      </c>
      <c r="T54" s="17">
        <f t="shared" si="332"/>
        <v>0</v>
      </c>
      <c r="U54" s="17">
        <f t="shared" si="332"/>
        <v>17444.444444444445</v>
      </c>
      <c r="V54" s="17">
        <f t="shared" si="332"/>
        <v>29074.07407407408</v>
      </c>
      <c r="W54" s="17">
        <f t="shared" si="332"/>
        <v>58148.148148148161</v>
      </c>
      <c r="X54" s="17">
        <f t="shared" si="332"/>
        <v>81583.383942161367</v>
      </c>
      <c r="Y54" s="17">
        <f t="shared" si="332"/>
        <v>61204.744546516951</v>
      </c>
      <c r="Z54" s="17">
        <f t="shared" si="332"/>
        <v>72722.401100693722</v>
      </c>
      <c r="AA54" s="17">
        <f t="shared" si="332"/>
        <v>41426.147978821209</v>
      </c>
      <c r="AB54" s="17">
        <f t="shared" si="332"/>
        <v>77579.857678379369</v>
      </c>
      <c r="AC54" s="17">
        <f t="shared" si="332"/>
        <v>75225.951675805423</v>
      </c>
      <c r="AD54" s="17"/>
      <c r="AE54" s="17">
        <f t="shared" ref="AE54:AP54" si="333">+AE17/(1-AE53)</f>
        <v>67324.918333327514</v>
      </c>
      <c r="AF54" s="17">
        <f t="shared" si="333"/>
        <v>71706.093851150625</v>
      </c>
      <c r="AG54" s="17">
        <f t="shared" si="333"/>
        <v>74500.945337588331</v>
      </c>
      <c r="AH54" s="17">
        <f t="shared" si="333"/>
        <v>177625.55555555562</v>
      </c>
      <c r="AI54" s="17">
        <f t="shared" si="333"/>
        <v>177625.55555555556</v>
      </c>
      <c r="AJ54" s="17">
        <f t="shared" si="333"/>
        <v>177625.55555555568</v>
      </c>
      <c r="AK54" s="17">
        <f t="shared" si="333"/>
        <v>201361.11111111118</v>
      </c>
      <c r="AL54" s="17">
        <f t="shared" si="333"/>
        <v>207812.40740740747</v>
      </c>
      <c r="AM54" s="17">
        <f t="shared" si="333"/>
        <v>207812.40740740747</v>
      </c>
      <c r="AN54" s="17">
        <f t="shared" si="333"/>
        <v>196207.40740740742</v>
      </c>
      <c r="AO54" s="17">
        <f t="shared" si="333"/>
        <v>210222.22222222228</v>
      </c>
      <c r="AP54" s="17">
        <f t="shared" si="333"/>
        <v>308504.16666666674</v>
      </c>
      <c r="BK54" s="17">
        <f>+BK17/(1-BK53)</f>
        <v>749836.38888888969</v>
      </c>
      <c r="BL54" s="17">
        <f>+BL17/(1-BL53)</f>
        <v>1271365.1391358031</v>
      </c>
      <c r="BM54" s="17">
        <f>+BM17/(1-BM53)</f>
        <v>1476467.4439506175</v>
      </c>
      <c r="BN54" s="17">
        <f>+BN17/(1-BN53)</f>
        <v>1691789.619395063</v>
      </c>
      <c r="BQ54" s="17">
        <f>+BQ17/(1-BQ53)</f>
        <v>1805555.72885926</v>
      </c>
      <c r="BR54" s="17">
        <f>+BR17/(1-BR53)</f>
        <v>2599113.1909925942</v>
      </c>
      <c r="BS54" s="17">
        <f>+BS17/(1-BS53)</f>
        <v>2764913.0478172861</v>
      </c>
      <c r="BT54" s="17">
        <f>+BT17/(1-BT53)</f>
        <v>3156283.8999212361</v>
      </c>
      <c r="BV54" s="17">
        <f>+BV17/(1-BV53)</f>
        <v>16959939.473628156</v>
      </c>
      <c r="BW54" s="17">
        <f>+BW17/(1-BW53)</f>
        <v>3414395.5322182747</v>
      </c>
      <c r="BX54" s="17">
        <f>+BX17/(1-BX53)</f>
        <v>4126214.7647111122</v>
      </c>
      <c r="BY54" s="17">
        <f>+BY17/(1-BY53)</f>
        <v>4632582.7873654338</v>
      </c>
      <c r="BZ54" s="17">
        <f>+BZ17/(1-BZ53)</f>
        <v>4786746.3893333348</v>
      </c>
    </row>
    <row r="55" spans="1:78" s="16" customFormat="1" x14ac:dyDescent="0.25"/>
    <row r="56" spans="1:78" s="16" customFormat="1" x14ac:dyDescent="0.25">
      <c r="A56" s="19" t="s">
        <v>293</v>
      </c>
      <c r="BK56" s="65"/>
    </row>
    <row r="57" spans="1:78" s="16" customFormat="1" x14ac:dyDescent="0.25">
      <c r="B57" s="16" t="s">
        <v>294</v>
      </c>
      <c r="C57" s="16" t="s">
        <v>300</v>
      </c>
      <c r="R57" s="16">
        <f t="shared" ref="R57:T57" si="334">+R48*R54</f>
        <v>0</v>
      </c>
      <c r="S57" s="16">
        <f t="shared" si="334"/>
        <v>0</v>
      </c>
      <c r="T57" s="16">
        <f t="shared" si="334"/>
        <v>0</v>
      </c>
      <c r="U57" s="16">
        <f>+U48*U54</f>
        <v>21770</v>
      </c>
      <c r="V57" s="16">
        <f t="shared" ref="V57:AC57" si="335">+V48*V54</f>
        <v>36283.333333333343</v>
      </c>
      <c r="W57" s="16">
        <f t="shared" si="335"/>
        <v>72566.666666666686</v>
      </c>
      <c r="X57" s="16">
        <f t="shared" si="335"/>
        <v>101267.55010273977</v>
      </c>
      <c r="Y57" s="16">
        <f t="shared" si="335"/>
        <v>76092.697101051788</v>
      </c>
      <c r="Z57" s="16">
        <f t="shared" si="335"/>
        <v>90495.177089686811</v>
      </c>
      <c r="AA57" s="16">
        <f t="shared" si="335"/>
        <v>51511.886499033004</v>
      </c>
      <c r="AB57" s="16">
        <f t="shared" si="335"/>
        <v>96304.059101595602</v>
      </c>
      <c r="AC57" s="16">
        <f t="shared" si="335"/>
        <v>93473.692159047394</v>
      </c>
      <c r="AE57" s="16">
        <f t="shared" ref="AE57:AP57" si="336">+AE48*AE54</f>
        <v>83651.669149994254</v>
      </c>
      <c r="AF57" s="16">
        <f t="shared" si="336"/>
        <v>88989.032912639115</v>
      </c>
      <c r="AG57" s="16">
        <f t="shared" si="336"/>
        <v>92755.935884212464</v>
      </c>
      <c r="AH57" s="16">
        <f t="shared" si="336"/>
        <v>212795.41555555566</v>
      </c>
      <c r="AI57" s="16">
        <f t="shared" si="336"/>
        <v>212795.41555555561</v>
      </c>
      <c r="AJ57" s="16">
        <f t="shared" si="336"/>
        <v>212795.41555555572</v>
      </c>
      <c r="AK57" s="16">
        <f t="shared" si="336"/>
        <v>241230.61111111124</v>
      </c>
      <c r="AL57" s="16">
        <f>+AL48*AL54</f>
        <v>248959.26407407419</v>
      </c>
      <c r="AM57" s="16">
        <f t="shared" si="336"/>
        <v>248959.26407407419</v>
      </c>
      <c r="AN57" s="16">
        <f t="shared" si="336"/>
        <v>235056.47407407413</v>
      </c>
      <c r="AO57" s="16">
        <f t="shared" si="336"/>
        <v>251846.22222222234</v>
      </c>
      <c r="AP57" s="16">
        <f t="shared" si="336"/>
        <v>369587.99166666681</v>
      </c>
      <c r="BK57" s="16">
        <f t="shared" ref="BK57:BN57" si="337">+BK48*BK54</f>
        <v>898303.99388889002</v>
      </c>
      <c r="BL57" s="16">
        <f t="shared" si="337"/>
        <v>1523095.4366846923</v>
      </c>
      <c r="BM57" s="16">
        <f t="shared" si="337"/>
        <v>1768807.99785284</v>
      </c>
      <c r="BN57" s="16">
        <f t="shared" si="337"/>
        <v>2026763.9640352859</v>
      </c>
      <c r="BQ57" s="16">
        <f t="shared" ref="BQ57:BT57" si="338">+BQ48*BQ54</f>
        <v>2163055.7631733939</v>
      </c>
      <c r="BR57" s="16">
        <f t="shared" si="338"/>
        <v>3113737.6028091284</v>
      </c>
      <c r="BS57" s="16">
        <f t="shared" si="338"/>
        <v>3254302.6572809457</v>
      </c>
      <c r="BT57" s="16">
        <f t="shared" si="338"/>
        <v>3714946.1502072951</v>
      </c>
      <c r="BW57" s="16">
        <f t="shared" ref="BW57:BZ57" si="339">+BW48*BW54</f>
        <v>4018743.5414209096</v>
      </c>
      <c r="BX57" s="16">
        <f t="shared" si="339"/>
        <v>4856554.7780649792</v>
      </c>
      <c r="BY57" s="16">
        <f t="shared" si="339"/>
        <v>5452549.9407291161</v>
      </c>
      <c r="BZ57" s="16">
        <f t="shared" si="339"/>
        <v>5634000.5002453355</v>
      </c>
    </row>
    <row r="58" spans="1:78" s="16" customFormat="1" x14ac:dyDescent="0.25">
      <c r="B58" s="16" t="s">
        <v>295</v>
      </c>
      <c r="C58" s="16" t="s">
        <v>301</v>
      </c>
      <c r="R58" s="16">
        <f t="shared" ref="R58:AC58" si="340">+R17*R50*R49</f>
        <v>0</v>
      </c>
      <c r="S58" s="16">
        <f t="shared" si="340"/>
        <v>0</v>
      </c>
      <c r="T58" s="16">
        <f t="shared" si="340"/>
        <v>0</v>
      </c>
      <c r="U58" s="16">
        <f t="shared" si="340"/>
        <v>18634.267491302668</v>
      </c>
      <c r="V58" s="16">
        <f t="shared" si="340"/>
        <v>31057.112485504444</v>
      </c>
      <c r="W58" s="16">
        <f t="shared" si="340"/>
        <v>62114.224971008887</v>
      </c>
      <c r="X58" s="16">
        <f t="shared" si="340"/>
        <v>87147.89422302504</v>
      </c>
      <c r="Y58" s="16">
        <f t="shared" si="340"/>
        <v>65379.300857005124</v>
      </c>
      <c r="Z58" s="16">
        <f t="shared" si="340"/>
        <v>77682.535493510644</v>
      </c>
      <c r="AA58" s="16">
        <f t="shared" si="340"/>
        <v>44251.677090094112</v>
      </c>
      <c r="AB58" s="16">
        <f t="shared" si="340"/>
        <v>82871.30177863063</v>
      </c>
      <c r="AC58" s="16">
        <f t="shared" si="340"/>
        <v>80356.844282375125</v>
      </c>
      <c r="AE58" s="16">
        <f t="shared" ref="AE58:AP58" si="341">+AE17*AE50*AE49</f>
        <v>73258.067490796355</v>
      </c>
      <c r="AF58" s="16">
        <f t="shared" si="341"/>
        <v>78025.343259103203</v>
      </c>
      <c r="AG58" s="16">
        <f t="shared" si="341"/>
        <v>81066.496874864097</v>
      </c>
      <c r="AH58" s="16">
        <f t="shared" si="341"/>
        <v>17976.385963628767</v>
      </c>
      <c r="AI58" s="16">
        <f t="shared" si="341"/>
        <v>17976.385963628763</v>
      </c>
      <c r="AJ58" s="16">
        <f t="shared" si="341"/>
        <v>17976.385963628771</v>
      </c>
      <c r="AK58" s="16">
        <f t="shared" si="341"/>
        <v>19213.94413670569</v>
      </c>
      <c r="AL58" s="16">
        <f t="shared" si="341"/>
        <v>19550.31100369287</v>
      </c>
      <c r="AM58" s="16">
        <f t="shared" si="341"/>
        <v>19550.31100369287</v>
      </c>
      <c r="AN58" s="16">
        <f t="shared" si="341"/>
        <v>18945.232998885174</v>
      </c>
      <c r="AO58" s="16">
        <f t="shared" si="341"/>
        <v>19675.957357859537</v>
      </c>
      <c r="AP58" s="16">
        <f t="shared" si="341"/>
        <v>24800.321240071076</v>
      </c>
      <c r="BK58" s="16">
        <f>+BK17*BK50*BK49</f>
        <v>65376.668058894276</v>
      </c>
      <c r="BL58" s="16">
        <f>+BL17*BL50*BL49</f>
        <v>92625.291584415114</v>
      </c>
      <c r="BM58" s="16">
        <f>+BM17*BM50*BM49</f>
        <v>103341.39397660259</v>
      </c>
      <c r="BN58" s="16">
        <f>+BN17*BN50*BN49</f>
        <v>114591.46004219158</v>
      </c>
      <c r="BQ58" s="16">
        <f>+BQ17*BQ50*BQ49</f>
        <v>117962.45912666804</v>
      </c>
      <c r="BR58" s="16">
        <f>+BR17*BR50*BR49</f>
        <v>158538.87292736169</v>
      </c>
      <c r="BS58" s="16">
        <f>+BS17*BS50*BS49</f>
        <v>167016.60002292533</v>
      </c>
      <c r="BT58" s="16">
        <f>+BT17*BT50*BT49</f>
        <v>187028.28966391031</v>
      </c>
      <c r="BW58" s="16">
        <f>+BW17*BW50*BW49</f>
        <v>198314.94809160562</v>
      </c>
      <c r="BX58" s="16">
        <f>+BX17*BX50*BX49</f>
        <v>234364.48556794965</v>
      </c>
      <c r="BY58" s="16">
        <f>+BY17*BY50*BY49</f>
        <v>260009.10456141416</v>
      </c>
      <c r="BZ58" s="16">
        <f>+BZ17*BZ50*BZ49</f>
        <v>267816.60159569239</v>
      </c>
    </row>
    <row r="59" spans="1:78" s="16" customFormat="1" x14ac:dyDescent="0.25">
      <c r="B59" s="16" t="s">
        <v>296</v>
      </c>
      <c r="C59" s="16" t="s">
        <v>301</v>
      </c>
      <c r="R59" s="16">
        <f t="shared" ref="R59:T59" si="342">+R58*R51</f>
        <v>0</v>
      </c>
      <c r="S59" s="16">
        <f t="shared" si="342"/>
        <v>0</v>
      </c>
      <c r="T59" s="16">
        <f t="shared" si="342"/>
        <v>0</v>
      </c>
      <c r="U59" s="16">
        <f>+U58*U51</f>
        <v>12266.294799790823</v>
      </c>
      <c r="V59" s="16">
        <f t="shared" ref="V59:AC59" si="343">+V58*V51</f>
        <v>20443.82466631804</v>
      </c>
      <c r="W59" s="16">
        <f t="shared" si="343"/>
        <v>40887.64933263608</v>
      </c>
      <c r="X59" s="16">
        <f t="shared" si="343"/>
        <v>57366.449323513676</v>
      </c>
      <c r="Y59" s="16">
        <f t="shared" si="343"/>
        <v>43036.936036822925</v>
      </c>
      <c r="Z59" s="16">
        <f t="shared" si="343"/>
        <v>51135.730535335511</v>
      </c>
      <c r="AA59" s="16">
        <f t="shared" si="343"/>
        <v>29129.350902877817</v>
      </c>
      <c r="AB59" s="16">
        <f t="shared" si="343"/>
        <v>54551.316199231544</v>
      </c>
      <c r="AC59" s="16">
        <f t="shared" si="343"/>
        <v>52896.135660205277</v>
      </c>
      <c r="AE59" s="16">
        <f t="shared" ref="AE59:AP59" si="344">+AE58*AE51</f>
        <v>49207.03446084504</v>
      </c>
      <c r="AF59" s="16">
        <f t="shared" si="344"/>
        <v>52409.186947940034</v>
      </c>
      <c r="AG59" s="16">
        <f t="shared" si="344"/>
        <v>54451.912833253213</v>
      </c>
      <c r="AH59" s="16">
        <f t="shared" si="344"/>
        <v>12074.637973556461</v>
      </c>
      <c r="AI59" s="16">
        <f t="shared" si="344"/>
        <v>12074.637973556459</v>
      </c>
      <c r="AJ59" s="16">
        <f t="shared" si="344"/>
        <v>12074.637973556464</v>
      </c>
      <c r="AK59" s="16">
        <f t="shared" si="344"/>
        <v>12905.898881135647</v>
      </c>
      <c r="AL59" s="16">
        <f t="shared" si="344"/>
        <v>13131.834625583233</v>
      </c>
      <c r="AM59" s="16">
        <f t="shared" si="344"/>
        <v>13131.834625583233</v>
      </c>
      <c r="AN59" s="16">
        <f t="shared" si="344"/>
        <v>12725.407111810608</v>
      </c>
      <c r="AO59" s="16">
        <f t="shared" si="344"/>
        <v>13216.230579382252</v>
      </c>
      <c r="AP59" s="16">
        <f t="shared" si="344"/>
        <v>16658.237156658837</v>
      </c>
      <c r="BK59" s="16">
        <f t="shared" ref="BK59:BN59" si="345">+BK58*BK51</f>
        <v>44553.192078566914</v>
      </c>
      <c r="BL59" s="16">
        <f t="shared" si="345"/>
        <v>63122.709214488386</v>
      </c>
      <c r="BM59" s="16">
        <f t="shared" si="345"/>
        <v>70425.567900749695</v>
      </c>
      <c r="BN59" s="16">
        <f t="shared" si="345"/>
        <v>78092.314604103056</v>
      </c>
      <c r="BQ59" s="16">
        <f t="shared" ref="BQ59:BT59" si="346">+BQ58*BQ51</f>
        <v>70929.294511434273</v>
      </c>
      <c r="BR59" s="16">
        <f t="shared" si="346"/>
        <v>95327.365100966243</v>
      </c>
      <c r="BS59" s="16">
        <f t="shared" si="346"/>
        <v>100424.91229013685</v>
      </c>
      <c r="BT59" s="16">
        <f t="shared" si="346"/>
        <v>112457.68134840713</v>
      </c>
      <c r="BW59" s="16">
        <f t="shared" ref="BW59:BZ59" si="347">+BW58*BW51</f>
        <v>112063.99221905973</v>
      </c>
      <c r="BX59" s="16">
        <f t="shared" si="347"/>
        <v>132434.89782211912</v>
      </c>
      <c r="BY59" s="16">
        <f t="shared" si="347"/>
        <v>146926.18257397189</v>
      </c>
      <c r="BZ59" s="16">
        <f t="shared" si="347"/>
        <v>151338.05013776006</v>
      </c>
    </row>
    <row r="60" spans="1:78" s="16" customFormat="1" x14ac:dyDescent="0.25">
      <c r="B60" s="16" t="s">
        <v>302</v>
      </c>
      <c r="R60" s="17">
        <f t="shared" ref="R60:T60" si="348">SUM(R57:R59)</f>
        <v>0</v>
      </c>
      <c r="S60" s="17">
        <f t="shared" si="348"/>
        <v>0</v>
      </c>
      <c r="T60" s="17">
        <f t="shared" si="348"/>
        <v>0</v>
      </c>
      <c r="U60" s="17">
        <f>SUM(U57:U59)</f>
        <v>52670.562291093491</v>
      </c>
      <c r="V60" s="17">
        <f t="shared" ref="V60:AC60" si="349">SUM(V57:V59)</f>
        <v>87784.270485155837</v>
      </c>
      <c r="W60" s="17">
        <f t="shared" si="349"/>
        <v>175568.54097031167</v>
      </c>
      <c r="X60" s="17">
        <f t="shared" si="349"/>
        <v>245781.8936492785</v>
      </c>
      <c r="Y60" s="17">
        <f t="shared" si="349"/>
        <v>184508.93399487983</v>
      </c>
      <c r="Z60" s="17">
        <f t="shared" si="349"/>
        <v>219313.44311853297</v>
      </c>
      <c r="AA60" s="17">
        <f t="shared" si="349"/>
        <v>124892.91449200494</v>
      </c>
      <c r="AB60" s="17">
        <f t="shared" si="349"/>
        <v>233726.67707945779</v>
      </c>
      <c r="AC60" s="17">
        <f t="shared" si="349"/>
        <v>226726.6721016278</v>
      </c>
      <c r="AE60" s="17">
        <f t="shared" ref="AE60:AP60" si="350">SUM(AE57:AE59)</f>
        <v>206116.77110163565</v>
      </c>
      <c r="AF60" s="17">
        <f t="shared" si="350"/>
        <v>219423.56311968237</v>
      </c>
      <c r="AG60" s="17">
        <f t="shared" si="350"/>
        <v>228274.34559232977</v>
      </c>
      <c r="AH60" s="17">
        <f t="shared" si="350"/>
        <v>242846.4394927409</v>
      </c>
      <c r="AI60" s="17">
        <f t="shared" si="350"/>
        <v>242846.43949274084</v>
      </c>
      <c r="AJ60" s="17">
        <f t="shared" si="350"/>
        <v>242846.43949274096</v>
      </c>
      <c r="AK60" s="17">
        <f t="shared" si="350"/>
        <v>273350.45412895258</v>
      </c>
      <c r="AL60" s="17">
        <f t="shared" si="350"/>
        <v>281641.40970335033</v>
      </c>
      <c r="AM60" s="17">
        <f t="shared" si="350"/>
        <v>281641.40970335033</v>
      </c>
      <c r="AN60" s="17">
        <f t="shared" si="350"/>
        <v>266727.11418476992</v>
      </c>
      <c r="AO60" s="17">
        <f t="shared" si="350"/>
        <v>284738.41015946417</v>
      </c>
      <c r="AP60" s="17">
        <f t="shared" si="350"/>
        <v>411046.55006339675</v>
      </c>
      <c r="BK60" s="17">
        <f t="shared" ref="BK60:BN60" si="351">SUM(BK57:BK59)</f>
        <v>1008233.8540263511</v>
      </c>
      <c r="BL60" s="17">
        <f t="shared" si="351"/>
        <v>1678843.4374835957</v>
      </c>
      <c r="BM60" s="17">
        <f t="shared" si="351"/>
        <v>1942574.9597301923</v>
      </c>
      <c r="BN60" s="17">
        <f t="shared" si="351"/>
        <v>2219447.7386815804</v>
      </c>
      <c r="BQ60" s="17">
        <f t="shared" ref="BQ60:BT60" si="352">SUM(BQ57:BQ59)</f>
        <v>2351947.5168114961</v>
      </c>
      <c r="BR60" s="17">
        <f t="shared" si="352"/>
        <v>3367603.8408374563</v>
      </c>
      <c r="BS60" s="17">
        <f t="shared" si="352"/>
        <v>3521744.169594008</v>
      </c>
      <c r="BT60" s="17">
        <f t="shared" si="352"/>
        <v>4014432.1212196127</v>
      </c>
      <c r="BW60" s="17">
        <f t="shared" ref="BW60:BZ60" si="353">SUM(BW57:BW59)</f>
        <v>4329122.481731575</v>
      </c>
      <c r="BX60" s="17">
        <f t="shared" si="353"/>
        <v>5223354.1614550482</v>
      </c>
      <c r="BY60" s="17">
        <f t="shared" si="353"/>
        <v>5859485.2278645029</v>
      </c>
      <c r="BZ60" s="17">
        <f t="shared" si="353"/>
        <v>6053155.151978788</v>
      </c>
    </row>
    <row r="61" spans="1:78" s="16" customFormat="1" x14ac:dyDescent="0.25">
      <c r="R61" s="24">
        <f>IF(R17=0,0,+R60/R17)</f>
        <v>0</v>
      </c>
      <c r="S61" s="24">
        <f>IF(S17=0,0,+S60/S17)</f>
        <v>0</v>
      </c>
      <c r="T61" s="24">
        <f>IF(T17=0,0,+T60/T17)</f>
        <v>0</v>
      </c>
      <c r="U61" s="24">
        <f t="shared" ref="U61:AC61" si="354">+U60/U17</f>
        <v>3.3548128847830245</v>
      </c>
      <c r="V61" s="24">
        <f t="shared" si="354"/>
        <v>3.354812884783025</v>
      </c>
      <c r="W61" s="24">
        <f t="shared" si="354"/>
        <v>3.354812884783025</v>
      </c>
      <c r="X61" s="24">
        <f t="shared" si="354"/>
        <v>3.347384966738459</v>
      </c>
      <c r="Y61" s="24">
        <f t="shared" si="354"/>
        <v>3.3495757261949772</v>
      </c>
      <c r="Z61" s="24">
        <f t="shared" si="354"/>
        <v>3.3508465036464821</v>
      </c>
      <c r="AA61" s="24">
        <f t="shared" si="354"/>
        <v>3.3498143506381912</v>
      </c>
      <c r="AB61" s="24">
        <f t="shared" si="354"/>
        <v>3.3474707950958078</v>
      </c>
      <c r="AC61" s="24">
        <f t="shared" si="354"/>
        <v>3.3488246934121224</v>
      </c>
      <c r="AE61" s="24">
        <f t="shared" ref="AE61:AP61" si="355">IF(AE17=0,0,+AE60/AE17)</f>
        <v>3.4016919771591168</v>
      </c>
      <c r="AF61" s="24">
        <f t="shared" si="355"/>
        <v>3.4000451834395542</v>
      </c>
      <c r="AG61" s="24">
        <f t="shared" si="355"/>
        <v>3.4044958841788815</v>
      </c>
      <c r="AH61" s="24">
        <f t="shared" si="355"/>
        <v>1.5190909684713838</v>
      </c>
      <c r="AI61" s="24">
        <f t="shared" si="355"/>
        <v>1.5190909684713838</v>
      </c>
      <c r="AJ61" s="24">
        <f t="shared" si="355"/>
        <v>1.5190909684713836</v>
      </c>
      <c r="AK61" s="24">
        <f t="shared" si="355"/>
        <v>1.5083484846403779</v>
      </c>
      <c r="AL61" s="24">
        <f t="shared" si="355"/>
        <v>1.5058528197351255</v>
      </c>
      <c r="AM61" s="24">
        <f t="shared" si="355"/>
        <v>1.5058528197351255</v>
      </c>
      <c r="AN61" s="24">
        <f t="shared" si="355"/>
        <v>1.5104600999590563</v>
      </c>
      <c r="AO61" s="24">
        <f t="shared" si="355"/>
        <v>1.5049598845637637</v>
      </c>
      <c r="AP61" s="24">
        <f t="shared" si="355"/>
        <v>1.4804285915943749</v>
      </c>
      <c r="BK61" s="24">
        <f>IF(BK17=0,0,+BK60/BK17)</f>
        <v>1.4940056983191519</v>
      </c>
      <c r="BL61" s="24">
        <f>IF(BL17=0,0,+BL60/BL17)</f>
        <v>1.4672272660173522</v>
      </c>
      <c r="BM61" s="24">
        <f>IF(BM17=0,0,+BM60/BM17)</f>
        <v>1.4618789129187375</v>
      </c>
      <c r="BN61" s="24">
        <f>IF(BN17=0,0,+BN60/BN17)</f>
        <v>1.4576594008546557</v>
      </c>
      <c r="BQ61" s="24">
        <f>IF(BQ17=0,0,+BQ60/BQ17)</f>
        <v>1.4473521791157853</v>
      </c>
      <c r="BR61" s="24">
        <f>IF(BR17=0,0,+BR60/BR17)</f>
        <v>1.4396379728063999</v>
      </c>
      <c r="BS61" s="24">
        <f>IF(BS17=0,0,+BS60/BS17)</f>
        <v>1.4152521289650557</v>
      </c>
      <c r="BT61" s="24">
        <f>IF(BT17=0,0,+BT60/BT17)</f>
        <v>1.413206250172796</v>
      </c>
      <c r="BW61" s="24">
        <f>IF(BW17=0,0,+BW60/BW17)</f>
        <v>1.4087811577259759</v>
      </c>
      <c r="BX61" s="24">
        <f>IF(BX17=0,0,+BX60/BX17)</f>
        <v>1.4065498712516724</v>
      </c>
      <c r="BY61" s="24">
        <f>IF(BY17=0,0,+BY60/BY17)</f>
        <v>1.4053799879902926</v>
      </c>
      <c r="BZ61" s="24">
        <f>IF(BZ17=0,0,+BZ60/BZ17)</f>
        <v>1.4050729659775878</v>
      </c>
    </row>
    <row r="62" spans="1:78" s="16" customFormat="1" x14ac:dyDescent="0.25">
      <c r="A62" s="19" t="s">
        <v>653</v>
      </c>
      <c r="R62" s="24"/>
      <c r="S62" s="24"/>
      <c r="T62" s="24"/>
      <c r="U62" s="24"/>
      <c r="V62" s="24"/>
      <c r="W62" s="24"/>
      <c r="X62" s="24"/>
      <c r="Y62" s="24"/>
      <c r="Z62" s="24"/>
      <c r="AA62" s="24"/>
      <c r="AB62" s="24"/>
      <c r="AC62" s="24"/>
      <c r="AE62" s="24"/>
      <c r="AF62" s="24"/>
      <c r="AG62" s="24"/>
      <c r="AH62" s="24"/>
      <c r="AI62" s="24"/>
      <c r="AJ62" s="24"/>
      <c r="AK62" s="24"/>
      <c r="AL62" s="24"/>
      <c r="AM62" s="24"/>
      <c r="AN62" s="24"/>
      <c r="AO62" s="24"/>
      <c r="AP62" s="24"/>
      <c r="BK62" s="24"/>
      <c r="BL62" s="24"/>
      <c r="BM62" s="24"/>
      <c r="BN62" s="24"/>
      <c r="BQ62" s="24"/>
      <c r="BR62" s="24"/>
      <c r="BS62" s="24"/>
      <c r="BT62" s="24"/>
      <c r="BW62" s="24"/>
      <c r="BX62" s="24"/>
      <c r="BY62" s="24"/>
      <c r="BZ62" s="24"/>
    </row>
    <row r="63" spans="1:78" s="16" customFormat="1" x14ac:dyDescent="0.25">
      <c r="B63" s="16" t="s">
        <v>294</v>
      </c>
      <c r="R63" s="24">
        <f>IF(R$17=0,0,+R57/R$17)</f>
        <v>0</v>
      </c>
      <c r="S63" s="24">
        <f t="shared" ref="S63:W63" si="356">IF(S$17=0,0,+S57/S$17)</f>
        <v>0</v>
      </c>
      <c r="T63" s="24">
        <f t="shared" si="356"/>
        <v>0</v>
      </c>
      <c r="U63" s="24">
        <f t="shared" si="356"/>
        <v>1.3866242038216559</v>
      </c>
      <c r="V63" s="24">
        <f t="shared" si="356"/>
        <v>1.3866242038216561</v>
      </c>
      <c r="W63" s="24">
        <f t="shared" si="356"/>
        <v>1.3866242038216561</v>
      </c>
      <c r="X63" s="24">
        <f t="shared" ref="X63:AC63" si="357">+X57/X$17</f>
        <v>1.3791962857770905</v>
      </c>
      <c r="Y63" s="24">
        <f t="shared" si="357"/>
        <v>1.3813870452336088</v>
      </c>
      <c r="Z63" s="24">
        <f t="shared" si="357"/>
        <v>1.3826578226851134</v>
      </c>
      <c r="AA63" s="24">
        <f t="shared" si="357"/>
        <v>1.3816256696768225</v>
      </c>
      <c r="AB63" s="24">
        <f t="shared" si="357"/>
        <v>1.3792821141344391</v>
      </c>
      <c r="AC63" s="24">
        <f t="shared" si="357"/>
        <v>1.3806360124507537</v>
      </c>
      <c r="AE63" s="24">
        <f t="shared" ref="AE63:AH63" si="358">+AE57/AE$17</f>
        <v>1.3805631162502048</v>
      </c>
      <c r="AF63" s="24">
        <f t="shared" si="358"/>
        <v>1.3789163225306418</v>
      </c>
      <c r="AG63" s="24">
        <f t="shared" si="358"/>
        <v>1.3833670232699697</v>
      </c>
      <c r="AH63" s="24">
        <f t="shared" si="358"/>
        <v>1.3311111111111114</v>
      </c>
      <c r="AI63" s="24">
        <f t="shared" ref="AI63:AP63" si="359">+AI57/AI$17</f>
        <v>1.3311111111111114</v>
      </c>
      <c r="AJ63" s="24">
        <f t="shared" si="359"/>
        <v>1.3311111111111111</v>
      </c>
      <c r="AK63" s="24">
        <f t="shared" si="359"/>
        <v>1.3311111111111114</v>
      </c>
      <c r="AL63" s="24">
        <f t="shared" si="359"/>
        <v>1.3311111111111111</v>
      </c>
      <c r="AM63" s="24">
        <f t="shared" si="359"/>
        <v>1.3311111111111111</v>
      </c>
      <c r="AN63" s="24">
        <f t="shared" si="359"/>
        <v>1.3311111111111114</v>
      </c>
      <c r="AO63" s="24">
        <f t="shared" si="359"/>
        <v>1.3311111111111114</v>
      </c>
      <c r="AP63" s="24">
        <f t="shared" si="359"/>
        <v>1.3311111111111114</v>
      </c>
      <c r="BK63" s="24">
        <f t="shared" ref="BK63:BN63" si="360">+BK57/BK$17</f>
        <v>1.3311111111111114</v>
      </c>
      <c r="BL63" s="24">
        <f t="shared" si="360"/>
        <v>1.3311111111111111</v>
      </c>
      <c r="BM63" s="24">
        <f t="shared" si="360"/>
        <v>1.3311111111111111</v>
      </c>
      <c r="BN63" s="24">
        <f t="shared" si="360"/>
        <v>1.3311111111111114</v>
      </c>
      <c r="BQ63" s="24">
        <f t="shared" ref="BQ63:BT63" si="361">+BQ57/BQ$17</f>
        <v>1.3311111111111114</v>
      </c>
      <c r="BR63" s="24">
        <f t="shared" si="361"/>
        <v>1.3311111111111114</v>
      </c>
      <c r="BS63" s="24">
        <f t="shared" si="361"/>
        <v>1.3077777777777777</v>
      </c>
      <c r="BT63" s="24">
        <f t="shared" si="361"/>
        <v>1.3077777777777777</v>
      </c>
      <c r="BW63" s="24">
        <f t="shared" ref="BW63:BZ63" si="362">+BW57/BW$17</f>
        <v>1.3077777777777779</v>
      </c>
      <c r="BX63" s="24">
        <f t="shared" si="362"/>
        <v>1.3077777777777777</v>
      </c>
      <c r="BY63" s="24">
        <f t="shared" si="362"/>
        <v>1.3077777777777779</v>
      </c>
      <c r="BZ63" s="24">
        <f t="shared" si="362"/>
        <v>1.3077777777777779</v>
      </c>
    </row>
    <row r="64" spans="1:78" s="16" customFormat="1" x14ac:dyDescent="0.25">
      <c r="B64" s="16" t="s">
        <v>295</v>
      </c>
      <c r="R64" s="24">
        <f t="shared" ref="R64:W64" si="363">IF(R$17=0,0,+R58/R$17)</f>
        <v>0</v>
      </c>
      <c r="S64" s="24">
        <f t="shared" si="363"/>
        <v>0</v>
      </c>
      <c r="T64" s="24">
        <f t="shared" si="363"/>
        <v>0</v>
      </c>
      <c r="U64" s="24">
        <f t="shared" si="363"/>
        <v>1.1868960185543098</v>
      </c>
      <c r="V64" s="24">
        <f t="shared" si="363"/>
        <v>1.1868960185543098</v>
      </c>
      <c r="W64" s="24">
        <f t="shared" si="363"/>
        <v>1.1868960185543098</v>
      </c>
      <c r="X64" s="24">
        <f t="shared" ref="X64:AC64" si="364">+X58/X$17</f>
        <v>1.1868960185543096</v>
      </c>
      <c r="Y64" s="24">
        <f t="shared" si="364"/>
        <v>1.18689601855431</v>
      </c>
      <c r="Z64" s="24">
        <f t="shared" si="364"/>
        <v>1.1868960185543098</v>
      </c>
      <c r="AA64" s="24">
        <f t="shared" si="364"/>
        <v>1.1868960185543098</v>
      </c>
      <c r="AB64" s="24">
        <f t="shared" si="364"/>
        <v>1.1868960185543098</v>
      </c>
      <c r="AC64" s="24">
        <f t="shared" si="364"/>
        <v>1.1868960185543096</v>
      </c>
      <c r="AE64" s="24">
        <f t="shared" ref="AE64:AH64" si="365">+AE58/AE$17</f>
        <v>1.2090301003344484</v>
      </c>
      <c r="AF64" s="24">
        <f t="shared" si="365"/>
        <v>1.2090301003344484</v>
      </c>
      <c r="AG64" s="24">
        <f t="shared" si="365"/>
        <v>1.2090301003344484</v>
      </c>
      <c r="AH64" s="24">
        <f t="shared" si="365"/>
        <v>0.11244869646903136</v>
      </c>
      <c r="AI64" s="24">
        <f t="shared" ref="AI64:AP64" si="366">+AI58/AI$17</f>
        <v>0.11244869646903138</v>
      </c>
      <c r="AJ64" s="24">
        <f t="shared" si="366"/>
        <v>0.11244869646903134</v>
      </c>
      <c r="AK64" s="24">
        <f t="shared" si="366"/>
        <v>0.10602259145650812</v>
      </c>
      <c r="AL64" s="24">
        <f t="shared" si="366"/>
        <v>0.10452969605079829</v>
      </c>
      <c r="AM64" s="24">
        <f t="shared" si="366"/>
        <v>0.10452969605079829</v>
      </c>
      <c r="AN64" s="24">
        <f t="shared" si="366"/>
        <v>0.10728575014469857</v>
      </c>
      <c r="AO64" s="24">
        <f t="shared" si="366"/>
        <v>0.10399554628889816</v>
      </c>
      <c r="AP64" s="24">
        <f t="shared" si="366"/>
        <v>8.9321038307860312E-2</v>
      </c>
      <c r="BK64" s="24">
        <f t="shared" ref="BK64:BN64" si="367">+BK58/BK$17</f>
        <v>9.6875456251595937E-2</v>
      </c>
      <c r="BL64" s="24">
        <f t="shared" si="367"/>
        <v>8.0949986342481309E-2</v>
      </c>
      <c r="BM64" s="24">
        <f t="shared" si="367"/>
        <v>7.7769253602962898E-2</v>
      </c>
      <c r="BN64" s="24">
        <f t="shared" si="367"/>
        <v>7.5259856799955685E-2</v>
      </c>
      <c r="BQ64" s="24">
        <f t="shared" ref="BQ64:BT64" si="368">+BQ58/BQ$17</f>
        <v>7.2592275571820797E-2</v>
      </c>
      <c r="BR64" s="24">
        <f t="shared" si="368"/>
        <v>6.7774771742569337E-2</v>
      </c>
      <c r="BS64" s="24">
        <f t="shared" si="368"/>
        <v>6.7117481387695299E-2</v>
      </c>
      <c r="BT64" s="24">
        <f t="shared" si="368"/>
        <v>6.5839834858601884E-2</v>
      </c>
      <c r="BW64" s="24">
        <f>+BW58/BW$17</f>
        <v>6.4535564273319163E-2</v>
      </c>
      <c r="BX64" s="24">
        <f t="shared" ref="BX64:BZ64" si="369">+BX58/BX$17</f>
        <v>6.3109895827882387E-2</v>
      </c>
      <c r="BY64" s="24">
        <f t="shared" si="369"/>
        <v>6.2362405234539987E-2</v>
      </c>
      <c r="BZ64" s="24">
        <f t="shared" si="369"/>
        <v>6.2166235177217241E-2</v>
      </c>
    </row>
    <row r="65" spans="1:78" s="16" customFormat="1" x14ac:dyDescent="0.25">
      <c r="B65" s="16" t="s">
        <v>296</v>
      </c>
      <c r="R65" s="24">
        <f t="shared" ref="R65:W65" si="370">IF(R$17=0,0,+R59/R$17)</f>
        <v>0</v>
      </c>
      <c r="S65" s="24">
        <f t="shared" si="370"/>
        <v>0</v>
      </c>
      <c r="T65" s="24">
        <f t="shared" si="370"/>
        <v>0</v>
      </c>
      <c r="U65" s="24">
        <f t="shared" si="370"/>
        <v>0.78129266240705875</v>
      </c>
      <c r="V65" s="24">
        <f t="shared" si="370"/>
        <v>0.78129266240705875</v>
      </c>
      <c r="W65" s="24">
        <f t="shared" si="370"/>
        <v>0.78129266240705875</v>
      </c>
      <c r="X65" s="24">
        <f t="shared" ref="X65:AC65" si="371">+X59/X$17</f>
        <v>0.78129266240705852</v>
      </c>
      <c r="Y65" s="24">
        <f t="shared" si="371"/>
        <v>0.78129266240705875</v>
      </c>
      <c r="Z65" s="24">
        <f t="shared" si="371"/>
        <v>0.78129266240705864</v>
      </c>
      <c r="AA65" s="24">
        <f t="shared" si="371"/>
        <v>0.78129266240705875</v>
      </c>
      <c r="AB65" s="24">
        <f t="shared" si="371"/>
        <v>0.78129266240705875</v>
      </c>
      <c r="AC65" s="24">
        <f t="shared" si="371"/>
        <v>0.78129266240705864</v>
      </c>
      <c r="AE65" s="24">
        <f t="shared" ref="AE65:AH65" si="372">+AE59/AE$17</f>
        <v>0.81209876057446373</v>
      </c>
      <c r="AF65" s="24">
        <f t="shared" si="372"/>
        <v>0.81209876057446373</v>
      </c>
      <c r="AG65" s="24">
        <f t="shared" si="372"/>
        <v>0.81209876057446362</v>
      </c>
      <c r="AH65" s="24">
        <f t="shared" si="372"/>
        <v>7.553116089124097E-2</v>
      </c>
      <c r="AI65" s="24">
        <f t="shared" ref="AI65:AP65" si="373">+AI59/AI$17</f>
        <v>7.5531160891240998E-2</v>
      </c>
      <c r="AJ65" s="24">
        <f t="shared" si="373"/>
        <v>7.553116089124097E-2</v>
      </c>
      <c r="AK65" s="24">
        <f t="shared" si="373"/>
        <v>7.1214782072758415E-2</v>
      </c>
      <c r="AL65" s="24">
        <f t="shared" si="373"/>
        <v>7.021201257321584E-2</v>
      </c>
      <c r="AM65" s="24">
        <f t="shared" si="373"/>
        <v>7.021201257321584E-2</v>
      </c>
      <c r="AN65" s="24">
        <f t="shared" si="373"/>
        <v>7.2063238703246407E-2</v>
      </c>
      <c r="AO65" s="24">
        <f t="shared" si="373"/>
        <v>6.9853227163753959E-2</v>
      </c>
      <c r="AP65" s="24">
        <f t="shared" si="373"/>
        <v>5.999644217540312E-2</v>
      </c>
      <c r="BK65" s="24">
        <f t="shared" ref="BK65:BN65" si="374">+BK59/BK$17</f>
        <v>6.6019130956444752E-2</v>
      </c>
      <c r="BL65" s="24">
        <f t="shared" si="374"/>
        <v>5.5166168563759888E-2</v>
      </c>
      <c r="BM65" s="24">
        <f t="shared" si="374"/>
        <v>5.2998548204663425E-2</v>
      </c>
      <c r="BN65" s="24">
        <f t="shared" si="374"/>
        <v>5.1288432943588848E-2</v>
      </c>
      <c r="BQ65" s="24">
        <f t="shared" ref="BQ65:BT65" si="375">+BQ59/BQ$17</f>
        <v>4.3648792432853287E-2</v>
      </c>
      <c r="BR65" s="24">
        <f t="shared" si="375"/>
        <v>4.0752089952719173E-2</v>
      </c>
      <c r="BS65" s="24">
        <f t="shared" si="375"/>
        <v>4.0356869799582785E-2</v>
      </c>
      <c r="BT65" s="24">
        <f t="shared" si="375"/>
        <v>3.9588637536416185E-2</v>
      </c>
      <c r="BW65" s="24">
        <f t="shared" ref="BW65:BZ65" si="376">+BW59/BW$17</f>
        <v>3.646781567487898E-2</v>
      </c>
      <c r="BX65" s="24">
        <f t="shared" si="376"/>
        <v>3.566219764601216E-2</v>
      </c>
      <c r="BY65" s="24">
        <f t="shared" si="376"/>
        <v>3.5239804977974604E-2</v>
      </c>
      <c r="BZ65" s="24">
        <f t="shared" si="376"/>
        <v>3.5128953022592634E-2</v>
      </c>
    </row>
    <row r="66" spans="1:78" s="16" customFormat="1" x14ac:dyDescent="0.25">
      <c r="B66" s="16" t="s">
        <v>306</v>
      </c>
      <c r="R66" s="30">
        <f t="shared" ref="R66:T66" si="377">SUM(R63:R65)</f>
        <v>0</v>
      </c>
      <c r="S66" s="30">
        <f t="shared" si="377"/>
        <v>0</v>
      </c>
      <c r="T66" s="30">
        <f t="shared" si="377"/>
        <v>0</v>
      </c>
      <c r="U66" s="30">
        <f>SUM(U63:U65)</f>
        <v>3.3548128847830245</v>
      </c>
      <c r="V66" s="30">
        <f t="shared" ref="V66:AC66" si="378">SUM(V63:V65)</f>
        <v>3.3548128847830245</v>
      </c>
      <c r="W66" s="30">
        <f t="shared" si="378"/>
        <v>3.3548128847830245</v>
      </c>
      <c r="X66" s="30">
        <f t="shared" si="378"/>
        <v>3.347384966738459</v>
      </c>
      <c r="Y66" s="30">
        <f t="shared" si="378"/>
        <v>3.3495757261949777</v>
      </c>
      <c r="Z66" s="30">
        <f t="shared" si="378"/>
        <v>3.3508465036464816</v>
      </c>
      <c r="AA66" s="30">
        <f t="shared" si="378"/>
        <v>3.3498143506381908</v>
      </c>
      <c r="AB66" s="30">
        <f t="shared" si="378"/>
        <v>3.3474707950958074</v>
      </c>
      <c r="AC66" s="30">
        <f t="shared" si="378"/>
        <v>3.348824693412122</v>
      </c>
      <c r="AE66" s="30">
        <f t="shared" ref="AE66" si="379">SUM(AE63:AE65)</f>
        <v>3.4016919771591168</v>
      </c>
      <c r="AF66" s="30">
        <f t="shared" ref="AF66" si="380">SUM(AF63:AF65)</f>
        <v>3.4000451834395538</v>
      </c>
      <c r="AG66" s="30">
        <f t="shared" ref="AG66" si="381">SUM(AG63:AG65)</f>
        <v>3.4044958841788819</v>
      </c>
      <c r="AH66" s="30">
        <f t="shared" ref="AH66:AP66" si="382">SUM(AH63:AH65)</f>
        <v>1.5190909684713838</v>
      </c>
      <c r="AI66" s="30">
        <f t="shared" si="382"/>
        <v>1.5190909684713838</v>
      </c>
      <c r="AJ66" s="30">
        <f t="shared" si="382"/>
        <v>1.5190909684713836</v>
      </c>
      <c r="AK66" s="30">
        <f t="shared" si="382"/>
        <v>1.5083484846403779</v>
      </c>
      <c r="AL66" s="30">
        <f t="shared" si="382"/>
        <v>1.5058528197351251</v>
      </c>
      <c r="AM66" s="30">
        <f t="shared" si="382"/>
        <v>1.5058528197351251</v>
      </c>
      <c r="AN66" s="30">
        <f t="shared" si="382"/>
        <v>1.5104600999590565</v>
      </c>
      <c r="AO66" s="30">
        <f t="shared" si="382"/>
        <v>1.5049598845637635</v>
      </c>
      <c r="AP66" s="30">
        <f t="shared" si="382"/>
        <v>1.4804285915943749</v>
      </c>
      <c r="BK66" s="30">
        <f t="shared" ref="BK66:BN66" si="383">SUM(BK63:BK65)</f>
        <v>1.4940056983191521</v>
      </c>
      <c r="BL66" s="30">
        <f t="shared" si="383"/>
        <v>1.4672272660173524</v>
      </c>
      <c r="BM66" s="30">
        <f t="shared" si="383"/>
        <v>1.4618789129187373</v>
      </c>
      <c r="BN66" s="30">
        <f t="shared" si="383"/>
        <v>1.4576594008546557</v>
      </c>
      <c r="BQ66" s="30">
        <f t="shared" ref="BQ66:BT66" si="384">SUM(BQ63:BQ65)</f>
        <v>1.4473521791157853</v>
      </c>
      <c r="BR66" s="30">
        <f t="shared" si="384"/>
        <v>1.4396379728063999</v>
      </c>
      <c r="BS66" s="30">
        <f t="shared" si="384"/>
        <v>1.4152521289650559</v>
      </c>
      <c r="BT66" s="30">
        <f t="shared" si="384"/>
        <v>1.4132062501727958</v>
      </c>
      <c r="BW66" s="30">
        <f t="shared" ref="BW66:BZ66" si="385">SUM(BW63:BW65)</f>
        <v>1.4087811577259761</v>
      </c>
      <c r="BX66" s="30">
        <f t="shared" si="385"/>
        <v>1.4065498712516722</v>
      </c>
      <c r="BY66" s="30">
        <f t="shared" si="385"/>
        <v>1.4053799879902924</v>
      </c>
      <c r="BZ66" s="30">
        <f t="shared" si="385"/>
        <v>1.4050729659775878</v>
      </c>
    </row>
    <row r="67" spans="1:78" s="16" customFormat="1" x14ac:dyDescent="0.25"/>
    <row r="68" spans="1:78" s="16" customFormat="1" x14ac:dyDescent="0.25">
      <c r="A68" s="19" t="s">
        <v>305</v>
      </c>
    </row>
    <row r="69" spans="1:78" s="16" customFormat="1" x14ac:dyDescent="0.25">
      <c r="B69" s="19" t="s">
        <v>303</v>
      </c>
    </row>
    <row r="70" spans="1:78" s="16" customFormat="1" x14ac:dyDescent="0.25">
      <c r="B70" s="23" t="s">
        <v>271</v>
      </c>
      <c r="E70" s="16">
        <f t="shared" ref="E70:P70" si="386">+D74</f>
        <v>0</v>
      </c>
      <c r="F70" s="16">
        <f t="shared" si="386"/>
        <v>0</v>
      </c>
      <c r="G70" s="16">
        <f t="shared" si="386"/>
        <v>0</v>
      </c>
      <c r="H70" s="16">
        <f t="shared" si="386"/>
        <v>0</v>
      </c>
      <c r="I70" s="16">
        <f t="shared" si="386"/>
        <v>0</v>
      </c>
      <c r="J70" s="16">
        <f t="shared" si="386"/>
        <v>0</v>
      </c>
      <c r="K70" s="16">
        <f t="shared" si="386"/>
        <v>0</v>
      </c>
      <c r="L70" s="16">
        <f t="shared" si="386"/>
        <v>0</v>
      </c>
      <c r="M70" s="16">
        <f t="shared" si="386"/>
        <v>0</v>
      </c>
      <c r="N70" s="16">
        <f t="shared" si="386"/>
        <v>0</v>
      </c>
      <c r="O70" s="16">
        <f t="shared" si="386"/>
        <v>0</v>
      </c>
      <c r="P70" s="16">
        <f t="shared" si="386"/>
        <v>0</v>
      </c>
      <c r="R70" s="16">
        <f>+P74</f>
        <v>0</v>
      </c>
      <c r="S70" s="16">
        <f t="shared" ref="S70:T70" si="387">+R74</f>
        <v>0</v>
      </c>
      <c r="T70" s="16">
        <f t="shared" si="387"/>
        <v>0</v>
      </c>
      <c r="U70" s="16">
        <f>+T74</f>
        <v>21770</v>
      </c>
      <c r="V70" s="16">
        <f t="shared" ref="V70:AC70" si="388">+U74</f>
        <v>36283.333333333343</v>
      </c>
      <c r="W70" s="16">
        <f t="shared" si="388"/>
        <v>72566.666666666686</v>
      </c>
      <c r="X70" s="16">
        <f t="shared" si="388"/>
        <v>101267.55010273977</v>
      </c>
      <c r="Y70" s="16">
        <f t="shared" si="388"/>
        <v>76092.697101051788</v>
      </c>
      <c r="Z70" s="16">
        <f t="shared" si="388"/>
        <v>90495.177089686811</v>
      </c>
      <c r="AA70" s="16">
        <f t="shared" si="388"/>
        <v>51511.886499033004</v>
      </c>
      <c r="AB70" s="16">
        <f t="shared" si="388"/>
        <v>96304.059101595602</v>
      </c>
      <c r="AC70" s="16">
        <f t="shared" si="388"/>
        <v>93473.692159047394</v>
      </c>
      <c r="AE70" s="16">
        <f>+AC74</f>
        <v>83651.669149994254</v>
      </c>
      <c r="AF70" s="16">
        <f t="shared" ref="AF70:AP70" si="389">+AE74</f>
        <v>88989.032912639115</v>
      </c>
      <c r="AG70" s="16">
        <f t="shared" si="389"/>
        <v>92755.935884212464</v>
      </c>
      <c r="AH70" s="16">
        <f t="shared" si="389"/>
        <v>0</v>
      </c>
      <c r="AI70" s="16">
        <f t="shared" si="389"/>
        <v>0</v>
      </c>
      <c r="AJ70" s="16">
        <f t="shared" si="389"/>
        <v>0</v>
      </c>
      <c r="AK70" s="16">
        <f t="shared" si="389"/>
        <v>0</v>
      </c>
      <c r="AL70" s="16">
        <f t="shared" si="389"/>
        <v>0</v>
      </c>
      <c r="AM70" s="16">
        <f t="shared" si="389"/>
        <v>0</v>
      </c>
      <c r="AN70" s="16">
        <f t="shared" si="389"/>
        <v>0</v>
      </c>
      <c r="AO70" s="16">
        <f t="shared" si="389"/>
        <v>0</v>
      </c>
      <c r="AP70" s="16">
        <f t="shared" si="389"/>
        <v>0</v>
      </c>
      <c r="AR70" s="16">
        <f>+E70</f>
        <v>0</v>
      </c>
      <c r="AS70" s="16">
        <f>+AR74</f>
        <v>0</v>
      </c>
      <c r="AT70" s="16">
        <f t="shared" ref="AT70:AV70" si="390">+AS74</f>
        <v>0</v>
      </c>
      <c r="AU70" s="16">
        <f t="shared" si="390"/>
        <v>0</v>
      </c>
      <c r="AV70" s="16">
        <f t="shared" si="390"/>
        <v>0</v>
      </c>
      <c r="AX70" s="16">
        <f>+AV74</f>
        <v>0</v>
      </c>
      <c r="AY70" s="16">
        <f>+R70</f>
        <v>0</v>
      </c>
      <c r="AZ70" s="16">
        <f t="shared" ref="AZ70:BB70" si="391">+AY74</f>
        <v>21770</v>
      </c>
      <c r="BA70" s="16">
        <f t="shared" si="391"/>
        <v>101267.55010273977</v>
      </c>
      <c r="BB70" s="16">
        <f t="shared" si="391"/>
        <v>51511.886499033018</v>
      </c>
      <c r="BD70" s="16">
        <f>+BB74</f>
        <v>83651.669149994268</v>
      </c>
      <c r="BE70" s="16">
        <f>+AE70</f>
        <v>83651.669149994254</v>
      </c>
      <c r="BF70" s="16">
        <f t="shared" ref="BF70:BH70" si="392">+BE74</f>
        <v>0</v>
      </c>
      <c r="BG70" s="16">
        <f t="shared" si="392"/>
        <v>0</v>
      </c>
      <c r="BH70" s="16">
        <f t="shared" si="392"/>
        <v>0</v>
      </c>
      <c r="BJ70" s="16">
        <f>+BK70</f>
        <v>0</v>
      </c>
      <c r="BK70" s="16">
        <f>+BH74</f>
        <v>0</v>
      </c>
      <c r="BL70" s="16">
        <f>+BK74</f>
        <v>0</v>
      </c>
      <c r="BM70" s="16">
        <f>+BL74</f>
        <v>0</v>
      </c>
      <c r="BN70" s="16">
        <f t="shared" ref="BN70" si="393">+BK74</f>
        <v>0</v>
      </c>
      <c r="BP70" s="16">
        <f>+BQ70</f>
        <v>0</v>
      </c>
      <c r="BQ70" s="16">
        <f>+BN74</f>
        <v>0</v>
      </c>
      <c r="BR70" s="16">
        <f>+BQ74</f>
        <v>0</v>
      </c>
      <c r="BS70" s="16">
        <f>+BR74</f>
        <v>0</v>
      </c>
      <c r="BT70" s="16">
        <f t="shared" ref="BT70" si="394">+BQ74</f>
        <v>0</v>
      </c>
      <c r="BV70" s="16">
        <f>+BW70</f>
        <v>0</v>
      </c>
      <c r="BW70" s="16">
        <f>+BT74</f>
        <v>0</v>
      </c>
      <c r="BX70" s="16">
        <f>+BW74</f>
        <v>0</v>
      </c>
      <c r="BY70" s="16">
        <f>+BX74</f>
        <v>0</v>
      </c>
      <c r="BZ70" s="16">
        <f t="shared" ref="BZ70" si="395">+BW74</f>
        <v>0</v>
      </c>
    </row>
    <row r="71" spans="1:78" s="16" customFormat="1" x14ac:dyDescent="0.25">
      <c r="B71" s="23" t="s">
        <v>283</v>
      </c>
      <c r="E71" s="16">
        <f t="shared" ref="E71" si="396">+E72-E70</f>
        <v>0</v>
      </c>
      <c r="F71" s="16">
        <f t="shared" ref="F71" si="397">+F72-F70</f>
        <v>0</v>
      </c>
      <c r="G71" s="16">
        <f t="shared" ref="G71" si="398">+G72-G70</f>
        <v>0</v>
      </c>
      <c r="H71" s="16">
        <f t="shared" ref="H71" si="399">+H72-H70</f>
        <v>0</v>
      </c>
      <c r="I71" s="16">
        <f t="shared" ref="I71" si="400">+I72-I70</f>
        <v>0</v>
      </c>
      <c r="J71" s="16">
        <f t="shared" ref="J71" si="401">+J72-J70</f>
        <v>0</v>
      </c>
      <c r="K71" s="16">
        <f t="shared" ref="K71" si="402">+K72-K70</f>
        <v>0</v>
      </c>
      <c r="L71" s="16">
        <f t="shared" ref="L71" si="403">+L72-L70</f>
        <v>0</v>
      </c>
      <c r="M71" s="16">
        <f t="shared" ref="M71" si="404">+M72-M70</f>
        <v>0</v>
      </c>
      <c r="N71" s="16">
        <f t="shared" ref="N71" si="405">+N72-N70</f>
        <v>0</v>
      </c>
      <c r="O71" s="16">
        <f t="shared" ref="O71" si="406">+O72-O70</f>
        <v>0</v>
      </c>
      <c r="P71" s="16">
        <f t="shared" ref="P71" si="407">+P72-P70</f>
        <v>0</v>
      </c>
      <c r="R71" s="16">
        <f t="shared" ref="R71:T71" si="408">+R72-R70</f>
        <v>0</v>
      </c>
      <c r="S71" s="16">
        <f t="shared" si="408"/>
        <v>0</v>
      </c>
      <c r="T71" s="16">
        <f t="shared" si="408"/>
        <v>21770</v>
      </c>
      <c r="U71" s="16">
        <f>+U72-U70</f>
        <v>36283.333333333343</v>
      </c>
      <c r="V71" s="16">
        <f t="shared" ref="V71:AC71" si="409">+V72-V70</f>
        <v>72566.666666666686</v>
      </c>
      <c r="W71" s="16">
        <f t="shared" si="409"/>
        <v>101267.55010273977</v>
      </c>
      <c r="X71" s="16">
        <f t="shared" si="409"/>
        <v>76092.697101051803</v>
      </c>
      <c r="Y71" s="16">
        <f t="shared" si="409"/>
        <v>90495.177089686811</v>
      </c>
      <c r="Z71" s="16">
        <f t="shared" si="409"/>
        <v>51511.886499033004</v>
      </c>
      <c r="AA71" s="16">
        <f t="shared" si="409"/>
        <v>96304.059101595616</v>
      </c>
      <c r="AB71" s="16">
        <f t="shared" si="409"/>
        <v>93473.692159047408</v>
      </c>
      <c r="AC71" s="16">
        <f t="shared" si="409"/>
        <v>83651.669149994254</v>
      </c>
      <c r="AE71" s="16">
        <f t="shared" ref="AE71:AP71" si="410">+AE72-AE70</f>
        <v>88989.032912639101</v>
      </c>
      <c r="AF71" s="16">
        <f t="shared" si="410"/>
        <v>92755.935884212464</v>
      </c>
      <c r="AG71" s="16">
        <f t="shared" si="410"/>
        <v>0</v>
      </c>
      <c r="AH71" s="16">
        <f t="shared" si="410"/>
        <v>0</v>
      </c>
      <c r="AI71" s="16">
        <f t="shared" si="410"/>
        <v>0</v>
      </c>
      <c r="AJ71" s="16">
        <f t="shared" si="410"/>
        <v>0</v>
      </c>
      <c r="AK71" s="16">
        <f t="shared" si="410"/>
        <v>0</v>
      </c>
      <c r="AL71" s="16">
        <f t="shared" si="410"/>
        <v>0</v>
      </c>
      <c r="AM71" s="16">
        <f t="shared" si="410"/>
        <v>0</v>
      </c>
      <c r="AN71" s="16">
        <f t="shared" si="410"/>
        <v>0</v>
      </c>
      <c r="AO71" s="16">
        <f t="shared" si="410"/>
        <v>0</v>
      </c>
      <c r="AP71" s="16">
        <f t="shared" si="410"/>
        <v>0</v>
      </c>
      <c r="AR71" s="16">
        <f>SUM(E71:P71)</f>
        <v>0</v>
      </c>
      <c r="AS71" s="16">
        <f>SUM(E71:G71)</f>
        <v>0</v>
      </c>
      <c r="AT71" s="16">
        <f>SUM(H71:J71)</f>
        <v>0</v>
      </c>
      <c r="AU71" s="16">
        <f>SUM(K71:M71)</f>
        <v>0</v>
      </c>
      <c r="AV71" s="16">
        <f>SUM(N71:P71)</f>
        <v>0</v>
      </c>
      <c r="AX71" s="16">
        <f>SUM(R71:AC71)</f>
        <v>723416.73120314872</v>
      </c>
      <c r="AY71" s="16">
        <f>SUM(R71:T71)</f>
        <v>21770</v>
      </c>
      <c r="AZ71" s="16">
        <f>SUM(U71:W71)</f>
        <v>210117.5501027398</v>
      </c>
      <c r="BA71" s="16">
        <f>SUM(X71:Z71)</f>
        <v>218099.76068977162</v>
      </c>
      <c r="BB71" s="16">
        <f>SUM(AA71:AC71)</f>
        <v>273429.42041063728</v>
      </c>
      <c r="BD71" s="16">
        <f>SUM(AE71:AP71)</f>
        <v>181744.96879685158</v>
      </c>
      <c r="BE71" s="16">
        <f>SUM(AE71:AG71)</f>
        <v>181744.96879685158</v>
      </c>
      <c r="BF71" s="16">
        <f>SUM(AH71:AJ71)</f>
        <v>0</v>
      </c>
      <c r="BG71" s="16">
        <f>SUM(AK71:AM71)</f>
        <v>0</v>
      </c>
      <c r="BH71" s="16">
        <f>SUM(AN71:AP71)</f>
        <v>0</v>
      </c>
      <c r="BJ71" s="16">
        <f>SUM(BK71:BN71)</f>
        <v>0</v>
      </c>
      <c r="BK71" s="16">
        <f t="shared" ref="BK71:BN71" si="411">+BK72-BK70</f>
        <v>0</v>
      </c>
      <c r="BL71" s="16">
        <f t="shared" si="411"/>
        <v>0</v>
      </c>
      <c r="BM71" s="16">
        <f t="shared" si="411"/>
        <v>0</v>
      </c>
      <c r="BN71" s="16">
        <f t="shared" si="411"/>
        <v>0</v>
      </c>
      <c r="BP71" s="16">
        <f>SUM(BQ71:BT71)</f>
        <v>0</v>
      </c>
      <c r="BQ71" s="16">
        <f t="shared" ref="BQ71:BT71" si="412">+BQ72-BQ70</f>
        <v>0</v>
      </c>
      <c r="BR71" s="16">
        <f t="shared" si="412"/>
        <v>0</v>
      </c>
      <c r="BS71" s="16">
        <f t="shared" si="412"/>
        <v>0</v>
      </c>
      <c r="BT71" s="16">
        <f t="shared" si="412"/>
        <v>0</v>
      </c>
      <c r="BV71" s="16">
        <f>SUM(BW71:BZ71)</f>
        <v>0</v>
      </c>
      <c r="BW71" s="16">
        <f t="shared" ref="BW71:BZ71" si="413">+BW72-BW70</f>
        <v>0</v>
      </c>
      <c r="BX71" s="16">
        <f t="shared" si="413"/>
        <v>0</v>
      </c>
      <c r="BY71" s="16">
        <f t="shared" si="413"/>
        <v>0</v>
      </c>
      <c r="BZ71" s="16">
        <f t="shared" si="413"/>
        <v>0</v>
      </c>
    </row>
    <row r="72" spans="1:78" s="16" customFormat="1" x14ac:dyDescent="0.25">
      <c r="B72" s="23" t="s">
        <v>279</v>
      </c>
      <c r="E72" s="18">
        <f t="shared" ref="E72" si="414">+E73+E74</f>
        <v>0</v>
      </c>
      <c r="F72" s="18">
        <f t="shared" ref="F72" si="415">+F73+F74</f>
        <v>0</v>
      </c>
      <c r="G72" s="18">
        <f t="shared" ref="G72" si="416">+G73+G74</f>
        <v>0</v>
      </c>
      <c r="H72" s="18">
        <f t="shared" ref="H72" si="417">+H73+H74</f>
        <v>0</v>
      </c>
      <c r="I72" s="18">
        <f t="shared" ref="I72" si="418">+I73+I74</f>
        <v>0</v>
      </c>
      <c r="J72" s="18">
        <f t="shared" ref="J72" si="419">+J73+J74</f>
        <v>0</v>
      </c>
      <c r="K72" s="18">
        <f t="shared" ref="K72" si="420">+K73+K74</f>
        <v>0</v>
      </c>
      <c r="L72" s="18">
        <f t="shared" ref="L72" si="421">+L73+L74</f>
        <v>0</v>
      </c>
      <c r="M72" s="18">
        <f t="shared" ref="M72" si="422">+M73+M74</f>
        <v>0</v>
      </c>
      <c r="N72" s="18">
        <f t="shared" ref="N72" si="423">+N73+N74</f>
        <v>0</v>
      </c>
      <c r="O72" s="18">
        <f t="shared" ref="O72" si="424">+O73+O74</f>
        <v>0</v>
      </c>
      <c r="P72" s="18">
        <f t="shared" ref="P72" si="425">+P73+P74</f>
        <v>0</v>
      </c>
      <c r="R72" s="18">
        <f t="shared" ref="R72:T72" si="426">+R73+R74</f>
        <v>0</v>
      </c>
      <c r="S72" s="18">
        <f t="shared" si="426"/>
        <v>0</v>
      </c>
      <c r="T72" s="18">
        <f t="shared" si="426"/>
        <v>21770</v>
      </c>
      <c r="U72" s="18">
        <f>+U73+U74</f>
        <v>58053.333333333343</v>
      </c>
      <c r="V72" s="18">
        <f t="shared" ref="V72:AC72" si="427">+V73+V74</f>
        <v>108850.00000000003</v>
      </c>
      <c r="W72" s="18">
        <f t="shared" si="427"/>
        <v>173834.21676940646</v>
      </c>
      <c r="X72" s="18">
        <f t="shared" si="427"/>
        <v>177360.24720379157</v>
      </c>
      <c r="Y72" s="18">
        <f t="shared" si="427"/>
        <v>166587.8741907386</v>
      </c>
      <c r="Z72" s="18">
        <f t="shared" si="427"/>
        <v>142007.06358871982</v>
      </c>
      <c r="AA72" s="18">
        <f t="shared" si="427"/>
        <v>147815.94560062862</v>
      </c>
      <c r="AB72" s="18">
        <f t="shared" si="427"/>
        <v>189777.75126064301</v>
      </c>
      <c r="AC72" s="18">
        <f t="shared" si="427"/>
        <v>177125.36130904165</v>
      </c>
      <c r="AE72" s="18">
        <f t="shared" ref="AE72:AP72" si="428">+AE73+AE74</f>
        <v>172640.70206263335</v>
      </c>
      <c r="AF72" s="18">
        <f t="shared" si="428"/>
        <v>181744.96879685158</v>
      </c>
      <c r="AG72" s="18">
        <f t="shared" si="428"/>
        <v>92755.935884212464</v>
      </c>
      <c r="AH72" s="18">
        <f t="shared" si="428"/>
        <v>0</v>
      </c>
      <c r="AI72" s="18">
        <f t="shared" si="428"/>
        <v>0</v>
      </c>
      <c r="AJ72" s="18">
        <f t="shared" si="428"/>
        <v>0</v>
      </c>
      <c r="AK72" s="18">
        <f t="shared" si="428"/>
        <v>0</v>
      </c>
      <c r="AL72" s="18">
        <f t="shared" si="428"/>
        <v>0</v>
      </c>
      <c r="AM72" s="18">
        <f t="shared" si="428"/>
        <v>0</v>
      </c>
      <c r="AN72" s="18">
        <f t="shared" si="428"/>
        <v>0</v>
      </c>
      <c r="AO72" s="18">
        <f t="shared" si="428"/>
        <v>0</v>
      </c>
      <c r="AP72" s="18">
        <f t="shared" si="428"/>
        <v>0</v>
      </c>
      <c r="AR72" s="18">
        <f>+AR70+AR71</f>
        <v>0</v>
      </c>
      <c r="AS72" s="18">
        <f t="shared" ref="AS72" si="429">+AS70+AS71</f>
        <v>0</v>
      </c>
      <c r="AT72" s="18">
        <f t="shared" ref="AT72" si="430">+AT70+AT71</f>
        <v>0</v>
      </c>
      <c r="AU72" s="18">
        <f t="shared" ref="AU72" si="431">+AU70+AU71</f>
        <v>0</v>
      </c>
      <c r="AV72" s="18">
        <f t="shared" ref="AV72" si="432">+AV70+AV71</f>
        <v>0</v>
      </c>
      <c r="AX72" s="18">
        <f>+AX70+AX71</f>
        <v>723416.73120314872</v>
      </c>
      <c r="AY72" s="18">
        <f t="shared" ref="AY72" si="433">+AY70+AY71</f>
        <v>21770</v>
      </c>
      <c r="AZ72" s="18">
        <f t="shared" ref="AZ72" si="434">+AZ70+AZ71</f>
        <v>231887.5501027398</v>
      </c>
      <c r="BA72" s="18">
        <f t="shared" ref="BA72" si="435">+BA70+BA71</f>
        <v>319367.31079251139</v>
      </c>
      <c r="BB72" s="18">
        <f t="shared" ref="BB72" si="436">+BB70+BB71</f>
        <v>324941.3069096703</v>
      </c>
      <c r="BD72" s="18">
        <f>+BD70+BD71</f>
        <v>265396.63794684585</v>
      </c>
      <c r="BE72" s="18">
        <f t="shared" ref="BE72" si="437">+BE70+BE71</f>
        <v>265396.63794684585</v>
      </c>
      <c r="BF72" s="18">
        <f t="shared" ref="BF72" si="438">+BF70+BF71</f>
        <v>0</v>
      </c>
      <c r="BG72" s="18">
        <f t="shared" ref="BG72" si="439">+BG70+BG71</f>
        <v>0</v>
      </c>
      <c r="BH72" s="18">
        <f t="shared" ref="BH72" si="440">+BH70+BH71</f>
        <v>0</v>
      </c>
      <c r="BJ72" s="18">
        <f>+BJ71+BJ70</f>
        <v>0</v>
      </c>
      <c r="BK72" s="18">
        <f t="shared" ref="BK72:BN72" si="441">+BK73+BK74</f>
        <v>0</v>
      </c>
      <c r="BL72" s="18">
        <f t="shared" si="441"/>
        <v>0</v>
      </c>
      <c r="BM72" s="18">
        <f t="shared" si="441"/>
        <v>0</v>
      </c>
      <c r="BN72" s="18">
        <f t="shared" si="441"/>
        <v>0</v>
      </c>
      <c r="BP72" s="18">
        <f>+BP71+BP70</f>
        <v>0</v>
      </c>
      <c r="BQ72" s="18">
        <f t="shared" ref="BQ72:BT72" si="442">+BQ73+BQ74</f>
        <v>0</v>
      </c>
      <c r="BR72" s="18">
        <f t="shared" si="442"/>
        <v>0</v>
      </c>
      <c r="BS72" s="18">
        <f t="shared" si="442"/>
        <v>0</v>
      </c>
      <c r="BT72" s="18">
        <f t="shared" si="442"/>
        <v>0</v>
      </c>
      <c r="BV72" s="18">
        <f>+BV71+BV70</f>
        <v>0</v>
      </c>
      <c r="BW72" s="18">
        <f t="shared" ref="BW72:BZ72" si="443">+BW73+BW74</f>
        <v>0</v>
      </c>
      <c r="BX72" s="18">
        <f t="shared" si="443"/>
        <v>0</v>
      </c>
      <c r="BY72" s="18">
        <f t="shared" si="443"/>
        <v>0</v>
      </c>
      <c r="BZ72" s="18">
        <f t="shared" si="443"/>
        <v>0</v>
      </c>
    </row>
    <row r="73" spans="1:78" s="16" customFormat="1" x14ac:dyDescent="0.25">
      <c r="B73" s="23" t="s">
        <v>317</v>
      </c>
      <c r="E73" s="31">
        <f t="shared" ref="E73:P73" si="444">+E57</f>
        <v>0</v>
      </c>
      <c r="F73" s="31">
        <f t="shared" si="444"/>
        <v>0</v>
      </c>
      <c r="G73" s="31">
        <f t="shared" si="444"/>
        <v>0</v>
      </c>
      <c r="H73" s="31">
        <f t="shared" si="444"/>
        <v>0</v>
      </c>
      <c r="I73" s="31">
        <f t="shared" si="444"/>
        <v>0</v>
      </c>
      <c r="J73" s="31">
        <f t="shared" si="444"/>
        <v>0</v>
      </c>
      <c r="K73" s="31">
        <f t="shared" si="444"/>
        <v>0</v>
      </c>
      <c r="L73" s="31">
        <f t="shared" si="444"/>
        <v>0</v>
      </c>
      <c r="M73" s="31">
        <f t="shared" si="444"/>
        <v>0</v>
      </c>
      <c r="N73" s="31">
        <f t="shared" si="444"/>
        <v>0</v>
      </c>
      <c r="O73" s="31">
        <f t="shared" si="444"/>
        <v>0</v>
      </c>
      <c r="P73" s="31">
        <f t="shared" si="444"/>
        <v>0</v>
      </c>
      <c r="R73" s="31">
        <f t="shared" ref="R73:T73" si="445">+R57</f>
        <v>0</v>
      </c>
      <c r="S73" s="31">
        <f t="shared" si="445"/>
        <v>0</v>
      </c>
      <c r="T73" s="31">
        <f t="shared" si="445"/>
        <v>0</v>
      </c>
      <c r="U73" s="31">
        <f>+U57</f>
        <v>21770</v>
      </c>
      <c r="V73" s="31">
        <f t="shared" ref="V73:AC73" si="446">+V57</f>
        <v>36283.333333333343</v>
      </c>
      <c r="W73" s="31">
        <f t="shared" si="446"/>
        <v>72566.666666666686</v>
      </c>
      <c r="X73" s="31">
        <f t="shared" si="446"/>
        <v>101267.55010273977</v>
      </c>
      <c r="Y73" s="31">
        <f t="shared" si="446"/>
        <v>76092.697101051788</v>
      </c>
      <c r="Z73" s="31">
        <f t="shared" si="446"/>
        <v>90495.177089686811</v>
      </c>
      <c r="AA73" s="31">
        <f t="shared" si="446"/>
        <v>51511.886499033004</v>
      </c>
      <c r="AB73" s="31">
        <f t="shared" si="446"/>
        <v>96304.059101595602</v>
      </c>
      <c r="AC73" s="31">
        <f t="shared" si="446"/>
        <v>93473.692159047394</v>
      </c>
      <c r="AE73" s="31">
        <f t="shared" ref="AE73:AJ73" si="447">IF(AE25="no",+AE57,0)</f>
        <v>83651.669149994254</v>
      </c>
      <c r="AF73" s="31">
        <f t="shared" si="447"/>
        <v>88989.032912639115</v>
      </c>
      <c r="AG73" s="31">
        <f t="shared" si="447"/>
        <v>92755.935884212464</v>
      </c>
      <c r="AH73" s="31">
        <f t="shared" si="447"/>
        <v>0</v>
      </c>
      <c r="AI73" s="31">
        <f t="shared" si="447"/>
        <v>0</v>
      </c>
      <c r="AJ73" s="31">
        <f t="shared" si="447"/>
        <v>0</v>
      </c>
      <c r="AK73" s="31">
        <f>IF(AK25="no",+AK57,0)</f>
        <v>0</v>
      </c>
      <c r="AL73" s="31">
        <f t="shared" ref="AL73:AP73" si="448">IF(AL25="no",+AL57,0)</f>
        <v>0</v>
      </c>
      <c r="AM73" s="31">
        <f t="shared" si="448"/>
        <v>0</v>
      </c>
      <c r="AN73" s="31">
        <f t="shared" si="448"/>
        <v>0</v>
      </c>
      <c r="AO73" s="31">
        <f t="shared" si="448"/>
        <v>0</v>
      </c>
      <c r="AP73" s="31">
        <f t="shared" si="448"/>
        <v>0</v>
      </c>
      <c r="AR73" s="16">
        <f>SUM(E73:P73)</f>
        <v>0</v>
      </c>
      <c r="AS73" s="16">
        <f>SUM(E73:G73)</f>
        <v>0</v>
      </c>
      <c r="AT73" s="16">
        <f>SUM(H73:J73)</f>
        <v>0</v>
      </c>
      <c r="AU73" s="16">
        <f>SUM(K73:M73)</f>
        <v>0</v>
      </c>
      <c r="AV73" s="16">
        <f>SUM(N73:P73)</f>
        <v>0</v>
      </c>
      <c r="AX73" s="16">
        <f>SUM(R73:AC73)</f>
        <v>639765.06205315434</v>
      </c>
      <c r="AY73" s="16">
        <f>SUM(R75:T75)</f>
        <v>0</v>
      </c>
      <c r="AZ73" s="16">
        <f>SUM(U73:W73)</f>
        <v>130620.00000000003</v>
      </c>
      <c r="BA73" s="16">
        <f>SUM(X73:Z73)</f>
        <v>267855.42429347837</v>
      </c>
      <c r="BB73" s="16">
        <f>SUM(AA73:AC73)</f>
        <v>241289.63775967603</v>
      </c>
      <c r="BD73" s="16">
        <f>SUM(AE73:AP73)</f>
        <v>265396.63794684585</v>
      </c>
      <c r="BE73" s="16">
        <f>SUM(AE73:AG73)</f>
        <v>265396.63794684585</v>
      </c>
      <c r="BF73" s="16">
        <f>SUM(AH73:AJ73)</f>
        <v>0</v>
      </c>
      <c r="BG73" s="16">
        <f>SUM(AK73:AM73)</f>
        <v>0</v>
      </c>
      <c r="BH73" s="16">
        <f>SUM(AN73:AP73)</f>
        <v>0</v>
      </c>
      <c r="BJ73" s="16">
        <f>SUM(BK73:BN73)</f>
        <v>0</v>
      </c>
      <c r="BK73" s="31">
        <f t="shared" ref="BK73:BN73" si="449">IF(BK25="no",+BK57,0)</f>
        <v>0</v>
      </c>
      <c r="BL73" s="31">
        <f t="shared" si="449"/>
        <v>0</v>
      </c>
      <c r="BM73" s="31">
        <f t="shared" si="449"/>
        <v>0</v>
      </c>
      <c r="BN73" s="31">
        <f t="shared" si="449"/>
        <v>0</v>
      </c>
      <c r="BP73" s="16">
        <f>SUM(BQ73:BT73)</f>
        <v>0</v>
      </c>
      <c r="BQ73" s="31">
        <f t="shared" ref="BQ73:BT73" si="450">IF(BQ25="no",+BQ57,0)</f>
        <v>0</v>
      </c>
      <c r="BR73" s="31">
        <f t="shared" si="450"/>
        <v>0</v>
      </c>
      <c r="BS73" s="31">
        <f t="shared" si="450"/>
        <v>0</v>
      </c>
      <c r="BT73" s="31">
        <f t="shared" si="450"/>
        <v>0</v>
      </c>
      <c r="BV73" s="16">
        <f>SUM(BW73:BZ73)</f>
        <v>0</v>
      </c>
      <c r="BW73" s="31">
        <f t="shared" ref="BW73:BZ73" si="451">IF(BW25="no",+BW57,0)</f>
        <v>0</v>
      </c>
      <c r="BX73" s="31">
        <f t="shared" si="451"/>
        <v>0</v>
      </c>
      <c r="BY73" s="31">
        <f t="shared" si="451"/>
        <v>0</v>
      </c>
      <c r="BZ73" s="31">
        <f t="shared" si="451"/>
        <v>0</v>
      </c>
    </row>
    <row r="74" spans="1:78" s="16" customFormat="1" x14ac:dyDescent="0.25">
      <c r="B74" s="16" t="s">
        <v>316</v>
      </c>
      <c r="E74" s="17">
        <f t="shared" ref="E74:P74" si="452">+F57</f>
        <v>0</v>
      </c>
      <c r="F74" s="17">
        <f t="shared" si="452"/>
        <v>0</v>
      </c>
      <c r="G74" s="17">
        <f t="shared" si="452"/>
        <v>0</v>
      </c>
      <c r="H74" s="17">
        <f t="shared" si="452"/>
        <v>0</v>
      </c>
      <c r="I74" s="17">
        <f t="shared" si="452"/>
        <v>0</v>
      </c>
      <c r="J74" s="17">
        <f t="shared" si="452"/>
        <v>0</v>
      </c>
      <c r="K74" s="17">
        <f t="shared" si="452"/>
        <v>0</v>
      </c>
      <c r="L74" s="17">
        <f t="shared" si="452"/>
        <v>0</v>
      </c>
      <c r="M74" s="17">
        <f t="shared" si="452"/>
        <v>0</v>
      </c>
      <c r="N74" s="17">
        <f t="shared" si="452"/>
        <v>0</v>
      </c>
      <c r="O74" s="17">
        <f t="shared" si="452"/>
        <v>0</v>
      </c>
      <c r="P74" s="17">
        <f t="shared" si="452"/>
        <v>0</v>
      </c>
      <c r="R74" s="17">
        <f t="shared" ref="R74:S74" si="453">+S57</f>
        <v>0</v>
      </c>
      <c r="S74" s="17">
        <f t="shared" si="453"/>
        <v>0</v>
      </c>
      <c r="T74" s="17">
        <f t="shared" ref="T74:AB74" si="454">+U57</f>
        <v>21770</v>
      </c>
      <c r="U74" s="17">
        <f t="shared" si="454"/>
        <v>36283.333333333343</v>
      </c>
      <c r="V74" s="17">
        <f t="shared" si="454"/>
        <v>72566.666666666686</v>
      </c>
      <c r="W74" s="17">
        <f t="shared" si="454"/>
        <v>101267.55010273977</v>
      </c>
      <c r="X74" s="17">
        <f t="shared" si="454"/>
        <v>76092.697101051788</v>
      </c>
      <c r="Y74" s="17">
        <f t="shared" si="454"/>
        <v>90495.177089686811</v>
      </c>
      <c r="Z74" s="17">
        <f t="shared" si="454"/>
        <v>51511.886499033004</v>
      </c>
      <c r="AA74" s="17">
        <f t="shared" si="454"/>
        <v>96304.059101595602</v>
      </c>
      <c r="AB74" s="17">
        <f t="shared" si="454"/>
        <v>93473.692159047394</v>
      </c>
      <c r="AC74" s="17">
        <f>+AE57</f>
        <v>83651.669149994254</v>
      </c>
      <c r="AE74" s="17">
        <f t="shared" ref="AE74:AI74" si="455">IF(AF25="no",+AF57,0)</f>
        <v>88989.032912639115</v>
      </c>
      <c r="AF74" s="17">
        <f t="shared" si="455"/>
        <v>92755.935884212464</v>
      </c>
      <c r="AG74" s="17">
        <f t="shared" si="455"/>
        <v>0</v>
      </c>
      <c r="AH74" s="17">
        <f t="shared" si="455"/>
        <v>0</v>
      </c>
      <c r="AI74" s="17">
        <f t="shared" si="455"/>
        <v>0</v>
      </c>
      <c r="AJ74" s="17">
        <f t="shared" ref="AJ74:AN74" si="456">IF(AK25="no",+AK57,0)</f>
        <v>0</v>
      </c>
      <c r="AK74" s="17">
        <f t="shared" si="456"/>
        <v>0</v>
      </c>
      <c r="AL74" s="17">
        <f t="shared" si="456"/>
        <v>0</v>
      </c>
      <c r="AM74" s="17">
        <f t="shared" si="456"/>
        <v>0</v>
      </c>
      <c r="AN74" s="17">
        <f t="shared" si="456"/>
        <v>0</v>
      </c>
      <c r="AO74" s="17">
        <f>IF(AP25="no",+AP57,0)</f>
        <v>0</v>
      </c>
      <c r="AP74" s="17">
        <f>IF(BK25="no",+BK57/3,0)</f>
        <v>0</v>
      </c>
      <c r="AR74" s="17">
        <f>+AR72-AR73</f>
        <v>0</v>
      </c>
      <c r="AS74" s="17">
        <f t="shared" ref="AS74" si="457">+AS72-AS73</f>
        <v>0</v>
      </c>
      <c r="AT74" s="17">
        <f t="shared" ref="AT74" si="458">+AT72-AT73</f>
        <v>0</v>
      </c>
      <c r="AU74" s="17">
        <f t="shared" ref="AU74" si="459">+AU72-AU73</f>
        <v>0</v>
      </c>
      <c r="AV74" s="17">
        <f t="shared" ref="AV74" si="460">+AV72-AV73</f>
        <v>0</v>
      </c>
      <c r="AX74" s="17">
        <f>+AX72-AX73</f>
        <v>83651.669149994384</v>
      </c>
      <c r="AY74" s="17">
        <f t="shared" ref="AY74" si="461">+AY72-AY73</f>
        <v>21770</v>
      </c>
      <c r="AZ74" s="17">
        <f t="shared" ref="AZ74" si="462">+AZ72-AZ73</f>
        <v>101267.55010273977</v>
      </c>
      <c r="BA74" s="17">
        <f t="shared" ref="BA74" si="463">+BA72-BA73</f>
        <v>51511.886499033018</v>
      </c>
      <c r="BB74" s="17">
        <f t="shared" ref="BB74" si="464">+BB72-BB73</f>
        <v>83651.669149994268</v>
      </c>
      <c r="BD74" s="17">
        <f>+BD72-BD73</f>
        <v>0</v>
      </c>
      <c r="BE74" s="17">
        <f t="shared" ref="BE74" si="465">+BE72-BE73</f>
        <v>0</v>
      </c>
      <c r="BF74" s="17">
        <f t="shared" ref="BF74" si="466">+BF72-BF73</f>
        <v>0</v>
      </c>
      <c r="BG74" s="17">
        <f t="shared" ref="BG74" si="467">+BG72-BG73</f>
        <v>0</v>
      </c>
      <c r="BH74" s="17">
        <f t="shared" ref="BH74:BJ74" si="468">+BH72-BH73</f>
        <v>0</v>
      </c>
      <c r="BJ74" s="17">
        <f t="shared" si="468"/>
        <v>0</v>
      </c>
      <c r="BK74" s="17">
        <f>IF(BK25="no",+BL57/3,0)</f>
        <v>0</v>
      </c>
      <c r="BL74" s="17">
        <f t="shared" ref="BL74:BM74" si="469">IF(BL25="no",+BM57/3,0)</f>
        <v>0</v>
      </c>
      <c r="BM74" s="17">
        <f t="shared" si="469"/>
        <v>0</v>
      </c>
      <c r="BN74" s="17">
        <f>IF(BN25="no",+BQ57/3,0)</f>
        <v>0</v>
      </c>
      <c r="BP74" s="17">
        <f t="shared" ref="BP74" si="470">+BP72-BP73</f>
        <v>0</v>
      </c>
      <c r="BQ74" s="17">
        <f>IF(BQ25="no",+BR57/3,0)</f>
        <v>0</v>
      </c>
      <c r="BR74" s="17">
        <f t="shared" ref="BR74:BS74" si="471">IF(BR25="no",+BS57/3,0)</f>
        <v>0</v>
      </c>
      <c r="BS74" s="17">
        <f t="shared" si="471"/>
        <v>0</v>
      </c>
      <c r="BT74" s="17">
        <f>IF(BT25="no",+BW57/3,0)</f>
        <v>0</v>
      </c>
      <c r="BV74" s="17">
        <f t="shared" ref="BV74" si="472">+BV72-BV73</f>
        <v>0</v>
      </c>
      <c r="BW74" s="17">
        <f>IF(BW25="no",+BX57/3,0)</f>
        <v>0</v>
      </c>
      <c r="BX74" s="17">
        <f t="shared" ref="BX74:BY74" si="473">IF(BX25="no",+BY57/3,0)</f>
        <v>0</v>
      </c>
      <c r="BY74" s="17">
        <f t="shared" si="473"/>
        <v>0</v>
      </c>
      <c r="BZ74" s="17">
        <f>+BY74</f>
        <v>0</v>
      </c>
    </row>
    <row r="75" spans="1:78" s="16" customFormat="1" x14ac:dyDescent="0.25">
      <c r="AR75" s="18"/>
      <c r="AS75" s="18"/>
      <c r="AT75" s="18"/>
      <c r="AU75" s="18"/>
      <c r="AV75" s="18"/>
    </row>
    <row r="76" spans="1:78" s="16" customFormat="1" x14ac:dyDescent="0.25">
      <c r="B76" s="19" t="s">
        <v>182</v>
      </c>
    </row>
    <row r="77" spans="1:78" s="16" customFormat="1" x14ac:dyDescent="0.25">
      <c r="B77" s="23" t="s">
        <v>304</v>
      </c>
      <c r="E77" s="44">
        <v>150</v>
      </c>
      <c r="F77" s="44">
        <f>+E77</f>
        <v>150</v>
      </c>
      <c r="G77" s="44">
        <f t="shared" ref="G77:P77" si="474">+F77</f>
        <v>150</v>
      </c>
      <c r="H77" s="44">
        <f t="shared" si="474"/>
        <v>150</v>
      </c>
      <c r="I77" s="44">
        <f t="shared" si="474"/>
        <v>150</v>
      </c>
      <c r="J77" s="44">
        <f t="shared" si="474"/>
        <v>150</v>
      </c>
      <c r="K77" s="44">
        <f t="shared" si="474"/>
        <v>150</v>
      </c>
      <c r="L77" s="44">
        <f t="shared" si="474"/>
        <v>150</v>
      </c>
      <c r="M77" s="44">
        <f t="shared" si="474"/>
        <v>150</v>
      </c>
      <c r="N77" s="44">
        <f t="shared" si="474"/>
        <v>150</v>
      </c>
      <c r="O77" s="44">
        <f t="shared" si="474"/>
        <v>150</v>
      </c>
      <c r="P77" s="44">
        <f t="shared" si="474"/>
        <v>150</v>
      </c>
      <c r="R77" s="44">
        <f>+P77</f>
        <v>150</v>
      </c>
      <c r="S77" s="44">
        <f t="shared" ref="S77:AC77" si="475">+R77</f>
        <v>150</v>
      </c>
      <c r="T77" s="44">
        <f t="shared" si="475"/>
        <v>150</v>
      </c>
      <c r="U77" s="44">
        <f t="shared" si="475"/>
        <v>150</v>
      </c>
      <c r="V77" s="44">
        <f t="shared" si="475"/>
        <v>150</v>
      </c>
      <c r="W77" s="44">
        <f t="shared" si="475"/>
        <v>150</v>
      </c>
      <c r="X77" s="44">
        <f t="shared" si="475"/>
        <v>150</v>
      </c>
      <c r="Y77" s="44">
        <f t="shared" si="475"/>
        <v>150</v>
      </c>
      <c r="Z77" s="44">
        <f t="shared" si="475"/>
        <v>150</v>
      </c>
      <c r="AA77" s="44">
        <f t="shared" si="475"/>
        <v>150</v>
      </c>
      <c r="AB77" s="44">
        <f t="shared" si="475"/>
        <v>150</v>
      </c>
      <c r="AC77" s="44">
        <f t="shared" si="475"/>
        <v>150</v>
      </c>
      <c r="AE77" s="44">
        <f>+AC77</f>
        <v>150</v>
      </c>
      <c r="AF77" s="44">
        <f t="shared" ref="AF77:AP77" si="476">+AE77</f>
        <v>150</v>
      </c>
      <c r="AG77" s="44">
        <f t="shared" si="476"/>
        <v>150</v>
      </c>
      <c r="AH77" s="44">
        <f t="shared" si="476"/>
        <v>150</v>
      </c>
      <c r="AI77" s="44">
        <f t="shared" si="476"/>
        <v>150</v>
      </c>
      <c r="AJ77" s="44">
        <f t="shared" si="476"/>
        <v>150</v>
      </c>
      <c r="AK77" s="44">
        <f t="shared" si="476"/>
        <v>150</v>
      </c>
      <c r="AL77" s="44">
        <f t="shared" si="476"/>
        <v>150</v>
      </c>
      <c r="AM77" s="44">
        <f t="shared" si="476"/>
        <v>150</v>
      </c>
      <c r="AN77" s="44">
        <f t="shared" si="476"/>
        <v>150</v>
      </c>
      <c r="AO77" s="44">
        <f t="shared" si="476"/>
        <v>150</v>
      </c>
      <c r="AP77" s="44">
        <f t="shared" si="476"/>
        <v>150</v>
      </c>
      <c r="BJ77" s="44"/>
      <c r="BK77" s="44">
        <f>+AP77</f>
        <v>150</v>
      </c>
      <c r="BL77" s="44">
        <f>+BK77</f>
        <v>150</v>
      </c>
      <c r="BM77" s="44">
        <f t="shared" ref="BM77:BN77" si="477">+BL77</f>
        <v>150</v>
      </c>
      <c r="BN77" s="44">
        <f t="shared" si="477"/>
        <v>150</v>
      </c>
      <c r="BQ77" s="44">
        <f>+BN77</f>
        <v>150</v>
      </c>
      <c r="BR77" s="44">
        <f>+BQ77</f>
        <v>150</v>
      </c>
      <c r="BS77" s="44">
        <f t="shared" ref="BS77:BT77" si="478">+BR77</f>
        <v>150</v>
      </c>
      <c r="BT77" s="44">
        <f t="shared" si="478"/>
        <v>150</v>
      </c>
      <c r="BW77" s="44">
        <f>+BT77</f>
        <v>150</v>
      </c>
      <c r="BX77" s="44">
        <f>+BW77</f>
        <v>150</v>
      </c>
      <c r="BY77" s="44">
        <f t="shared" ref="BY77:BZ77" si="479">+BX77</f>
        <v>150</v>
      </c>
      <c r="BZ77" s="44">
        <f t="shared" si="479"/>
        <v>150</v>
      </c>
    </row>
    <row r="78" spans="1:78" s="16" customFormat="1" x14ac:dyDescent="0.25">
      <c r="B78" s="16" t="s">
        <v>271</v>
      </c>
      <c r="E78" s="16">
        <f>+D82</f>
        <v>0</v>
      </c>
      <c r="F78" s="16">
        <f t="shared" ref="F78:P78" si="480">+E82</f>
        <v>0</v>
      </c>
      <c r="G78" s="16">
        <f t="shared" si="480"/>
        <v>0</v>
      </c>
      <c r="H78" s="16">
        <f t="shared" si="480"/>
        <v>0</v>
      </c>
      <c r="I78" s="16">
        <f t="shared" si="480"/>
        <v>0</v>
      </c>
      <c r="J78" s="16">
        <f t="shared" si="480"/>
        <v>0</v>
      </c>
      <c r="K78" s="16">
        <f t="shared" si="480"/>
        <v>0</v>
      </c>
      <c r="L78" s="16">
        <f t="shared" si="480"/>
        <v>0</v>
      </c>
      <c r="M78" s="16">
        <f t="shared" si="480"/>
        <v>0</v>
      </c>
      <c r="N78" s="16">
        <f t="shared" si="480"/>
        <v>0</v>
      </c>
      <c r="O78" s="16">
        <f t="shared" si="480"/>
        <v>0</v>
      </c>
      <c r="P78" s="16">
        <f t="shared" si="480"/>
        <v>0</v>
      </c>
      <c r="R78" s="16">
        <f t="shared" ref="R78:AC78" si="481">+Q82</f>
        <v>0</v>
      </c>
      <c r="S78" s="16">
        <f t="shared" si="481"/>
        <v>0</v>
      </c>
      <c r="T78" s="16">
        <f t="shared" si="481"/>
        <v>0</v>
      </c>
      <c r="U78" s="16">
        <f t="shared" si="481"/>
        <v>0</v>
      </c>
      <c r="V78" s="16">
        <f t="shared" si="481"/>
        <v>0</v>
      </c>
      <c r="W78" s="16">
        <f t="shared" si="481"/>
        <v>17100</v>
      </c>
      <c r="X78" s="16">
        <f t="shared" si="481"/>
        <v>185700.00000000003</v>
      </c>
      <c r="Y78" s="16">
        <f t="shared" si="481"/>
        <v>0</v>
      </c>
      <c r="Z78" s="16">
        <f t="shared" si="481"/>
        <v>185550.00000000003</v>
      </c>
      <c r="AA78" s="16">
        <f t="shared" si="481"/>
        <v>185550.00000000003</v>
      </c>
      <c r="AB78" s="16">
        <f t="shared" si="481"/>
        <v>0</v>
      </c>
      <c r="AC78" s="16">
        <f t="shared" si="481"/>
        <v>173250.00000000006</v>
      </c>
      <c r="AE78" s="16">
        <f>+AC82</f>
        <v>173250.00000000006</v>
      </c>
      <c r="AF78" s="16">
        <f t="shared" ref="AF78:AP78" si="482">+AE82</f>
        <v>0</v>
      </c>
      <c r="AG78" s="16">
        <f t="shared" si="482"/>
        <v>173250.00000000006</v>
      </c>
      <c r="AH78" s="16">
        <f t="shared" si="482"/>
        <v>173250.00000000006</v>
      </c>
      <c r="AI78" s="16">
        <f t="shared" si="482"/>
        <v>0</v>
      </c>
      <c r="AJ78" s="16">
        <f t="shared" si="482"/>
        <v>581700.00000000023</v>
      </c>
      <c r="AK78" s="16">
        <f t="shared" si="482"/>
        <v>581700.00000000023</v>
      </c>
      <c r="AL78" s="16">
        <f t="shared" si="482"/>
        <v>0</v>
      </c>
      <c r="AM78" s="16">
        <f t="shared" si="482"/>
        <v>581550.00000000023</v>
      </c>
      <c r="AN78" s="16">
        <f t="shared" si="482"/>
        <v>581550.00000000023</v>
      </c>
      <c r="AO78" s="16">
        <f t="shared" si="482"/>
        <v>0</v>
      </c>
      <c r="AP78" s="16">
        <f t="shared" si="482"/>
        <v>0</v>
      </c>
      <c r="AR78" s="16">
        <f>+E78</f>
        <v>0</v>
      </c>
      <c r="AS78" s="16">
        <f>+AR82</f>
        <v>0</v>
      </c>
      <c r="AT78" s="16">
        <f t="shared" ref="AT78:AV78" si="483">+AS82</f>
        <v>0</v>
      </c>
      <c r="AU78" s="16">
        <f t="shared" si="483"/>
        <v>0</v>
      </c>
      <c r="AV78" s="16">
        <f t="shared" si="483"/>
        <v>0</v>
      </c>
      <c r="AX78" s="16">
        <f>+AV82</f>
        <v>0</v>
      </c>
      <c r="AY78" s="16">
        <f>+R78</f>
        <v>0</v>
      </c>
      <c r="AZ78" s="16">
        <f t="shared" ref="AZ78:BB78" si="484">+AY82</f>
        <v>0</v>
      </c>
      <c r="BA78" s="16">
        <f t="shared" si="484"/>
        <v>157500.00000000003</v>
      </c>
      <c r="BB78" s="16">
        <f t="shared" si="484"/>
        <v>-150</v>
      </c>
      <c r="BD78" s="16">
        <f>+BB82</f>
        <v>-12449.999999999971</v>
      </c>
      <c r="BE78" s="16">
        <f>+AE78</f>
        <v>173250.00000000006</v>
      </c>
      <c r="BF78" s="16">
        <f t="shared" ref="BF78:BH78" si="485">+BE82</f>
        <v>173250.00000000006</v>
      </c>
      <c r="BG78" s="16">
        <f t="shared" si="485"/>
        <v>581700.00000000023</v>
      </c>
      <c r="BH78" s="16">
        <f t="shared" si="485"/>
        <v>581550.00000000023</v>
      </c>
      <c r="BJ78" s="16">
        <f>+BK78</f>
        <v>381150.00000000023</v>
      </c>
      <c r="BK78" s="16">
        <f>+AP82</f>
        <v>381150.00000000023</v>
      </c>
      <c r="BL78" s="16">
        <f>+BK82</f>
        <v>381150.00000000023</v>
      </c>
      <c r="BM78" s="16">
        <f>+BL82</f>
        <v>704381.70000000007</v>
      </c>
      <c r="BN78" s="16">
        <f t="shared" ref="BN78" si="486">+BK82</f>
        <v>381150.00000000023</v>
      </c>
      <c r="BP78" s="16">
        <f>+BQ78</f>
        <v>699799.87000000023</v>
      </c>
      <c r="BQ78" s="16">
        <f>+BN82</f>
        <v>699799.87000000023</v>
      </c>
      <c r="BR78" s="16">
        <f t="shared" ref="BR78" si="487">+BO82</f>
        <v>0</v>
      </c>
      <c r="BS78" s="16">
        <f t="shared" ref="BS78" si="488">+BP82</f>
        <v>1087489.557000001</v>
      </c>
      <c r="BT78" s="16">
        <f t="shared" ref="BT78" si="489">+BQ82</f>
        <v>699799.87000000023</v>
      </c>
      <c r="BV78" s="16">
        <f>+BW78</f>
        <v>1087489.5570000007</v>
      </c>
      <c r="BW78" s="16">
        <f t="shared" ref="BW78" si="490">+BT82</f>
        <v>1087489.5570000007</v>
      </c>
      <c r="BX78" s="16">
        <f t="shared" ref="BX78" si="491">+BU82</f>
        <v>0</v>
      </c>
      <c r="BY78" s="16">
        <f t="shared" ref="BY78" si="492">+BV82</f>
        <v>1371365.6310000001</v>
      </c>
      <c r="BZ78" s="16">
        <f t="shared" ref="BZ78" si="493">+BW82</f>
        <v>1087489.5570000007</v>
      </c>
    </row>
    <row r="79" spans="1:78" s="16" customFormat="1" x14ac:dyDescent="0.25">
      <c r="B79" s="16" t="s">
        <v>283</v>
      </c>
      <c r="E79" s="16">
        <f t="shared" ref="E79:P79" si="494">+E8*E77</f>
        <v>0</v>
      </c>
      <c r="F79" s="16">
        <f t="shared" si="494"/>
        <v>0</v>
      </c>
      <c r="G79" s="16">
        <f t="shared" si="494"/>
        <v>0</v>
      </c>
      <c r="H79" s="16">
        <f t="shared" si="494"/>
        <v>0</v>
      </c>
      <c r="I79" s="16">
        <f t="shared" si="494"/>
        <v>0</v>
      </c>
      <c r="J79" s="16">
        <f t="shared" si="494"/>
        <v>0</v>
      </c>
      <c r="K79" s="16">
        <f t="shared" si="494"/>
        <v>0</v>
      </c>
      <c r="L79" s="16">
        <f t="shared" si="494"/>
        <v>0</v>
      </c>
      <c r="M79" s="16">
        <f t="shared" si="494"/>
        <v>0</v>
      </c>
      <c r="N79" s="16">
        <f t="shared" si="494"/>
        <v>0</v>
      </c>
      <c r="O79" s="16">
        <f t="shared" si="494"/>
        <v>0</v>
      </c>
      <c r="P79" s="16">
        <f t="shared" si="494"/>
        <v>0</v>
      </c>
      <c r="R79" s="16">
        <f t="shared" ref="R79:AC79" si="495">+R8*R77</f>
        <v>0</v>
      </c>
      <c r="S79" s="16">
        <f t="shared" si="495"/>
        <v>0</v>
      </c>
      <c r="T79" s="16">
        <f t="shared" si="495"/>
        <v>0</v>
      </c>
      <c r="U79" s="16">
        <f t="shared" si="495"/>
        <v>0</v>
      </c>
      <c r="V79" s="16">
        <f t="shared" si="495"/>
        <v>17100</v>
      </c>
      <c r="W79" s="16">
        <f t="shared" si="495"/>
        <v>168600.00000000003</v>
      </c>
      <c r="X79" s="16">
        <f t="shared" si="495"/>
        <v>0</v>
      </c>
      <c r="Y79" s="16">
        <f t="shared" si="495"/>
        <v>185550.00000000003</v>
      </c>
      <c r="Z79" s="16">
        <f t="shared" si="495"/>
        <v>0</v>
      </c>
      <c r="AA79" s="16">
        <f t="shared" si="495"/>
        <v>0</v>
      </c>
      <c r="AB79" s="16">
        <f t="shared" si="495"/>
        <v>173250.00000000006</v>
      </c>
      <c r="AC79" s="16">
        <f t="shared" si="495"/>
        <v>0</v>
      </c>
      <c r="AE79" s="16">
        <f t="shared" ref="AE79:AP79" si="496">+AE8*AE77</f>
        <v>0</v>
      </c>
      <c r="AF79" s="16">
        <f t="shared" si="496"/>
        <v>173250.00000000006</v>
      </c>
      <c r="AG79" s="16">
        <f t="shared" si="496"/>
        <v>0</v>
      </c>
      <c r="AH79" s="16">
        <f t="shared" si="496"/>
        <v>0</v>
      </c>
      <c r="AI79" s="16">
        <f t="shared" si="496"/>
        <v>581700.00000000023</v>
      </c>
      <c r="AJ79" s="16">
        <f t="shared" si="496"/>
        <v>0</v>
      </c>
      <c r="AK79" s="16">
        <f t="shared" si="496"/>
        <v>0</v>
      </c>
      <c r="AL79" s="16">
        <f t="shared" si="496"/>
        <v>581550.00000000023</v>
      </c>
      <c r="AM79" s="16">
        <f t="shared" si="496"/>
        <v>0</v>
      </c>
      <c r="AN79" s="16">
        <f t="shared" si="496"/>
        <v>0</v>
      </c>
      <c r="AO79" s="16">
        <f t="shared" si="496"/>
        <v>0</v>
      </c>
      <c r="AP79" s="16">
        <f t="shared" si="496"/>
        <v>381150.00000000023</v>
      </c>
      <c r="AR79" s="16">
        <f>SUM(E79:P79)</f>
        <v>0</v>
      </c>
      <c r="AS79" s="16">
        <f>SUM(E79:G79)</f>
        <v>0</v>
      </c>
      <c r="AT79" s="16">
        <f>SUM(H79:J79)</f>
        <v>0</v>
      </c>
      <c r="AU79" s="16">
        <f>SUM(K79:M79)</f>
        <v>0</v>
      </c>
      <c r="AV79" s="16">
        <f>SUM(N79:P79)</f>
        <v>0</v>
      </c>
      <c r="AX79" s="16">
        <f>SUM(R79:AC79)</f>
        <v>544500.00000000012</v>
      </c>
      <c r="AY79" s="16">
        <f>SUM(R81:T81)</f>
        <v>0</v>
      </c>
      <c r="AZ79" s="16">
        <f>SUM(U79:W79)</f>
        <v>185700.00000000003</v>
      </c>
      <c r="BA79" s="16">
        <f>SUM(X79:Z79)</f>
        <v>185550.00000000003</v>
      </c>
      <c r="BB79" s="16">
        <f>SUM(AA79:AC79)</f>
        <v>173250.00000000006</v>
      </c>
      <c r="BD79" s="16">
        <f>SUM(AE79:AP79)</f>
        <v>1717650.0000000007</v>
      </c>
      <c r="BE79" s="16">
        <f>SUM(AE79:AG79)</f>
        <v>173250.00000000006</v>
      </c>
      <c r="BF79" s="16">
        <f>SUM(AH79:AJ79)</f>
        <v>581700.00000000023</v>
      </c>
      <c r="BG79" s="16">
        <f>SUM(AK79:AM79)</f>
        <v>581550.00000000023</v>
      </c>
      <c r="BH79" s="16">
        <f>SUM(AN79:AP79)</f>
        <v>381150.00000000023</v>
      </c>
      <c r="BJ79" s="16">
        <f>SUM(BK79:BN79)</f>
        <v>3575331.5950000016</v>
      </c>
      <c r="BK79" s="16">
        <f>+BK8*BK77</f>
        <v>571725.00000000035</v>
      </c>
      <c r="BL79" s="16">
        <f>+BL8*BL77</f>
        <v>894956.70000000007</v>
      </c>
      <c r="BM79" s="16">
        <f>+BM8*BM77</f>
        <v>1056630.3000000005</v>
      </c>
      <c r="BN79" s="16">
        <f>+BN8*BN77</f>
        <v>1052019.5950000004</v>
      </c>
      <c r="BP79" s="16">
        <f>SUM(BQ79:BT79)</f>
        <v>5757436.1570000034</v>
      </c>
      <c r="BQ79" s="16">
        <f>+BQ8*BQ77</f>
        <v>1049699.8050000004</v>
      </c>
      <c r="BR79" s="16">
        <f>+BR8*BR77</f>
        <v>1440026.8050000009</v>
      </c>
      <c r="BS79" s="16">
        <f>+BS8*BS77</f>
        <v>1635167.8050000009</v>
      </c>
      <c r="BT79" s="16">
        <f>+BT8*BT77</f>
        <v>1632541.7420000012</v>
      </c>
      <c r="BV79" s="16">
        <f>SUM(BW79:BZ79)</f>
        <v>7660546.2705000043</v>
      </c>
      <c r="BW79" s="16">
        <f>+BW8*BW77</f>
        <v>1631234.3355000007</v>
      </c>
      <c r="BX79" s="16">
        <f>+BX8*BX77</f>
        <v>1915180.1645000009</v>
      </c>
      <c r="BY79" s="16">
        <f>+BY8*BY77</f>
        <v>2057083.3240000007</v>
      </c>
      <c r="BZ79" s="16">
        <f>+BZ8*BZ77</f>
        <v>2057048.4465000012</v>
      </c>
    </row>
    <row r="80" spans="1:78" s="16" customFormat="1" x14ac:dyDescent="0.25">
      <c r="B80" s="16" t="s">
        <v>279</v>
      </c>
      <c r="E80" s="18">
        <f>+E79+E78</f>
        <v>0</v>
      </c>
      <c r="F80" s="18">
        <f t="shared" ref="F80:P80" si="497">+F79+F78</f>
        <v>0</v>
      </c>
      <c r="G80" s="18">
        <f t="shared" si="497"/>
        <v>0</v>
      </c>
      <c r="H80" s="18">
        <f t="shared" si="497"/>
        <v>0</v>
      </c>
      <c r="I80" s="18">
        <f t="shared" si="497"/>
        <v>0</v>
      </c>
      <c r="J80" s="18">
        <f t="shared" si="497"/>
        <v>0</v>
      </c>
      <c r="K80" s="18">
        <f t="shared" si="497"/>
        <v>0</v>
      </c>
      <c r="L80" s="18">
        <f t="shared" si="497"/>
        <v>0</v>
      </c>
      <c r="M80" s="18">
        <f t="shared" si="497"/>
        <v>0</v>
      </c>
      <c r="N80" s="18">
        <f t="shared" si="497"/>
        <v>0</v>
      </c>
      <c r="O80" s="18">
        <f t="shared" si="497"/>
        <v>0</v>
      </c>
      <c r="P80" s="18">
        <f t="shared" si="497"/>
        <v>0</v>
      </c>
      <c r="R80" s="18">
        <f t="shared" ref="R80:AC80" si="498">+R79+R78</f>
        <v>0</v>
      </c>
      <c r="S80" s="18">
        <f t="shared" si="498"/>
        <v>0</v>
      </c>
      <c r="T80" s="18">
        <f t="shared" si="498"/>
        <v>0</v>
      </c>
      <c r="U80" s="18">
        <f t="shared" si="498"/>
        <v>0</v>
      </c>
      <c r="V80" s="18">
        <f t="shared" si="498"/>
        <v>17100</v>
      </c>
      <c r="W80" s="18">
        <f t="shared" si="498"/>
        <v>185700.00000000003</v>
      </c>
      <c r="X80" s="18">
        <f t="shared" si="498"/>
        <v>185700.00000000003</v>
      </c>
      <c r="Y80" s="18">
        <f t="shared" si="498"/>
        <v>185550.00000000003</v>
      </c>
      <c r="Z80" s="18">
        <f t="shared" si="498"/>
        <v>185550.00000000003</v>
      </c>
      <c r="AA80" s="18">
        <f t="shared" si="498"/>
        <v>185550.00000000003</v>
      </c>
      <c r="AB80" s="18">
        <f t="shared" si="498"/>
        <v>173250.00000000006</v>
      </c>
      <c r="AC80" s="18">
        <f t="shared" si="498"/>
        <v>173250.00000000006</v>
      </c>
      <c r="AE80" s="18">
        <f t="shared" ref="AE80:AP80" si="499">+AE79+AE78</f>
        <v>173250.00000000006</v>
      </c>
      <c r="AF80" s="18">
        <f t="shared" si="499"/>
        <v>173250.00000000006</v>
      </c>
      <c r="AG80" s="18">
        <f t="shared" si="499"/>
        <v>173250.00000000006</v>
      </c>
      <c r="AH80" s="18">
        <f t="shared" si="499"/>
        <v>173250.00000000006</v>
      </c>
      <c r="AI80" s="18">
        <f t="shared" si="499"/>
        <v>581700.00000000023</v>
      </c>
      <c r="AJ80" s="18">
        <f t="shared" si="499"/>
        <v>581700.00000000023</v>
      </c>
      <c r="AK80" s="18">
        <f t="shared" si="499"/>
        <v>581700.00000000023</v>
      </c>
      <c r="AL80" s="18">
        <f t="shared" si="499"/>
        <v>581550.00000000023</v>
      </c>
      <c r="AM80" s="18">
        <f t="shared" si="499"/>
        <v>581550.00000000023</v>
      </c>
      <c r="AN80" s="18">
        <f t="shared" si="499"/>
        <v>581550.00000000023</v>
      </c>
      <c r="AO80" s="18">
        <f t="shared" si="499"/>
        <v>0</v>
      </c>
      <c r="AP80" s="18">
        <f t="shared" si="499"/>
        <v>381150.00000000023</v>
      </c>
      <c r="AR80" s="18">
        <f>+AR78+AR79</f>
        <v>0</v>
      </c>
      <c r="AS80" s="18">
        <f t="shared" ref="AS80" si="500">+AS78+AS79</f>
        <v>0</v>
      </c>
      <c r="AT80" s="18">
        <f t="shared" ref="AT80" si="501">+AT78+AT79</f>
        <v>0</v>
      </c>
      <c r="AU80" s="18">
        <f t="shared" ref="AU80" si="502">+AU78+AU79</f>
        <v>0</v>
      </c>
      <c r="AV80" s="18">
        <f t="shared" ref="AV80" si="503">+AV78+AV79</f>
        <v>0</v>
      </c>
      <c r="AX80" s="18">
        <f>+AX78+AX79</f>
        <v>544500.00000000012</v>
      </c>
      <c r="AY80" s="18">
        <f t="shared" ref="AY80" si="504">+AY78+AY79</f>
        <v>0</v>
      </c>
      <c r="AZ80" s="18">
        <f t="shared" ref="AZ80" si="505">+AZ78+AZ79</f>
        <v>185700.00000000003</v>
      </c>
      <c r="BA80" s="18">
        <f t="shared" ref="BA80" si="506">+BA78+BA79</f>
        <v>343050.00000000006</v>
      </c>
      <c r="BB80" s="18">
        <f t="shared" ref="BB80" si="507">+BB78+BB79</f>
        <v>173100.00000000006</v>
      </c>
      <c r="BD80" s="18">
        <f>+BD78+BD79</f>
        <v>1705200.0000000007</v>
      </c>
      <c r="BE80" s="18">
        <f t="shared" ref="BE80" si="508">+BE78+BE79</f>
        <v>346500.00000000012</v>
      </c>
      <c r="BF80" s="18">
        <f t="shared" ref="BF80" si="509">+BF78+BF79</f>
        <v>754950.00000000023</v>
      </c>
      <c r="BG80" s="18">
        <f t="shared" ref="BG80" si="510">+BG78+BG79</f>
        <v>1163250.0000000005</v>
      </c>
      <c r="BH80" s="18">
        <f t="shared" ref="BH80" si="511">+BH78+BH79</f>
        <v>962700.00000000047</v>
      </c>
      <c r="BJ80" s="18">
        <f>+BJ79+BJ78</f>
        <v>3956481.5950000016</v>
      </c>
      <c r="BK80" s="18">
        <f t="shared" ref="BK80:BN80" si="512">+BK79+BK78</f>
        <v>952875.00000000058</v>
      </c>
      <c r="BL80" s="18">
        <f t="shared" si="512"/>
        <v>1276106.7000000002</v>
      </c>
      <c r="BM80" s="18">
        <f t="shared" si="512"/>
        <v>1761012.0000000005</v>
      </c>
      <c r="BN80" s="18">
        <f t="shared" si="512"/>
        <v>1433169.5950000007</v>
      </c>
      <c r="BP80" s="18">
        <f>+BP79+BP78</f>
        <v>6457236.0270000035</v>
      </c>
      <c r="BQ80" s="18">
        <f t="shared" ref="BQ80:BT80" si="513">+BQ79+BQ78</f>
        <v>1749499.6750000007</v>
      </c>
      <c r="BR80" s="18">
        <f t="shared" si="513"/>
        <v>1440026.8050000009</v>
      </c>
      <c r="BS80" s="18">
        <f t="shared" si="513"/>
        <v>2722657.3620000016</v>
      </c>
      <c r="BT80" s="18">
        <f t="shared" si="513"/>
        <v>2332341.6120000016</v>
      </c>
      <c r="BV80" s="18">
        <f>+BV79+BV78</f>
        <v>8748035.8275000043</v>
      </c>
      <c r="BW80" s="18">
        <f t="shared" ref="BW80:BZ80" si="514">+BW79+BW78</f>
        <v>2718723.8925000015</v>
      </c>
      <c r="BX80" s="18">
        <f t="shared" si="514"/>
        <v>1915180.1645000009</v>
      </c>
      <c r="BY80" s="18">
        <f t="shared" si="514"/>
        <v>3428448.955000001</v>
      </c>
      <c r="BZ80" s="18">
        <f t="shared" si="514"/>
        <v>3144538.003500002</v>
      </c>
    </row>
    <row r="81" spans="1:78" s="16" customFormat="1" x14ac:dyDescent="0.25">
      <c r="B81" s="16" t="s">
        <v>280</v>
      </c>
      <c r="E81" s="16">
        <f>+'Rev &amp; COGS'!E78</f>
        <v>0</v>
      </c>
      <c r="F81" s="16">
        <f>+'Rev &amp; COGS'!F78</f>
        <v>0</v>
      </c>
      <c r="G81" s="16">
        <f>+'Rev &amp; COGS'!G78</f>
        <v>0</v>
      </c>
      <c r="H81" s="16">
        <f>+'Rev &amp; COGS'!H78</f>
        <v>0</v>
      </c>
      <c r="I81" s="16">
        <f>+'Rev &amp; COGS'!I78</f>
        <v>0</v>
      </c>
      <c r="J81" s="16">
        <f>+'Rev &amp; COGS'!J78</f>
        <v>0</v>
      </c>
      <c r="K81" s="16">
        <f>+'Rev &amp; COGS'!K78</f>
        <v>0</v>
      </c>
      <c r="L81" s="16">
        <f>+'Rev &amp; COGS'!L78</f>
        <v>0</v>
      </c>
      <c r="M81" s="16">
        <f>+'Rev &amp; COGS'!M78</f>
        <v>0</v>
      </c>
      <c r="N81" s="16">
        <f>+'Rev &amp; COGS'!N78</f>
        <v>0</v>
      </c>
      <c r="O81" s="16">
        <f>+'Rev &amp; COGS'!O78</f>
        <v>0</v>
      </c>
      <c r="P81" s="16">
        <f>+'Rev &amp; COGS'!P78</f>
        <v>0</v>
      </c>
      <c r="R81" s="16">
        <f>+'Rev &amp; COGS'!R78</f>
        <v>0</v>
      </c>
      <c r="S81" s="16">
        <f>+'Rev &amp; COGS'!S78</f>
        <v>0</v>
      </c>
      <c r="T81" s="16">
        <f>+'Rev &amp; COGS'!T78</f>
        <v>0</v>
      </c>
      <c r="U81" s="16">
        <f>+'Rev &amp; COGS'!U78</f>
        <v>0</v>
      </c>
      <c r="V81" s="16">
        <f>+'Rev &amp; COGS'!V78</f>
        <v>28200</v>
      </c>
      <c r="W81" s="16">
        <f>+'Rev &amp; COGS'!W78</f>
        <v>0</v>
      </c>
      <c r="X81" s="16">
        <f>+'Rev &amp; COGS'!X78</f>
        <v>343200.00000000006</v>
      </c>
      <c r="Y81" s="16">
        <f>+'Rev &amp; COGS'!Y78</f>
        <v>0</v>
      </c>
      <c r="Z81" s="16">
        <f>+'Rev &amp; COGS'!Z78</f>
        <v>0</v>
      </c>
      <c r="AA81" s="16">
        <f>+'Rev &amp; COGS'!AA78</f>
        <v>185550.00000000003</v>
      </c>
      <c r="AB81" s="16">
        <f>+'Rev &amp; COGS'!AB78</f>
        <v>0</v>
      </c>
      <c r="AC81" s="16">
        <f>+'Rev &amp; COGS'!AC78</f>
        <v>0</v>
      </c>
      <c r="AE81" s="16">
        <f>+'Rev &amp; COGS'!AE78</f>
        <v>173250.00000000006</v>
      </c>
      <c r="AF81" s="16">
        <f>+'Rev &amp; COGS'!AF78</f>
        <v>0</v>
      </c>
      <c r="AG81" s="16">
        <f>+'Rev &amp; COGS'!AG78</f>
        <v>0</v>
      </c>
      <c r="AH81" s="16">
        <f>+'Rev &amp; COGS'!AH78</f>
        <v>173250.00000000006</v>
      </c>
      <c r="AI81" s="16">
        <f>+'Rev &amp; COGS'!AI78</f>
        <v>0</v>
      </c>
      <c r="AJ81" s="16">
        <f>+'Rev &amp; COGS'!AJ78</f>
        <v>0</v>
      </c>
      <c r="AK81" s="16">
        <f>+'Rev &amp; COGS'!AK78</f>
        <v>581700.00000000023</v>
      </c>
      <c r="AL81" s="16">
        <f>+'Rev &amp; COGS'!AL78</f>
        <v>0</v>
      </c>
      <c r="AM81" s="16">
        <f>+'Rev &amp; COGS'!AM78</f>
        <v>0</v>
      </c>
      <c r="AN81" s="16">
        <f>+'Rev &amp; COGS'!AN78</f>
        <v>581550.00000000023</v>
      </c>
      <c r="AO81" s="16">
        <f>+'Rev &amp; COGS'!AO78</f>
        <v>0</v>
      </c>
      <c r="AP81" s="16">
        <f>+'Rev &amp; COGS'!AP78</f>
        <v>0</v>
      </c>
      <c r="AR81" s="31">
        <f>SUM(E81:P81)</f>
        <v>0</v>
      </c>
      <c r="AS81" s="31">
        <f>SUM(E81:G81)</f>
        <v>0</v>
      </c>
      <c r="AT81" s="31">
        <f>SUM(H81:J81)</f>
        <v>0</v>
      </c>
      <c r="AU81" s="31">
        <f>SUM(K81:M81)</f>
        <v>0</v>
      </c>
      <c r="AV81" s="31">
        <f>SUM(N81:P81)</f>
        <v>0</v>
      </c>
      <c r="AX81" s="16">
        <f>SUM(R81:AC81)</f>
        <v>556950.00000000012</v>
      </c>
      <c r="AY81" s="16">
        <f>SUM(R83:T83)</f>
        <v>0</v>
      </c>
      <c r="AZ81" s="16">
        <f>SUM(U81:W81)</f>
        <v>28200</v>
      </c>
      <c r="BA81" s="16">
        <f>SUM(X81:Z81)</f>
        <v>343200.00000000006</v>
      </c>
      <c r="BB81" s="16">
        <f>SUM(AA81:AC81)</f>
        <v>185550.00000000003</v>
      </c>
      <c r="BD81" s="16">
        <f>SUM(AE81:AP81)</f>
        <v>1509750.0000000005</v>
      </c>
      <c r="BE81" s="16">
        <f>SUM(AE81:AG81)</f>
        <v>173250.00000000006</v>
      </c>
      <c r="BF81" s="16">
        <f>SUM(AH81:AJ81)</f>
        <v>173250.00000000006</v>
      </c>
      <c r="BG81" s="16">
        <f>SUM(AK81:AM81)</f>
        <v>581700.00000000023</v>
      </c>
      <c r="BH81" s="16">
        <f>SUM(AN81:AP81)</f>
        <v>581550.00000000023</v>
      </c>
      <c r="BJ81" s="16">
        <f>SUM(BK81:BN81)</f>
        <v>3256681.725000001</v>
      </c>
      <c r="BK81" s="16">
        <f>+'Rev &amp; COGS'!BK78</f>
        <v>571725.00000000023</v>
      </c>
      <c r="BL81" s="16">
        <f>+'Rev &amp; COGS'!BL78</f>
        <v>571725.00000000023</v>
      </c>
      <c r="BM81" s="16">
        <f>+'Rev &amp; COGS'!BM78</f>
        <v>1056572.5500000003</v>
      </c>
      <c r="BN81" s="16">
        <f>+'Rev &amp; COGS'!BN78</f>
        <v>1056659.1750000003</v>
      </c>
      <c r="BP81" s="16">
        <f>SUM(BQ81:BT81)</f>
        <v>5369746.4700000025</v>
      </c>
      <c r="BQ81" s="16">
        <f>+'Rev &amp; COGS'!BQ78</f>
        <v>1049699.8050000004</v>
      </c>
      <c r="BR81" s="16">
        <f>+'Rev &amp; COGS'!BR78</f>
        <v>1049699.8050000004</v>
      </c>
      <c r="BS81" s="16">
        <f>+'Rev &amp; COGS'!BS78</f>
        <v>1635190.3050000009</v>
      </c>
      <c r="BT81" s="16">
        <f>+'Rev &amp; COGS'!BT78</f>
        <v>1635156.5550000009</v>
      </c>
      <c r="BV81" s="16">
        <f>SUM(BW81:BZ81)</f>
        <v>7376670.1965000043</v>
      </c>
      <c r="BW81" s="16">
        <f>+'Rev &amp; COGS'!BW78</f>
        <v>1631234.335500001</v>
      </c>
      <c r="BX81" s="16">
        <f>+'Rev &amp; COGS'!BX78</f>
        <v>1631234.335500001</v>
      </c>
      <c r="BY81" s="16">
        <f>+'Rev &amp; COGS'!BY78</f>
        <v>2057153.0790000011</v>
      </c>
      <c r="BZ81" s="16">
        <f>+'Rev &amp; COGS'!BZ78</f>
        <v>2057048.4465000012</v>
      </c>
    </row>
    <row r="82" spans="1:78" s="16" customFormat="1" x14ac:dyDescent="0.25">
      <c r="B82" s="23" t="s">
        <v>305</v>
      </c>
      <c r="E82" s="17">
        <f t="shared" ref="E82:P82" si="515">+E77*E11</f>
        <v>0</v>
      </c>
      <c r="F82" s="17">
        <f t="shared" si="515"/>
        <v>0</v>
      </c>
      <c r="G82" s="17">
        <f t="shared" si="515"/>
        <v>0</v>
      </c>
      <c r="H82" s="17">
        <f t="shared" si="515"/>
        <v>0</v>
      </c>
      <c r="I82" s="17">
        <f t="shared" si="515"/>
        <v>0</v>
      </c>
      <c r="J82" s="17">
        <f t="shared" si="515"/>
        <v>0</v>
      </c>
      <c r="K82" s="17">
        <f t="shared" si="515"/>
        <v>0</v>
      </c>
      <c r="L82" s="17">
        <f t="shared" si="515"/>
        <v>0</v>
      </c>
      <c r="M82" s="17">
        <f t="shared" si="515"/>
        <v>0</v>
      </c>
      <c r="N82" s="17">
        <f t="shared" si="515"/>
        <v>0</v>
      </c>
      <c r="O82" s="17">
        <f t="shared" si="515"/>
        <v>0</v>
      </c>
      <c r="P82" s="17">
        <f t="shared" si="515"/>
        <v>0</v>
      </c>
      <c r="R82" s="17">
        <f t="shared" ref="R82:AC82" si="516">+R77*R11</f>
        <v>0</v>
      </c>
      <c r="S82" s="17">
        <f t="shared" si="516"/>
        <v>0</v>
      </c>
      <c r="T82" s="17">
        <f t="shared" si="516"/>
        <v>0</v>
      </c>
      <c r="U82" s="17">
        <f t="shared" si="516"/>
        <v>0</v>
      </c>
      <c r="V82" s="17">
        <f t="shared" si="516"/>
        <v>17100</v>
      </c>
      <c r="W82" s="17">
        <f t="shared" si="516"/>
        <v>185700.00000000003</v>
      </c>
      <c r="X82" s="17">
        <f t="shared" si="516"/>
        <v>0</v>
      </c>
      <c r="Y82" s="17">
        <f t="shared" si="516"/>
        <v>185550.00000000003</v>
      </c>
      <c r="Z82" s="17">
        <f t="shared" si="516"/>
        <v>185550.00000000003</v>
      </c>
      <c r="AA82" s="17">
        <f t="shared" si="516"/>
        <v>0</v>
      </c>
      <c r="AB82" s="17">
        <f t="shared" si="516"/>
        <v>173250.00000000006</v>
      </c>
      <c r="AC82" s="17">
        <f t="shared" si="516"/>
        <v>173250.00000000006</v>
      </c>
      <c r="AE82" s="17">
        <f t="shared" ref="AE82:AP82" si="517">+AE77*AE11</f>
        <v>0</v>
      </c>
      <c r="AF82" s="17">
        <f t="shared" si="517"/>
        <v>173250.00000000006</v>
      </c>
      <c r="AG82" s="17">
        <f t="shared" si="517"/>
        <v>173250.00000000006</v>
      </c>
      <c r="AH82" s="17">
        <f t="shared" si="517"/>
        <v>0</v>
      </c>
      <c r="AI82" s="17">
        <f t="shared" si="517"/>
        <v>581700.00000000023</v>
      </c>
      <c r="AJ82" s="17">
        <f t="shared" si="517"/>
        <v>581700.00000000023</v>
      </c>
      <c r="AK82" s="17">
        <f t="shared" si="517"/>
        <v>0</v>
      </c>
      <c r="AL82" s="17">
        <f t="shared" si="517"/>
        <v>581550.00000000023</v>
      </c>
      <c r="AM82" s="17">
        <f t="shared" si="517"/>
        <v>581550.00000000023</v>
      </c>
      <c r="AN82" s="17">
        <f t="shared" si="517"/>
        <v>0</v>
      </c>
      <c r="AO82" s="17">
        <f t="shared" si="517"/>
        <v>0</v>
      </c>
      <c r="AP82" s="17">
        <f t="shared" si="517"/>
        <v>381150.00000000023</v>
      </c>
      <c r="AR82" s="17">
        <f>+AR80-AR81</f>
        <v>0</v>
      </c>
      <c r="AS82" s="17">
        <f t="shared" ref="AS82" si="518">+AS80-AS81</f>
        <v>0</v>
      </c>
      <c r="AT82" s="17">
        <f t="shared" ref="AT82" si="519">+AT80-AT81</f>
        <v>0</v>
      </c>
      <c r="AU82" s="17">
        <f t="shared" ref="AU82" si="520">+AU80-AU81</f>
        <v>0</v>
      </c>
      <c r="AV82" s="17">
        <f t="shared" ref="AV82" si="521">+AV80-AV81</f>
        <v>0</v>
      </c>
      <c r="AX82" s="17">
        <f>+AX80-AX81</f>
        <v>-12450</v>
      </c>
      <c r="AY82" s="17">
        <f t="shared" ref="AY82" si="522">+AY80-AY81</f>
        <v>0</v>
      </c>
      <c r="AZ82" s="17">
        <f t="shared" ref="AZ82" si="523">+AZ80-AZ81</f>
        <v>157500.00000000003</v>
      </c>
      <c r="BA82" s="17">
        <f t="shared" ref="BA82" si="524">+BA80-BA81</f>
        <v>-150</v>
      </c>
      <c r="BB82" s="17">
        <f t="shared" ref="BB82" si="525">+BB80-BB81</f>
        <v>-12449.999999999971</v>
      </c>
      <c r="BD82" s="17">
        <f>+BD80-BD81</f>
        <v>195450.00000000023</v>
      </c>
      <c r="BE82" s="17">
        <f t="shared" ref="BE82" si="526">+BE80-BE81</f>
        <v>173250.00000000006</v>
      </c>
      <c r="BF82" s="17">
        <f t="shared" ref="BF82" si="527">+BF80-BF81</f>
        <v>581700.00000000023</v>
      </c>
      <c r="BG82" s="17">
        <f t="shared" ref="BG82" si="528">+BG80-BG81</f>
        <v>581550.00000000023</v>
      </c>
      <c r="BH82" s="17">
        <f t="shared" ref="BH82" si="529">+BH80-BH81</f>
        <v>381150.00000000023</v>
      </c>
      <c r="BJ82" s="17">
        <f t="shared" ref="BJ82" si="530">+BJ80-BJ81</f>
        <v>699799.87000000058</v>
      </c>
      <c r="BK82" s="17">
        <f>+BK77*BK11</f>
        <v>381150.00000000023</v>
      </c>
      <c r="BL82" s="17">
        <f>+BL77*BL11</f>
        <v>704381.70000000007</v>
      </c>
      <c r="BM82" s="17">
        <f>+BM77*BM11</f>
        <v>704439.4500000003</v>
      </c>
      <c r="BN82" s="17">
        <f>+BN77*BN11</f>
        <v>699799.87000000023</v>
      </c>
      <c r="BP82" s="17">
        <f t="shared" ref="BP82" si="531">+BP80-BP81</f>
        <v>1087489.557000001</v>
      </c>
      <c r="BQ82" s="17">
        <f>+BQ77*BQ11</f>
        <v>699799.87000000023</v>
      </c>
      <c r="BR82" s="17">
        <f>+BR77*BR11</f>
        <v>1090126.8700000006</v>
      </c>
      <c r="BS82" s="17">
        <f>+BS77*BS11</f>
        <v>1090104.3700000006</v>
      </c>
      <c r="BT82" s="17">
        <f>+BT77*BT11</f>
        <v>1087489.5570000007</v>
      </c>
      <c r="BV82" s="17">
        <f t="shared" ref="BV82" si="532">+BV80-BV81</f>
        <v>1371365.6310000001</v>
      </c>
      <c r="BW82" s="17">
        <f>+BW77*BW11</f>
        <v>1087489.5570000007</v>
      </c>
      <c r="BX82" s="17">
        <f>+BX77*BX11</f>
        <v>1371435.3860000006</v>
      </c>
      <c r="BY82" s="17">
        <f>+BY77*BY11</f>
        <v>1371365.6310000008</v>
      </c>
      <c r="BZ82" s="17">
        <f>+BZ77*BZ11</f>
        <v>1371365.6310000008</v>
      </c>
    </row>
    <row r="83" spans="1:78" s="16" customFormat="1" x14ac:dyDescent="0.25">
      <c r="AR83" s="18"/>
      <c r="AS83" s="18"/>
      <c r="AT83" s="18"/>
      <c r="AU83" s="18"/>
      <c r="AV83" s="18"/>
      <c r="BK83" s="65"/>
      <c r="BL83" s="65"/>
      <c r="BM83" s="65"/>
      <c r="BN83" s="65"/>
    </row>
    <row r="84" spans="1:78" s="16" customFormat="1" x14ac:dyDescent="0.25">
      <c r="B84" s="19" t="s">
        <v>183</v>
      </c>
      <c r="BK84" s="25"/>
      <c r="BL84" s="25"/>
      <c r="BM84" s="25"/>
      <c r="BN84" s="25"/>
    </row>
    <row r="85" spans="1:78" s="16" customFormat="1" x14ac:dyDescent="0.25">
      <c r="B85" s="16" t="s">
        <v>271</v>
      </c>
      <c r="E85" s="16">
        <f t="shared" ref="E85:P85" si="533">+D89</f>
        <v>0</v>
      </c>
      <c r="F85" s="16">
        <f t="shared" si="533"/>
        <v>0</v>
      </c>
      <c r="G85" s="16">
        <f t="shared" si="533"/>
        <v>0</v>
      </c>
      <c r="H85" s="16">
        <f t="shared" si="533"/>
        <v>0</v>
      </c>
      <c r="I85" s="16">
        <f t="shared" si="533"/>
        <v>0</v>
      </c>
      <c r="J85" s="16">
        <f t="shared" si="533"/>
        <v>0</v>
      </c>
      <c r="K85" s="16">
        <f t="shared" si="533"/>
        <v>0</v>
      </c>
      <c r="L85" s="16">
        <f t="shared" si="533"/>
        <v>0</v>
      </c>
      <c r="M85" s="16">
        <f t="shared" si="533"/>
        <v>0</v>
      </c>
      <c r="N85" s="16">
        <f t="shared" si="533"/>
        <v>0</v>
      </c>
      <c r="O85" s="16">
        <f t="shared" si="533"/>
        <v>0</v>
      </c>
      <c r="P85" s="16">
        <f t="shared" si="533"/>
        <v>0</v>
      </c>
      <c r="R85" s="16">
        <f t="shared" ref="R85:T85" si="534">+Q89</f>
        <v>0</v>
      </c>
      <c r="S85" s="16">
        <f t="shared" si="534"/>
        <v>0</v>
      </c>
      <c r="T85" s="16">
        <f t="shared" si="534"/>
        <v>0</v>
      </c>
      <c r="U85" s="16">
        <f>+T89</f>
        <v>0</v>
      </c>
      <c r="V85" s="16">
        <f t="shared" ref="V85:AC85" si="535">+U89</f>
        <v>52670.562291093491</v>
      </c>
      <c r="W85" s="16">
        <f t="shared" si="535"/>
        <v>140454.83277624933</v>
      </c>
      <c r="X85" s="16">
        <f t="shared" si="535"/>
        <v>316023.373746561</v>
      </c>
      <c r="Y85" s="16">
        <f t="shared" si="535"/>
        <v>403793.58052255912</v>
      </c>
      <c r="Z85" s="16">
        <f t="shared" si="535"/>
        <v>430503.96272144024</v>
      </c>
      <c r="AA85" s="16">
        <f t="shared" si="535"/>
        <v>492033.22853556642</v>
      </c>
      <c r="AB85" s="16">
        <f t="shared" si="535"/>
        <v>443879.65779588313</v>
      </c>
      <c r="AC85" s="16">
        <f t="shared" si="535"/>
        <v>504567.89037327294</v>
      </c>
      <c r="AE85" s="16">
        <f>+AC89</f>
        <v>558321.72872668435</v>
      </c>
      <c r="AF85" s="16">
        <f t="shared" ref="AF85:AP85" si="536">+AE89</f>
        <v>557594.0541282614</v>
      </c>
      <c r="AG85" s="16">
        <f t="shared" si="536"/>
        <v>568979.57040827407</v>
      </c>
      <c r="AH85" s="16">
        <f t="shared" si="536"/>
        <v>588462.16705613234</v>
      </c>
      <c r="AI85" s="16">
        <f t="shared" si="536"/>
        <v>604977.00383497612</v>
      </c>
      <c r="AJ85" s="16">
        <f t="shared" si="536"/>
        <v>696360.85667981824</v>
      </c>
      <c r="AK85" s="16">
        <f t="shared" si="536"/>
        <v>809975.59750414488</v>
      </c>
      <c r="AL85" s="16">
        <f t="shared" si="536"/>
        <v>771796.97566996492</v>
      </c>
      <c r="AM85" s="16">
        <f t="shared" si="536"/>
        <v>761137.19406638911</v>
      </c>
      <c r="AN85" s="16">
        <f t="shared" si="536"/>
        <v>762347.36510478565</v>
      </c>
      <c r="AO85" s="16">
        <f t="shared" si="536"/>
        <v>732056.02535262611</v>
      </c>
      <c r="AP85" s="16">
        <f t="shared" si="536"/>
        <v>723972.02537103998</v>
      </c>
      <c r="AR85" s="16">
        <f>+E85</f>
        <v>0</v>
      </c>
      <c r="AS85" s="16">
        <f>+AR89</f>
        <v>0</v>
      </c>
      <c r="AT85" s="16">
        <f t="shared" ref="AT85:AV85" si="537">+AS89</f>
        <v>0</v>
      </c>
      <c r="AU85" s="16">
        <f t="shared" si="537"/>
        <v>0</v>
      </c>
      <c r="AV85" s="16">
        <f t="shared" si="537"/>
        <v>0</v>
      </c>
      <c r="AX85" s="16">
        <f>+AV89</f>
        <v>0</v>
      </c>
      <c r="AY85" s="16">
        <f>+R85</f>
        <v>0</v>
      </c>
      <c r="AZ85" s="16">
        <f t="shared" ref="AZ85:BB85" si="538">+AY89</f>
        <v>0</v>
      </c>
      <c r="BA85" s="16">
        <f t="shared" si="538"/>
        <v>316023.373746561</v>
      </c>
      <c r="BB85" s="16">
        <f t="shared" si="538"/>
        <v>492033.2285355663</v>
      </c>
      <c r="BD85" s="16">
        <f>+BB89</f>
        <v>558321.72872668423</v>
      </c>
      <c r="BE85" s="16">
        <f>+AE85</f>
        <v>558321.72872668435</v>
      </c>
      <c r="BF85" s="16">
        <f t="shared" ref="BF85:BH85" si="539">+BE89</f>
        <v>588462.16705613234</v>
      </c>
      <c r="BG85" s="16">
        <f t="shared" si="539"/>
        <v>809975.59750414488</v>
      </c>
      <c r="BH85" s="16">
        <f t="shared" si="539"/>
        <v>762347.36510478542</v>
      </c>
      <c r="BJ85" s="16">
        <f>+BK85</f>
        <v>845429.76528602047</v>
      </c>
      <c r="BK85" s="16">
        <f>+BH89</f>
        <v>845429.76528602047</v>
      </c>
      <c r="BL85" s="16">
        <f>+BK89</f>
        <v>839147.90096914675</v>
      </c>
      <c r="BM85" s="16">
        <f t="shared" ref="BM85:BN85" si="540">+BL89</f>
        <v>1439086.8943495536</v>
      </c>
      <c r="BN85" s="16">
        <f t="shared" si="540"/>
        <v>1531407.2756303197</v>
      </c>
      <c r="BP85" s="16">
        <f>+BQ85</f>
        <v>1781902.8027872033</v>
      </c>
      <c r="BQ85" s="16">
        <f>+BN89</f>
        <v>1781902.8027872033</v>
      </c>
      <c r="BR85" s="16">
        <f>+BQ89</f>
        <v>1842832.4303008667</v>
      </c>
      <c r="BS85" s="16">
        <f t="shared" ref="BS85:BT85" si="541">+BR89</f>
        <v>2806741.7968328451</v>
      </c>
      <c r="BT85" s="16">
        <f t="shared" si="541"/>
        <v>2613680.6470892639</v>
      </c>
      <c r="BV85" s="16">
        <f>+BW85</f>
        <v>3117198.4662486706</v>
      </c>
      <c r="BW85" s="16">
        <f>+BT89</f>
        <v>3117198.4662486706</v>
      </c>
      <c r="BX85" s="16">
        <f>+BW89</f>
        <v>3195595.7667320585</v>
      </c>
      <c r="BY85" s="16">
        <f t="shared" ref="BY85:BZ85" si="542">+BX89</f>
        <v>3994278.8665581029</v>
      </c>
      <c r="BZ85" s="16">
        <f t="shared" si="542"/>
        <v>4236809.4383252729</v>
      </c>
    </row>
    <row r="86" spans="1:78" s="16" customFormat="1" x14ac:dyDescent="0.25">
      <c r="B86" s="16" t="s">
        <v>278</v>
      </c>
      <c r="E86" s="16">
        <f t="shared" ref="E86:P86" si="543">+E60</f>
        <v>0</v>
      </c>
      <c r="F86" s="16">
        <f t="shared" si="543"/>
        <v>0</v>
      </c>
      <c r="G86" s="16">
        <f t="shared" si="543"/>
        <v>0</v>
      </c>
      <c r="H86" s="16">
        <f t="shared" si="543"/>
        <v>0</v>
      </c>
      <c r="I86" s="16">
        <f t="shared" si="543"/>
        <v>0</v>
      </c>
      <c r="J86" s="16">
        <f t="shared" si="543"/>
        <v>0</v>
      </c>
      <c r="K86" s="16">
        <f t="shared" si="543"/>
        <v>0</v>
      </c>
      <c r="L86" s="16">
        <f t="shared" si="543"/>
        <v>0</v>
      </c>
      <c r="M86" s="16">
        <f t="shared" si="543"/>
        <v>0</v>
      </c>
      <c r="N86" s="16">
        <f t="shared" si="543"/>
        <v>0</v>
      </c>
      <c r="O86" s="16">
        <f t="shared" si="543"/>
        <v>0</v>
      </c>
      <c r="P86" s="16">
        <f t="shared" si="543"/>
        <v>0</v>
      </c>
      <c r="R86" s="16">
        <f t="shared" ref="R86:T86" si="544">+R60</f>
        <v>0</v>
      </c>
      <c r="S86" s="16">
        <f t="shared" si="544"/>
        <v>0</v>
      </c>
      <c r="T86" s="16">
        <f t="shared" si="544"/>
        <v>0</v>
      </c>
      <c r="U86" s="16">
        <f>+U60</f>
        <v>52670.562291093491</v>
      </c>
      <c r="V86" s="16">
        <f t="shared" ref="V86:AC86" si="545">+V60</f>
        <v>87784.270485155837</v>
      </c>
      <c r="W86" s="16">
        <f t="shared" si="545"/>
        <v>175568.54097031167</v>
      </c>
      <c r="X86" s="16">
        <f t="shared" si="545"/>
        <v>245781.8936492785</v>
      </c>
      <c r="Y86" s="16">
        <f t="shared" si="545"/>
        <v>184508.93399487983</v>
      </c>
      <c r="Z86" s="16">
        <f t="shared" si="545"/>
        <v>219313.44311853297</v>
      </c>
      <c r="AA86" s="16">
        <f t="shared" si="545"/>
        <v>124892.91449200494</v>
      </c>
      <c r="AB86" s="16">
        <f t="shared" si="545"/>
        <v>233726.67707945779</v>
      </c>
      <c r="AC86" s="16">
        <f t="shared" si="545"/>
        <v>226726.6721016278</v>
      </c>
      <c r="AE86" s="16">
        <f t="shared" ref="AE86:AP86" si="546">+AE60</f>
        <v>206116.77110163565</v>
      </c>
      <c r="AF86" s="16">
        <f t="shared" si="546"/>
        <v>219423.56311968237</v>
      </c>
      <c r="AG86" s="16">
        <f t="shared" si="546"/>
        <v>228274.34559232977</v>
      </c>
      <c r="AH86" s="16">
        <f t="shared" si="546"/>
        <v>242846.4394927409</v>
      </c>
      <c r="AI86" s="16">
        <f t="shared" si="546"/>
        <v>242846.43949274084</v>
      </c>
      <c r="AJ86" s="16">
        <f t="shared" si="546"/>
        <v>242846.43949274096</v>
      </c>
      <c r="AK86" s="16">
        <f t="shared" si="546"/>
        <v>273350.45412895258</v>
      </c>
      <c r="AL86" s="16">
        <f t="shared" si="546"/>
        <v>281641.40970335033</v>
      </c>
      <c r="AM86" s="16">
        <f t="shared" si="546"/>
        <v>281641.40970335033</v>
      </c>
      <c r="AN86" s="16">
        <f t="shared" si="546"/>
        <v>266727.11418476992</v>
      </c>
      <c r="AO86" s="16">
        <f t="shared" si="546"/>
        <v>284738.41015946417</v>
      </c>
      <c r="AP86" s="16">
        <f t="shared" si="546"/>
        <v>411046.55006339675</v>
      </c>
      <c r="AR86" s="16">
        <f>SUM(E86:P86)</f>
        <v>0</v>
      </c>
      <c r="AS86" s="16">
        <f>SUM(E86:G86)</f>
        <v>0</v>
      </c>
      <c r="AT86" s="16">
        <f>SUM(H86:J86)</f>
        <v>0</v>
      </c>
      <c r="AU86" s="16">
        <f>SUM(K86:M86)</f>
        <v>0</v>
      </c>
      <c r="AV86" s="16">
        <f>SUM(N86:P86)</f>
        <v>0</v>
      </c>
      <c r="AX86" s="16">
        <f>SUM(R86:AC86)</f>
        <v>1550973.908182343</v>
      </c>
      <c r="AY86" s="16">
        <f>SUM(R88:T88)</f>
        <v>0</v>
      </c>
      <c r="AZ86" s="16">
        <f>SUM(U86:W86)</f>
        <v>316023.373746561</v>
      </c>
      <c r="BA86" s="16">
        <f>SUM(X86:Z86)</f>
        <v>649604.27076269127</v>
      </c>
      <c r="BB86" s="16">
        <f>SUM(AA86:AC86)</f>
        <v>585346.26367309061</v>
      </c>
      <c r="BD86" s="16">
        <f>SUM(AE86:AP86)</f>
        <v>3181499.3462351542</v>
      </c>
      <c r="BE86" s="16">
        <f>SUM(AE86:AG86)</f>
        <v>653814.67981364776</v>
      </c>
      <c r="BF86" s="16">
        <f>SUM(AH86:AJ86)</f>
        <v>728539.3184782227</v>
      </c>
      <c r="BG86" s="16">
        <f>SUM(AK86:AM86)</f>
        <v>836633.27353565325</v>
      </c>
      <c r="BH86" s="16">
        <f>SUM(AN86:AP86)</f>
        <v>962512.07440763083</v>
      </c>
      <c r="BJ86" s="16">
        <f>SUM(BK86:BN86)</f>
        <v>6849099.9899217188</v>
      </c>
      <c r="BK86" s="16">
        <f t="shared" ref="BK86:BL86" si="547">+BK60</f>
        <v>1008233.8540263511</v>
      </c>
      <c r="BL86" s="16">
        <f t="shared" si="547"/>
        <v>1678843.4374835957</v>
      </c>
      <c r="BM86" s="16">
        <f t="shared" ref="BM86:BN86" si="548">+BM60</f>
        <v>1942574.9597301923</v>
      </c>
      <c r="BN86" s="16">
        <f t="shared" si="548"/>
        <v>2219447.7386815804</v>
      </c>
      <c r="BP86" s="16">
        <f>SUM(BQ86:BT86)</f>
        <v>13255727.648462573</v>
      </c>
      <c r="BQ86" s="16">
        <f t="shared" ref="BQ86:BT86" si="549">+BQ60</f>
        <v>2351947.5168114961</v>
      </c>
      <c r="BR86" s="16">
        <f t="shared" si="549"/>
        <v>3367603.8408374563</v>
      </c>
      <c r="BS86" s="16">
        <f t="shared" si="549"/>
        <v>3521744.169594008</v>
      </c>
      <c r="BT86" s="16">
        <f t="shared" si="549"/>
        <v>4014432.1212196127</v>
      </c>
      <c r="BV86" s="16">
        <f>SUM(BW86:BZ86)</f>
        <v>21465117.023029912</v>
      </c>
      <c r="BW86" s="16">
        <f t="shared" ref="BW86:BZ86" si="550">+BW60</f>
        <v>4329122.481731575</v>
      </c>
      <c r="BX86" s="16">
        <f t="shared" si="550"/>
        <v>5223354.1614550482</v>
      </c>
      <c r="BY86" s="16">
        <f t="shared" si="550"/>
        <v>5859485.2278645029</v>
      </c>
      <c r="BZ86" s="16">
        <f t="shared" si="550"/>
        <v>6053155.151978788</v>
      </c>
    </row>
    <row r="87" spans="1:78" s="16" customFormat="1" x14ac:dyDescent="0.25">
      <c r="B87" s="16" t="s">
        <v>279</v>
      </c>
      <c r="E87" s="18">
        <f t="shared" ref="E87" si="551">+E86+E85</f>
        <v>0</v>
      </c>
      <c r="F87" s="18">
        <f t="shared" ref="F87" si="552">+F86+F85</f>
        <v>0</v>
      </c>
      <c r="G87" s="18">
        <f t="shared" ref="G87" si="553">+G86+G85</f>
        <v>0</v>
      </c>
      <c r="H87" s="18">
        <f t="shared" ref="H87" si="554">+H86+H85</f>
        <v>0</v>
      </c>
      <c r="I87" s="18">
        <f t="shared" ref="I87" si="555">+I86+I85</f>
        <v>0</v>
      </c>
      <c r="J87" s="18">
        <f t="shared" ref="J87" si="556">+J86+J85</f>
        <v>0</v>
      </c>
      <c r="K87" s="18">
        <f t="shared" ref="K87" si="557">+K86+K85</f>
        <v>0</v>
      </c>
      <c r="L87" s="18">
        <f t="shared" ref="L87" si="558">+L86+L85</f>
        <v>0</v>
      </c>
      <c r="M87" s="18">
        <f t="shared" ref="M87" si="559">+M86+M85</f>
        <v>0</v>
      </c>
      <c r="N87" s="18">
        <f t="shared" ref="N87" si="560">+N86+N85</f>
        <v>0</v>
      </c>
      <c r="O87" s="18">
        <f t="shared" ref="O87" si="561">+O86+O85</f>
        <v>0</v>
      </c>
      <c r="P87" s="18">
        <f t="shared" ref="P87" si="562">+P86+P85</f>
        <v>0</v>
      </c>
      <c r="R87" s="18">
        <f t="shared" ref="R87:T87" si="563">+R86+R85</f>
        <v>0</v>
      </c>
      <c r="S87" s="18">
        <f t="shared" si="563"/>
        <v>0</v>
      </c>
      <c r="T87" s="18">
        <f t="shared" si="563"/>
        <v>0</v>
      </c>
      <c r="U87" s="18">
        <f>+U86+U85</f>
        <v>52670.562291093491</v>
      </c>
      <c r="V87" s="18">
        <f t="shared" ref="V87:AC87" si="564">+V86+V85</f>
        <v>140454.83277624933</v>
      </c>
      <c r="W87" s="18">
        <f t="shared" si="564"/>
        <v>316023.373746561</v>
      </c>
      <c r="X87" s="18">
        <f t="shared" si="564"/>
        <v>561805.26739583956</v>
      </c>
      <c r="Y87" s="18">
        <f t="shared" si="564"/>
        <v>588302.51451743895</v>
      </c>
      <c r="Z87" s="18">
        <f t="shared" si="564"/>
        <v>649817.40583997325</v>
      </c>
      <c r="AA87" s="18">
        <f t="shared" si="564"/>
        <v>616926.14302757138</v>
      </c>
      <c r="AB87" s="18">
        <f t="shared" si="564"/>
        <v>677606.33487534092</v>
      </c>
      <c r="AC87" s="18">
        <f t="shared" si="564"/>
        <v>731294.56247490074</v>
      </c>
      <c r="AE87" s="18">
        <f t="shared" ref="AE87" si="565">+AE86+AE85</f>
        <v>764438.49982832</v>
      </c>
      <c r="AF87" s="18">
        <f t="shared" ref="AF87" si="566">+AF86+AF85</f>
        <v>777017.61724794377</v>
      </c>
      <c r="AG87" s="18">
        <f t="shared" ref="AG87" si="567">+AG86+AG85</f>
        <v>797253.91600060381</v>
      </c>
      <c r="AH87" s="18">
        <f t="shared" ref="AH87" si="568">+AH86+AH85</f>
        <v>831308.60654887324</v>
      </c>
      <c r="AI87" s="18">
        <f t="shared" ref="AI87" si="569">+AI86+AI85</f>
        <v>847823.44332771702</v>
      </c>
      <c r="AJ87" s="18">
        <f t="shared" ref="AJ87" si="570">+AJ86+AJ85</f>
        <v>939207.29617255926</v>
      </c>
      <c r="AK87" s="18">
        <f t="shared" ref="AK87" si="571">+AK86+AK85</f>
        <v>1083326.0516330975</v>
      </c>
      <c r="AL87" s="18">
        <f t="shared" ref="AL87" si="572">+AL86+AL85</f>
        <v>1053438.3853733153</v>
      </c>
      <c r="AM87" s="18">
        <f t="shared" ref="AM87" si="573">+AM86+AM85</f>
        <v>1042778.6037697394</v>
      </c>
      <c r="AN87" s="18">
        <f t="shared" ref="AN87" si="574">+AN86+AN85</f>
        <v>1029074.4792895556</v>
      </c>
      <c r="AO87" s="18">
        <f t="shared" ref="AO87" si="575">+AO86+AO85</f>
        <v>1016794.4355120903</v>
      </c>
      <c r="AP87" s="18">
        <f t="shared" ref="AP87" si="576">+AP86+AP85</f>
        <v>1135018.5754344368</v>
      </c>
      <c r="AR87" s="18">
        <f>+AR85+AR86</f>
        <v>0</v>
      </c>
      <c r="AS87" s="18">
        <f t="shared" ref="AS87" si="577">+AS85+AS86</f>
        <v>0</v>
      </c>
      <c r="AT87" s="18">
        <f t="shared" ref="AT87" si="578">+AT85+AT86</f>
        <v>0</v>
      </c>
      <c r="AU87" s="18">
        <f t="shared" ref="AU87" si="579">+AU85+AU86</f>
        <v>0</v>
      </c>
      <c r="AV87" s="18">
        <f t="shared" ref="AV87" si="580">+AV85+AV86</f>
        <v>0</v>
      </c>
      <c r="AX87" s="18">
        <f>+AX85+AX86</f>
        <v>1550973.908182343</v>
      </c>
      <c r="AY87" s="18">
        <f t="shared" ref="AY87" si="581">+AY85+AY86</f>
        <v>0</v>
      </c>
      <c r="AZ87" s="18">
        <f t="shared" ref="AZ87" si="582">+AZ85+AZ86</f>
        <v>316023.373746561</v>
      </c>
      <c r="BA87" s="18">
        <f t="shared" ref="BA87" si="583">+BA85+BA86</f>
        <v>965627.64450925228</v>
      </c>
      <c r="BB87" s="18">
        <f t="shared" ref="BB87" si="584">+BB85+BB86</f>
        <v>1077379.4922086569</v>
      </c>
      <c r="BD87" s="18">
        <f>+BD85+BD86</f>
        <v>3739821.0749618383</v>
      </c>
      <c r="BE87" s="18">
        <f t="shared" ref="BE87" si="585">+BE85+BE86</f>
        <v>1212136.4085403322</v>
      </c>
      <c r="BF87" s="18">
        <f t="shared" ref="BF87" si="586">+BF85+BF86</f>
        <v>1317001.485534355</v>
      </c>
      <c r="BG87" s="18">
        <f t="shared" ref="BG87" si="587">+BG85+BG86</f>
        <v>1646608.871039798</v>
      </c>
      <c r="BH87" s="18">
        <f t="shared" ref="BH87" si="588">+BH85+BH86</f>
        <v>1724859.4395124163</v>
      </c>
      <c r="BJ87" s="18">
        <f>+BJ86+BJ85</f>
        <v>7694529.7552077398</v>
      </c>
      <c r="BK87" s="18">
        <f t="shared" ref="BK87:BL87" si="589">+BK86+BK85</f>
        <v>1853663.6193123716</v>
      </c>
      <c r="BL87" s="18">
        <f t="shared" si="589"/>
        <v>2517991.3384527424</v>
      </c>
      <c r="BM87" s="18">
        <f t="shared" ref="BM87:BN87" si="590">+BM86+BM85</f>
        <v>3381661.8540797457</v>
      </c>
      <c r="BN87" s="18">
        <f t="shared" si="590"/>
        <v>3750855.0143119004</v>
      </c>
      <c r="BP87" s="18">
        <f>+BP86+BP85</f>
        <v>15037630.451249776</v>
      </c>
      <c r="BQ87" s="18">
        <f>+BQ86+BQ85</f>
        <v>4133850.3195986995</v>
      </c>
      <c r="BR87" s="18">
        <f t="shared" ref="BR87:BT87" si="591">+BR86+BR85</f>
        <v>5210436.2711383235</v>
      </c>
      <c r="BS87" s="18">
        <f t="shared" si="591"/>
        <v>6328485.9664268531</v>
      </c>
      <c r="BT87" s="18">
        <f t="shared" si="591"/>
        <v>6628112.7683088761</v>
      </c>
      <c r="BV87" s="18">
        <f>+BV86+BV85</f>
        <v>24582315.489278585</v>
      </c>
      <c r="BW87" s="18">
        <f t="shared" ref="BW87:BZ87" si="592">+BW86+BW85</f>
        <v>7446320.9479802456</v>
      </c>
      <c r="BX87" s="18">
        <f t="shared" si="592"/>
        <v>8418949.9281871058</v>
      </c>
      <c r="BY87" s="18">
        <f t="shared" si="592"/>
        <v>9853764.0944226049</v>
      </c>
      <c r="BZ87" s="18">
        <f t="shared" si="592"/>
        <v>10289964.590304062</v>
      </c>
    </row>
    <row r="88" spans="1:78" s="16" customFormat="1" x14ac:dyDescent="0.25">
      <c r="B88" s="16" t="s">
        <v>280</v>
      </c>
      <c r="E88" s="16">
        <f>+'Rev &amp; COGS'!E94</f>
        <v>0</v>
      </c>
      <c r="F88" s="16">
        <f>+'Rev &amp; COGS'!F94</f>
        <v>0</v>
      </c>
      <c r="G88" s="16">
        <f>+'Rev &amp; COGS'!G94</f>
        <v>0</v>
      </c>
      <c r="H88" s="16">
        <f>+'Rev &amp; COGS'!H94</f>
        <v>0</v>
      </c>
      <c r="I88" s="16">
        <f>+'Rev &amp; COGS'!I94</f>
        <v>0</v>
      </c>
      <c r="J88" s="16">
        <f>+'Rev &amp; COGS'!J94</f>
        <v>0</v>
      </c>
      <c r="K88" s="16">
        <f>+'Rev &amp; COGS'!K94</f>
        <v>0</v>
      </c>
      <c r="L88" s="16">
        <f>+'Rev &amp; COGS'!L94</f>
        <v>0</v>
      </c>
      <c r="M88" s="16">
        <f>+'Rev &amp; COGS'!M94</f>
        <v>0</v>
      </c>
      <c r="N88" s="16">
        <f>+'Rev &amp; COGS'!N94</f>
        <v>0</v>
      </c>
      <c r="O88" s="16">
        <f>+'Rev &amp; COGS'!O94</f>
        <v>0</v>
      </c>
      <c r="P88" s="16">
        <f>+'Rev &amp; COGS'!P94</f>
        <v>0</v>
      </c>
      <c r="R88" s="16">
        <f>+'Rev &amp; COGS'!R94</f>
        <v>0</v>
      </c>
      <c r="S88" s="16">
        <f>+'Rev &amp; COGS'!S94</f>
        <v>0</v>
      </c>
      <c r="T88" s="16">
        <f>+'Rev &amp; COGS'!T94</f>
        <v>0</v>
      </c>
      <c r="U88" s="16">
        <f>+'Rev &amp; COGS'!U94</f>
        <v>0</v>
      </c>
      <c r="V88" s="16">
        <f>+'Rev &amp; COGS'!V94</f>
        <v>0</v>
      </c>
      <c r="W88" s="16">
        <f>+'Rev &amp; COGS'!W94</f>
        <v>0</v>
      </c>
      <c r="X88" s="16">
        <f>+'Rev &amp; COGS'!X94</f>
        <v>158011.68687328047</v>
      </c>
      <c r="Y88" s="16">
        <f>+'Rev &amp; COGS'!Y94</f>
        <v>157798.55179599868</v>
      </c>
      <c r="Z88" s="16">
        <f>+'Rev &amp; COGS'!Z94</f>
        <v>157784.17730440682</v>
      </c>
      <c r="AA88" s="16">
        <f>+'Rev &amp; COGS'!AA94</f>
        <v>173046.48523168828</v>
      </c>
      <c r="AB88" s="16">
        <f>+'Rev &amp; COGS'!AB94</f>
        <v>173038.44450206796</v>
      </c>
      <c r="AC88" s="16">
        <f>+'Rev &amp; COGS'!AC94</f>
        <v>172972.83374821639</v>
      </c>
      <c r="AE88" s="16">
        <f>+'Rev &amp; COGS'!AE94</f>
        <v>206844.44570005857</v>
      </c>
      <c r="AF88" s="16">
        <f>+'Rev &amp; COGS'!AF94</f>
        <v>208038.0468396697</v>
      </c>
      <c r="AG88" s="16">
        <f>+'Rev &amp; COGS'!AG94</f>
        <v>208791.74894447153</v>
      </c>
      <c r="AH88" s="16">
        <f>+'Rev &amp; COGS'!AH94</f>
        <v>226331.60271389707</v>
      </c>
      <c r="AI88" s="16">
        <f>+'Rev &amp; COGS'!AI94</f>
        <v>151462.58664789874</v>
      </c>
      <c r="AJ88" s="16">
        <f>+'Rev &amp; COGS'!AJ94</f>
        <v>129231.69866841436</v>
      </c>
      <c r="AK88" s="16">
        <f>+'Rev &amp; COGS'!AK94</f>
        <v>311529.07596313261</v>
      </c>
      <c r="AL88" s="16">
        <f>+'Rev &amp; COGS'!AL94</f>
        <v>292301.19130692619</v>
      </c>
      <c r="AM88" s="16">
        <f>+'Rev &amp; COGS'!AM94</f>
        <v>280431.23866495374</v>
      </c>
      <c r="AN88" s="16">
        <f>+'Rev &amp; COGS'!AN94</f>
        <v>297018.45393692941</v>
      </c>
      <c r="AO88" s="16">
        <f>+'Rev &amp; COGS'!AO94</f>
        <v>292822.41014105041</v>
      </c>
      <c r="AP88" s="16">
        <f>+'Rev &amp; COGS'!AP94</f>
        <v>289588.81014841597</v>
      </c>
      <c r="AR88" s="16">
        <f>SUM(E88:P88)</f>
        <v>0</v>
      </c>
      <c r="AS88" s="16">
        <f>SUM(E88:G88)</f>
        <v>0</v>
      </c>
      <c r="AT88" s="16">
        <f>SUM(H88:J88)</f>
        <v>0</v>
      </c>
      <c r="AU88" s="16">
        <f>SUM(K88:M88)</f>
        <v>0</v>
      </c>
      <c r="AV88" s="16">
        <f>SUM(N88:P88)</f>
        <v>0</v>
      </c>
      <c r="AX88" s="16">
        <f>SUM(R88:AC88)</f>
        <v>992652.17945565865</v>
      </c>
      <c r="AY88" s="16">
        <f>SUM(R90:T90)</f>
        <v>0</v>
      </c>
      <c r="AZ88" s="16">
        <f>SUM(U88:W88)</f>
        <v>0</v>
      </c>
      <c r="BA88" s="16">
        <f>SUM(X88:Z88)</f>
        <v>473594.41597368597</v>
      </c>
      <c r="BB88" s="16">
        <f>SUM(AA88:AC88)</f>
        <v>519057.76348197262</v>
      </c>
      <c r="BD88" s="16">
        <f>SUM(AE88:AP88)</f>
        <v>2894391.3096758188</v>
      </c>
      <c r="BE88" s="16">
        <f>SUM(AE88:AG88)</f>
        <v>623674.24148419988</v>
      </c>
      <c r="BF88" s="16">
        <f>SUM(AH88:AJ88)</f>
        <v>507025.88803021016</v>
      </c>
      <c r="BG88" s="16">
        <f>SUM(AK88:AM88)</f>
        <v>884261.5059350126</v>
      </c>
      <c r="BH88" s="16">
        <f>SUM(AN88:AP88)</f>
        <v>879429.67422639579</v>
      </c>
      <c r="BJ88" s="16">
        <f>SUM(BK88:BN88)</f>
        <v>5912626.9524205364</v>
      </c>
      <c r="BK88" s="16">
        <f>+'Rev &amp; COGS'!BK94</f>
        <v>1014515.7183432248</v>
      </c>
      <c r="BL88" s="16">
        <f>+'Rev &amp; COGS'!BL94</f>
        <v>1078904.4441031888</v>
      </c>
      <c r="BM88" s="16">
        <f>+'Rev &amp; COGS'!BM94</f>
        <v>1850254.578449426</v>
      </c>
      <c r="BN88" s="16">
        <f>+'Rev &amp; COGS'!BN94</f>
        <v>1968952.211524697</v>
      </c>
      <c r="BP88" s="16">
        <f>SUM(BQ88:BT88)</f>
        <v>11920431.985001106</v>
      </c>
      <c r="BQ88" s="16">
        <f>+'Rev &amp; COGS'!BQ94</f>
        <v>2291017.8892978327</v>
      </c>
      <c r="BR88" s="16">
        <f>+'Rev &amp; COGS'!BR94</f>
        <v>2403694.4743054784</v>
      </c>
      <c r="BS88" s="16">
        <f>+'Rev &amp; COGS'!BS94</f>
        <v>3714805.3193375892</v>
      </c>
      <c r="BT88" s="16">
        <f>+'Rev &amp; COGS'!BT94</f>
        <v>3510914.3020602055</v>
      </c>
      <c r="BV88" s="16">
        <f>SUM(BW88:BZ88)</f>
        <v>20344935.810867768</v>
      </c>
      <c r="BW88" s="16">
        <f>+'Rev &amp; COGS'!BW94</f>
        <v>4250725.1812481871</v>
      </c>
      <c r="BX88" s="16">
        <f>+'Rev &amp; COGS'!BX94</f>
        <v>4424671.0616290029</v>
      </c>
      <c r="BY88" s="16">
        <f>+'Rev &amp; COGS'!BY94</f>
        <v>5616954.656097332</v>
      </c>
      <c r="BZ88" s="16">
        <f>+'Rev &amp; COGS'!BZ94</f>
        <v>6052584.9118932476</v>
      </c>
    </row>
    <row r="89" spans="1:78" s="16" customFormat="1" x14ac:dyDescent="0.25">
      <c r="B89" s="16" t="s">
        <v>282</v>
      </c>
      <c r="E89" s="17">
        <f t="shared" ref="E89" si="593">+E87-E88</f>
        <v>0</v>
      </c>
      <c r="F89" s="17">
        <f t="shared" ref="F89" si="594">+F87-F88</f>
        <v>0</v>
      </c>
      <c r="G89" s="17">
        <f t="shared" ref="G89" si="595">+G87-G88</f>
        <v>0</v>
      </c>
      <c r="H89" s="17">
        <f t="shared" ref="H89" si="596">+H87-H88</f>
        <v>0</v>
      </c>
      <c r="I89" s="17">
        <f t="shared" ref="I89" si="597">+I87-I88</f>
        <v>0</v>
      </c>
      <c r="J89" s="17">
        <f t="shared" ref="J89" si="598">+J87-J88</f>
        <v>0</v>
      </c>
      <c r="K89" s="17">
        <f t="shared" ref="K89" si="599">+K87-K88</f>
        <v>0</v>
      </c>
      <c r="L89" s="17">
        <f t="shared" ref="L89" si="600">+L87-L88</f>
        <v>0</v>
      </c>
      <c r="M89" s="17">
        <f t="shared" ref="M89" si="601">+M87-M88</f>
        <v>0</v>
      </c>
      <c r="N89" s="17">
        <f t="shared" ref="N89" si="602">+N87-N88</f>
        <v>0</v>
      </c>
      <c r="O89" s="17">
        <f t="shared" ref="O89" si="603">+O87-O88</f>
        <v>0</v>
      </c>
      <c r="P89" s="17">
        <f t="shared" ref="P89" si="604">+P87-P88</f>
        <v>0</v>
      </c>
      <c r="R89" s="17">
        <f t="shared" ref="R89:T89" si="605">+R87-R88</f>
        <v>0</v>
      </c>
      <c r="S89" s="17">
        <f t="shared" si="605"/>
        <v>0</v>
      </c>
      <c r="T89" s="17">
        <f t="shared" si="605"/>
        <v>0</v>
      </c>
      <c r="U89" s="17">
        <f>+U87-U88</f>
        <v>52670.562291093491</v>
      </c>
      <c r="V89" s="17">
        <f t="shared" ref="V89:AC89" si="606">+V87-V88</f>
        <v>140454.83277624933</v>
      </c>
      <c r="W89" s="17">
        <f t="shared" si="606"/>
        <v>316023.373746561</v>
      </c>
      <c r="X89" s="17">
        <f t="shared" si="606"/>
        <v>403793.58052255912</v>
      </c>
      <c r="Y89" s="17">
        <f t="shared" si="606"/>
        <v>430503.96272144024</v>
      </c>
      <c r="Z89" s="17">
        <f t="shared" si="606"/>
        <v>492033.22853556642</v>
      </c>
      <c r="AA89" s="17">
        <f t="shared" si="606"/>
        <v>443879.65779588313</v>
      </c>
      <c r="AB89" s="17">
        <f t="shared" si="606"/>
        <v>504567.89037327294</v>
      </c>
      <c r="AC89" s="17">
        <f t="shared" si="606"/>
        <v>558321.72872668435</v>
      </c>
      <c r="AE89" s="17">
        <f t="shared" ref="AE89" si="607">+AE87-AE88</f>
        <v>557594.0541282614</v>
      </c>
      <c r="AF89" s="17">
        <f t="shared" ref="AF89" si="608">+AF87-AF88</f>
        <v>568979.57040827407</v>
      </c>
      <c r="AG89" s="17">
        <f t="shared" ref="AG89" si="609">+AG87-AG88</f>
        <v>588462.16705613234</v>
      </c>
      <c r="AH89" s="17">
        <f t="shared" ref="AH89" si="610">+AH87-AH88</f>
        <v>604977.00383497612</v>
      </c>
      <c r="AI89" s="17">
        <f t="shared" ref="AI89" si="611">+AI87-AI88</f>
        <v>696360.85667981824</v>
      </c>
      <c r="AJ89" s="17">
        <f t="shared" ref="AJ89" si="612">+AJ87-AJ88</f>
        <v>809975.59750414488</v>
      </c>
      <c r="AK89" s="17">
        <f t="shared" ref="AK89" si="613">+AK87-AK88</f>
        <v>771796.97566996492</v>
      </c>
      <c r="AL89" s="17">
        <f t="shared" ref="AL89" si="614">+AL87-AL88</f>
        <v>761137.19406638911</v>
      </c>
      <c r="AM89" s="17">
        <f t="shared" ref="AM89" si="615">+AM87-AM88</f>
        <v>762347.36510478565</v>
      </c>
      <c r="AN89" s="17">
        <f t="shared" ref="AN89" si="616">+AN87-AN88</f>
        <v>732056.02535262611</v>
      </c>
      <c r="AO89" s="17">
        <f t="shared" ref="AO89" si="617">+AO87-AO88</f>
        <v>723972.02537103998</v>
      </c>
      <c r="AP89" s="17">
        <f t="shared" ref="AP89" si="618">+AP87-AP88</f>
        <v>845429.76528602082</v>
      </c>
      <c r="AR89" s="17">
        <f>+AR87-AR88</f>
        <v>0</v>
      </c>
      <c r="AS89" s="17">
        <f t="shared" ref="AS89" si="619">+AS87-AS88</f>
        <v>0</v>
      </c>
      <c r="AT89" s="17">
        <f t="shared" ref="AT89" si="620">+AT87-AT88</f>
        <v>0</v>
      </c>
      <c r="AU89" s="17">
        <f t="shared" ref="AU89" si="621">+AU87-AU88</f>
        <v>0</v>
      </c>
      <c r="AV89" s="17">
        <f t="shared" ref="AV89" si="622">+AV87-AV88</f>
        <v>0</v>
      </c>
      <c r="AX89" s="17">
        <f>+AX87-AX88</f>
        <v>558321.72872668435</v>
      </c>
      <c r="AY89" s="17">
        <f t="shared" ref="AY89" si="623">+AY87-AY88</f>
        <v>0</v>
      </c>
      <c r="AZ89" s="17">
        <f t="shared" ref="AZ89" si="624">+AZ87-AZ88</f>
        <v>316023.373746561</v>
      </c>
      <c r="BA89" s="17">
        <f t="shared" ref="BA89" si="625">+BA87-BA88</f>
        <v>492033.2285355663</v>
      </c>
      <c r="BB89" s="17">
        <f t="shared" ref="BB89" si="626">+BB87-BB88</f>
        <v>558321.72872668423</v>
      </c>
      <c r="BD89" s="17">
        <f>+BD87-BD88</f>
        <v>845429.76528601954</v>
      </c>
      <c r="BE89" s="17">
        <f t="shared" ref="BE89" si="627">+BE87-BE88</f>
        <v>588462.16705613234</v>
      </c>
      <c r="BF89" s="17">
        <f t="shared" ref="BF89" si="628">+BF87-BF88</f>
        <v>809975.59750414488</v>
      </c>
      <c r="BG89" s="17">
        <f t="shared" ref="BG89" si="629">+BG87-BG88</f>
        <v>762347.36510478542</v>
      </c>
      <c r="BH89" s="17">
        <f t="shared" ref="BH89" si="630">+BH87-BH88</f>
        <v>845429.76528602047</v>
      </c>
      <c r="BJ89" s="17">
        <f t="shared" ref="BJ89" si="631">+BJ87-BJ88</f>
        <v>1781902.8027872033</v>
      </c>
      <c r="BK89" s="17">
        <f t="shared" ref="BK89:BL89" si="632">+BK87-BK88</f>
        <v>839147.90096914675</v>
      </c>
      <c r="BL89" s="17">
        <f t="shared" si="632"/>
        <v>1439086.8943495536</v>
      </c>
      <c r="BM89" s="17">
        <f t="shared" ref="BM89:BN89" si="633">+BM87-BM88</f>
        <v>1531407.2756303197</v>
      </c>
      <c r="BN89" s="17">
        <f t="shared" si="633"/>
        <v>1781902.8027872033</v>
      </c>
      <c r="BP89" s="17">
        <f t="shared" ref="BP89:BT89" si="634">+BP87-BP88</f>
        <v>3117198.4662486706</v>
      </c>
      <c r="BQ89" s="17">
        <f t="shared" si="634"/>
        <v>1842832.4303008667</v>
      </c>
      <c r="BR89" s="17">
        <f t="shared" si="634"/>
        <v>2806741.7968328451</v>
      </c>
      <c r="BS89" s="17">
        <f t="shared" si="634"/>
        <v>2613680.6470892639</v>
      </c>
      <c r="BT89" s="17">
        <f t="shared" si="634"/>
        <v>3117198.4662486706</v>
      </c>
      <c r="BV89" s="17">
        <f t="shared" ref="BV89:BZ89" si="635">+BV87-BV88</f>
        <v>4237379.6784108169</v>
      </c>
      <c r="BW89" s="17">
        <f t="shared" si="635"/>
        <v>3195595.7667320585</v>
      </c>
      <c r="BX89" s="17">
        <f t="shared" si="635"/>
        <v>3994278.8665581029</v>
      </c>
      <c r="BY89" s="17">
        <f t="shared" si="635"/>
        <v>4236809.4383252729</v>
      </c>
      <c r="BZ89" s="17">
        <f t="shared" si="635"/>
        <v>4237379.6784108141</v>
      </c>
    </row>
    <row r="90" spans="1:78" s="16" customFormat="1" x14ac:dyDescent="0.25">
      <c r="B90" s="16" t="s">
        <v>352</v>
      </c>
      <c r="E90" s="24">
        <f t="shared" ref="E90:P90" si="636">IF(E20=0,0,+E89/E20)</f>
        <v>0</v>
      </c>
      <c r="F90" s="24">
        <f t="shared" si="636"/>
        <v>0</v>
      </c>
      <c r="G90" s="24">
        <f t="shared" si="636"/>
        <v>0</v>
      </c>
      <c r="H90" s="24">
        <f t="shared" si="636"/>
        <v>0</v>
      </c>
      <c r="I90" s="24">
        <f t="shared" si="636"/>
        <v>0</v>
      </c>
      <c r="J90" s="24">
        <f t="shared" si="636"/>
        <v>0</v>
      </c>
      <c r="K90" s="24">
        <f t="shared" si="636"/>
        <v>0</v>
      </c>
      <c r="L90" s="24">
        <f t="shared" si="636"/>
        <v>0</v>
      </c>
      <c r="M90" s="24">
        <f t="shared" si="636"/>
        <v>0</v>
      </c>
      <c r="N90" s="24">
        <f t="shared" si="636"/>
        <v>0</v>
      </c>
      <c r="O90" s="24">
        <f t="shared" si="636"/>
        <v>0</v>
      </c>
      <c r="P90" s="24">
        <f t="shared" si="636"/>
        <v>0</v>
      </c>
      <c r="R90" s="24">
        <f>IF(R20=0,0,+R89/R20)</f>
        <v>0</v>
      </c>
      <c r="S90" s="24">
        <f>IF(S20=0,0,+S89/S20)</f>
        <v>0</v>
      </c>
      <c r="T90" s="24">
        <f>IF(T20=0,0,+T89/T20)</f>
        <v>0</v>
      </c>
      <c r="U90" s="24">
        <f>IF(U20=0,0,+U89/U20)</f>
        <v>3.3548128847830245</v>
      </c>
      <c r="V90" s="24">
        <f t="shared" ref="V90:AC90" si="637">+V89/V20</f>
        <v>3.354812884783025</v>
      </c>
      <c r="W90" s="24">
        <f t="shared" si="637"/>
        <v>3.354812884783025</v>
      </c>
      <c r="X90" s="24">
        <f t="shared" si="637"/>
        <v>3.3502877239065532</v>
      </c>
      <c r="Y90" s="24">
        <f t="shared" si="637"/>
        <v>3.3499825330022679</v>
      </c>
      <c r="Z90" s="24">
        <f t="shared" si="637"/>
        <v>3.3503675746696659</v>
      </c>
      <c r="AA90" s="24">
        <f t="shared" si="637"/>
        <v>3.3502118974262904</v>
      </c>
      <c r="AB90" s="24">
        <f t="shared" si="637"/>
        <v>3.3489416020951861</v>
      </c>
      <c r="AC90" s="24">
        <f t="shared" si="637"/>
        <v>3.348894126124156</v>
      </c>
      <c r="AE90" s="24">
        <f t="shared" ref="AE90:AP90" si="638">IF(AE20=0,0,+AE89/AE20)</f>
        <v>3.3682190049327225</v>
      </c>
      <c r="AF90" s="24">
        <f t="shared" si="638"/>
        <v>3.3804217428069534</v>
      </c>
      <c r="AG90" s="24">
        <f t="shared" si="638"/>
        <v>3.3897199747475959</v>
      </c>
      <c r="AH90" s="24">
        <f t="shared" si="638"/>
        <v>2.2684227444645599</v>
      </c>
      <c r="AI90" s="24">
        <f t="shared" si="638"/>
        <v>1.9354754930120461</v>
      </c>
      <c r="AJ90" s="24">
        <f t="shared" si="638"/>
        <v>1.7884954270639408</v>
      </c>
      <c r="AK90" s="24">
        <f t="shared" si="638"/>
        <v>1.678107709084744</v>
      </c>
      <c r="AL90" s="24">
        <f t="shared" si="638"/>
        <v>1.609962044176902</v>
      </c>
      <c r="AM90" s="24">
        <f t="shared" si="638"/>
        <v>1.5698649785249965</v>
      </c>
      <c r="AN90" s="24">
        <f t="shared" si="638"/>
        <v>1.5476871571937121</v>
      </c>
      <c r="AO90" s="24">
        <f t="shared" si="638"/>
        <v>1.530596248141733</v>
      </c>
      <c r="AP90" s="24">
        <f t="shared" si="638"/>
        <v>1.5057870132419999</v>
      </c>
      <c r="AR90" s="24">
        <f>IF(AR20=0,0,+AR89/AR20)</f>
        <v>0</v>
      </c>
      <c r="AS90" s="24">
        <f>IF(AS20=0,0,+AS89/AS20)</f>
        <v>0</v>
      </c>
      <c r="AT90" s="24">
        <f>IF(AT20=0,0,+AT89/AT20)</f>
        <v>0</v>
      </c>
      <c r="AU90" s="24">
        <f>IF(AU20=0,0,+AU89/AU20)</f>
        <v>0</v>
      </c>
      <c r="AV90" s="24">
        <f>IF(AV20=0,0,+AV89/AV20)</f>
        <v>0</v>
      </c>
      <c r="AX90" s="24">
        <f>IF(AX20=0,0,+AX89/AX20)</f>
        <v>3.348894126124156</v>
      </c>
      <c r="AY90" s="24">
        <f>IF(AY20=0,0,+AY89/AY20)</f>
        <v>0</v>
      </c>
      <c r="AZ90" s="24">
        <f>IF(AZ20=0,0,+AZ89/AZ20)</f>
        <v>3.354812884783025</v>
      </c>
      <c r="BA90" s="24">
        <f>IF(BA20=0,0,+BA89/BA20)</f>
        <v>3.3503675746696651</v>
      </c>
      <c r="BB90" s="24">
        <f>IF(BB20=0,0,+BB89/BB20)</f>
        <v>3.348894126124156</v>
      </c>
      <c r="BD90" s="24">
        <f>IF(BD20=0,0,+BD89/BD20)</f>
        <v>1.5057870132419975</v>
      </c>
      <c r="BE90" s="24">
        <f>IF(BE20=0,0,+BE89/BE20)</f>
        <v>3.3897199747475981</v>
      </c>
      <c r="BF90" s="24">
        <f>IF(BF20=0,0,+BF89/BF20)</f>
        <v>1.7884954270639415</v>
      </c>
      <c r="BG90" s="24">
        <f>IF(BG20=0,0,+BG89/BG20)</f>
        <v>1.5698649785249967</v>
      </c>
      <c r="BH90" s="24">
        <f>IF(BH20=0,0,+BH89/BH20)</f>
        <v>1.5057870132420004</v>
      </c>
      <c r="BK90" s="24">
        <f>IF(BK20=0,0,+BK89/BK20)</f>
        <v>1.491654077184642</v>
      </c>
      <c r="BL90" s="24">
        <f>IF(BL20=0,0,+BL89/BL20)</f>
        <v>1.4632352134654145</v>
      </c>
      <c r="BM90" s="24">
        <f>IF(BM20=0,0,+BM89/BM20)</f>
        <v>1.4615151877171919</v>
      </c>
      <c r="BN90" s="24">
        <f>IF(BN20=0,0,+BN89/BN20)</f>
        <v>1.4567157243431044</v>
      </c>
      <c r="BQ90" s="24">
        <f>IF(BQ20=0,0,+BQ89/BQ20)</f>
        <v>1.4447865179251664</v>
      </c>
      <c r="BR90" s="24">
        <f>IF(BR20=0,0,+BR89/BR20)</f>
        <v>1.438613551557943</v>
      </c>
      <c r="BS90" s="24">
        <f>IF(BS20=0,0,+BS89/BS20)</f>
        <v>1.4073123330356385</v>
      </c>
      <c r="BT90" s="24">
        <f>IF(BT20=0,0,+BT89/BT20)</f>
        <v>1.4149118770299596</v>
      </c>
      <c r="BW90" s="24">
        <f>IF(BW20=0,0,+BW89/BW20)</f>
        <v>1.406619243210131</v>
      </c>
      <c r="BX90" s="24">
        <f>IF(BX20=0,0,+BX89/BX20)</f>
        <v>1.4065285262569265</v>
      </c>
      <c r="BY90" s="24">
        <f>IF(BY20=0,0,+BY89/BY20)</f>
        <v>1.4049406004742768</v>
      </c>
      <c r="BZ90" s="24">
        <f>IF(BZ20=0,0,+BZ89/BZ20)</f>
        <v>1.4051296940504352</v>
      </c>
    </row>
    <row r="91" spans="1:78" s="16" customFormat="1" x14ac:dyDescent="0.25"/>
    <row r="92" spans="1:78" s="16" customFormat="1" x14ac:dyDescent="0.25">
      <c r="B92" s="16" t="s">
        <v>307</v>
      </c>
      <c r="E92" s="17">
        <f>+E89+E82+E74</f>
        <v>0</v>
      </c>
      <c r="F92" s="17">
        <f t="shared" ref="F92:P92" si="639">+F89+F82+F74</f>
        <v>0</v>
      </c>
      <c r="G92" s="17">
        <f t="shared" si="639"/>
        <v>0</v>
      </c>
      <c r="H92" s="17">
        <f t="shared" si="639"/>
        <v>0</v>
      </c>
      <c r="I92" s="17">
        <f t="shared" si="639"/>
        <v>0</v>
      </c>
      <c r="J92" s="17">
        <f t="shared" si="639"/>
        <v>0</v>
      </c>
      <c r="K92" s="17">
        <f t="shared" si="639"/>
        <v>0</v>
      </c>
      <c r="L92" s="17">
        <f t="shared" si="639"/>
        <v>0</v>
      </c>
      <c r="M92" s="17">
        <f t="shared" si="639"/>
        <v>0</v>
      </c>
      <c r="N92" s="17">
        <f t="shared" si="639"/>
        <v>0</v>
      </c>
      <c r="O92" s="17">
        <f t="shared" si="639"/>
        <v>0</v>
      </c>
      <c r="P92" s="17">
        <f t="shared" si="639"/>
        <v>0</v>
      </c>
      <c r="R92" s="17">
        <f>+R89+R82+R74</f>
        <v>0</v>
      </c>
      <c r="S92" s="17">
        <f t="shared" ref="S92:AC92" si="640">+S89+S82+S74</f>
        <v>0</v>
      </c>
      <c r="T92" s="17">
        <f t="shared" si="640"/>
        <v>21770</v>
      </c>
      <c r="U92" s="17">
        <f t="shared" si="640"/>
        <v>88953.895624426834</v>
      </c>
      <c r="V92" s="17">
        <f t="shared" si="640"/>
        <v>230121.49944291601</v>
      </c>
      <c r="W92" s="17">
        <f t="shared" si="640"/>
        <v>602990.92384930071</v>
      </c>
      <c r="X92" s="17">
        <f t="shared" si="640"/>
        <v>479886.27762361092</v>
      </c>
      <c r="Y92" s="17">
        <f t="shared" si="640"/>
        <v>706549.1398111271</v>
      </c>
      <c r="Z92" s="17">
        <f t="shared" si="640"/>
        <v>729095.11503459944</v>
      </c>
      <c r="AA92" s="17">
        <f t="shared" si="640"/>
        <v>540183.71689747879</v>
      </c>
      <c r="AB92" s="17">
        <f t="shared" si="640"/>
        <v>771291.5825323204</v>
      </c>
      <c r="AC92" s="17">
        <f t="shared" si="640"/>
        <v>815223.39787667862</v>
      </c>
      <c r="AE92" s="17">
        <f>+AE89+AE82+AE74</f>
        <v>646583.08704090049</v>
      </c>
      <c r="AF92" s="17">
        <f t="shared" ref="AF92:AP92" si="641">+AF89+AF82+AF74</f>
        <v>834985.50629248668</v>
      </c>
      <c r="AG92" s="17">
        <f t="shared" si="641"/>
        <v>761712.16705613234</v>
      </c>
      <c r="AH92" s="17">
        <f t="shared" si="641"/>
        <v>604977.00383497612</v>
      </c>
      <c r="AI92" s="17">
        <f t="shared" si="641"/>
        <v>1278060.8566798186</v>
      </c>
      <c r="AJ92" s="17">
        <f t="shared" si="641"/>
        <v>1391675.597504145</v>
      </c>
      <c r="AK92" s="17">
        <f t="shared" si="641"/>
        <v>771796.97566996492</v>
      </c>
      <c r="AL92" s="17">
        <f t="shared" si="641"/>
        <v>1342687.1940663895</v>
      </c>
      <c r="AM92" s="17">
        <f t="shared" si="641"/>
        <v>1343897.3651047859</v>
      </c>
      <c r="AN92" s="17">
        <f t="shared" si="641"/>
        <v>732056.02535262611</v>
      </c>
      <c r="AO92" s="17">
        <f t="shared" si="641"/>
        <v>723972.02537103998</v>
      </c>
      <c r="AP92" s="17">
        <f t="shared" si="641"/>
        <v>1226579.7652860209</v>
      </c>
      <c r="AR92" s="17">
        <f t="shared" ref="AR92:BZ92" si="642">+AR89+AR82+AR74</f>
        <v>0</v>
      </c>
      <c r="AS92" s="17">
        <f t="shared" si="642"/>
        <v>0</v>
      </c>
      <c r="AT92" s="17">
        <f t="shared" si="642"/>
        <v>0</v>
      </c>
      <c r="AU92" s="17">
        <f t="shared" si="642"/>
        <v>0</v>
      </c>
      <c r="AV92" s="17">
        <f t="shared" si="642"/>
        <v>0</v>
      </c>
      <c r="AX92" s="17">
        <f t="shared" si="642"/>
        <v>629523.39787667873</v>
      </c>
      <c r="AY92" s="17">
        <f t="shared" si="642"/>
        <v>21770</v>
      </c>
      <c r="AZ92" s="17">
        <f t="shared" si="642"/>
        <v>574790.92384930071</v>
      </c>
      <c r="BA92" s="17">
        <f t="shared" si="642"/>
        <v>543395.11503459932</v>
      </c>
      <c r="BB92" s="17">
        <f t="shared" si="642"/>
        <v>629523.3978766785</v>
      </c>
      <c r="BD92" s="17">
        <f t="shared" si="642"/>
        <v>1040879.7652860198</v>
      </c>
      <c r="BE92" s="17">
        <f t="shared" si="642"/>
        <v>761712.16705613234</v>
      </c>
      <c r="BF92" s="17">
        <f t="shared" si="642"/>
        <v>1391675.597504145</v>
      </c>
      <c r="BG92" s="17">
        <f t="shared" si="642"/>
        <v>1343897.3651047857</v>
      </c>
      <c r="BH92" s="17">
        <f t="shared" si="642"/>
        <v>1226579.7652860207</v>
      </c>
      <c r="BJ92" s="17">
        <f t="shared" si="642"/>
        <v>2481702.6727872039</v>
      </c>
      <c r="BK92" s="17">
        <f t="shared" si="642"/>
        <v>1220297.900969147</v>
      </c>
      <c r="BL92" s="17">
        <f t="shared" si="642"/>
        <v>2143468.5943495538</v>
      </c>
      <c r="BM92" s="17">
        <f t="shared" si="642"/>
        <v>2235846.7256303201</v>
      </c>
      <c r="BN92" s="17">
        <f t="shared" si="642"/>
        <v>2481702.6727872035</v>
      </c>
      <c r="BP92" s="17">
        <f t="shared" si="642"/>
        <v>4204688.0232486716</v>
      </c>
      <c r="BQ92" s="17">
        <f t="shared" si="642"/>
        <v>2542632.3003008668</v>
      </c>
      <c r="BR92" s="17">
        <f t="shared" si="642"/>
        <v>3896868.6668328457</v>
      </c>
      <c r="BS92" s="17">
        <f t="shared" si="642"/>
        <v>3703785.0170892645</v>
      </c>
      <c r="BT92" s="17">
        <f t="shared" si="642"/>
        <v>4204688.0232486716</v>
      </c>
      <c r="BV92" s="17">
        <f t="shared" si="642"/>
        <v>5608745.309410817</v>
      </c>
      <c r="BW92" s="17">
        <f t="shared" si="642"/>
        <v>4283085.3237320594</v>
      </c>
      <c r="BX92" s="17">
        <f t="shared" si="642"/>
        <v>5365714.2525581038</v>
      </c>
      <c r="BY92" s="17">
        <f t="shared" si="642"/>
        <v>5608175.0693252739</v>
      </c>
      <c r="BZ92" s="17">
        <f t="shared" si="642"/>
        <v>5608745.3094108151</v>
      </c>
    </row>
    <row r="93" spans="1:78" s="16" customFormat="1" x14ac:dyDescent="0.25"/>
    <row r="94" spans="1:78" s="16" customFormat="1" x14ac:dyDescent="0.25">
      <c r="A94" s="19" t="s">
        <v>315</v>
      </c>
    </row>
    <row r="95" spans="1:78" s="16" customFormat="1" x14ac:dyDescent="0.25">
      <c r="B95" s="16" t="s">
        <v>308</v>
      </c>
      <c r="E95" s="16">
        <f>+Factory!E75</f>
        <v>1255</v>
      </c>
      <c r="F95" s="16">
        <f>+Factory!F75</f>
        <v>1255</v>
      </c>
      <c r="G95" s="16">
        <f>+Factory!G75</f>
        <v>1255</v>
      </c>
      <c r="H95" s="16">
        <f>+Factory!H75</f>
        <v>2370.416666666667</v>
      </c>
      <c r="I95" s="16">
        <f>+Factory!I75</f>
        <v>2370.416666666667</v>
      </c>
      <c r="J95" s="16">
        <f>+Factory!J75</f>
        <v>2870.416666666667</v>
      </c>
      <c r="K95" s="16">
        <f>+Factory!K75</f>
        <v>2370.416666666667</v>
      </c>
      <c r="L95" s="16">
        <f>+Factory!L75</f>
        <v>2370.416666666667</v>
      </c>
      <c r="M95" s="16">
        <f>+Factory!M75</f>
        <v>2370.416666666667</v>
      </c>
      <c r="N95" s="16">
        <f>+Factory!N75</f>
        <v>2370.416666666667</v>
      </c>
      <c r="O95" s="16">
        <f>+Factory!O75</f>
        <v>2370.416666666667</v>
      </c>
      <c r="P95" s="16">
        <f>+Factory!P75</f>
        <v>2870.416666666667</v>
      </c>
      <c r="R95" s="16">
        <f>+Factory!R75</f>
        <v>13205</v>
      </c>
      <c r="S95" s="16">
        <f>+Factory!S75</f>
        <v>21955</v>
      </c>
      <c r="T95" s="16">
        <f>+Factory!T75</f>
        <v>8205</v>
      </c>
      <c r="U95" s="16">
        <f>+Factory!U75</f>
        <v>42682.083333333328</v>
      </c>
      <c r="V95" s="16">
        <f>+Factory!V75</f>
        <v>91398.749999999985</v>
      </c>
      <c r="W95" s="16">
        <f>+Factory!W75</f>
        <v>122744.58333333334</v>
      </c>
      <c r="X95" s="16">
        <f>+Factory!X75</f>
        <v>143461.25</v>
      </c>
      <c r="Y95" s="16">
        <f>+Factory!Y75</f>
        <v>157211.25</v>
      </c>
      <c r="Z95" s="16">
        <f>+Factory!Z75</f>
        <v>157211.25</v>
      </c>
      <c r="AA95" s="16">
        <f>+Factory!AA75</f>
        <v>143461.25</v>
      </c>
      <c r="AB95" s="16">
        <f>+Factory!AB75</f>
        <v>157211.25</v>
      </c>
      <c r="AC95" s="16">
        <f>+Factory!AC75</f>
        <v>143461.25</v>
      </c>
      <c r="AE95" s="16">
        <f>+Factory!AE75</f>
        <v>148461.25</v>
      </c>
      <c r="AF95" s="16">
        <f>+Factory!AF75</f>
        <v>143461.25</v>
      </c>
      <c r="AG95" s="16">
        <f>+Factory!AG75</f>
        <v>143461.25</v>
      </c>
      <c r="AH95" s="16">
        <f>+Factory!AH75</f>
        <v>25708.75</v>
      </c>
      <c r="AI95" s="16">
        <f>+Factory!AI75</f>
        <v>25708.75</v>
      </c>
      <c r="AJ95" s="16">
        <f>+Factory!AJ75</f>
        <v>31542.083333333332</v>
      </c>
      <c r="AK95" s="16">
        <f>+Factory!AK75</f>
        <v>31542.083333333332</v>
      </c>
      <c r="AL95" s="16">
        <f>+Factory!AL75</f>
        <v>31542.083333333332</v>
      </c>
      <c r="AM95" s="16">
        <f>+Factory!AM75</f>
        <v>31542.083333333332</v>
      </c>
      <c r="AN95" s="16">
        <f>+Factory!AN75</f>
        <v>31542.083333333332</v>
      </c>
      <c r="AO95" s="16">
        <f>+Factory!AO75</f>
        <v>31542.083333333332</v>
      </c>
      <c r="AP95" s="16">
        <f>+Factory!AP75</f>
        <v>37376.666666666664</v>
      </c>
      <c r="AR95" s="16">
        <f>SUM(E95:P95)</f>
        <v>26098.750000000007</v>
      </c>
      <c r="AS95" s="16">
        <f>SUM(E95:G95)</f>
        <v>3765</v>
      </c>
      <c r="AT95" s="16">
        <f>SUM(H95:J95)</f>
        <v>7611.2500000000009</v>
      </c>
      <c r="AU95" s="16">
        <f>SUM(K95:M95)</f>
        <v>7111.2500000000009</v>
      </c>
      <c r="AV95" s="16">
        <f>SUM(N95:P95)</f>
        <v>7611.2500000000009</v>
      </c>
      <c r="AX95" s="16">
        <f t="shared" ref="AX95:AX97" si="643">SUM(R95:AC95)</f>
        <v>1202207.9166666665</v>
      </c>
      <c r="AY95" s="16">
        <f t="shared" ref="AY95:AY97" si="644">SUM(R97:T97)</f>
        <v>0</v>
      </c>
      <c r="AZ95" s="16">
        <f t="shared" ref="AZ95:AZ97" si="645">SUM(U95:W95)</f>
        <v>256825.41666666666</v>
      </c>
      <c r="BA95" s="16">
        <f t="shared" ref="BA95:BA97" si="646">SUM(X95:Z95)</f>
        <v>457883.75</v>
      </c>
      <c r="BB95" s="16">
        <f t="shared" ref="BB95:BB97" si="647">SUM(AA95:AC95)</f>
        <v>444133.75</v>
      </c>
      <c r="BD95" s="16">
        <f t="shared" ref="BD95:BD97" si="648">SUM(AE95:AP95)</f>
        <v>713430.41666666674</v>
      </c>
      <c r="BE95" s="16">
        <f t="shared" ref="BE95:BE97" si="649">SUM(AE95:AG95)</f>
        <v>435383.75</v>
      </c>
      <c r="BF95" s="16">
        <f t="shared" ref="BF95:BF97" si="650">SUM(AH95:AJ95)</f>
        <v>82959.583333333328</v>
      </c>
      <c r="BG95" s="16">
        <f t="shared" ref="BG95:BG97" si="651">SUM(AK95:AM95)</f>
        <v>94626.25</v>
      </c>
      <c r="BH95" s="16">
        <f t="shared" ref="BH95:BH97" si="652">SUM(AN95:AP95)</f>
        <v>100460.83333333333</v>
      </c>
      <c r="BJ95" s="16">
        <f t="shared" ref="BJ95:BJ97" si="653">SUM(BK95:BN95)</f>
        <v>900435</v>
      </c>
      <c r="BK95" s="16">
        <f>+Factory!BK75</f>
        <v>161458.75</v>
      </c>
      <c r="BL95" s="16">
        <f>+Factory!BL75</f>
        <v>225108.75</v>
      </c>
      <c r="BM95" s="16">
        <f>+Factory!BM75</f>
        <v>241021.25</v>
      </c>
      <c r="BN95" s="16">
        <f>+Factory!BN75</f>
        <v>272846.25</v>
      </c>
      <c r="BP95" s="16">
        <f t="shared" ref="BP95:BP97" si="654">SUM(BQ95:BT95)</f>
        <v>1521022.5</v>
      </c>
      <c r="BQ95" s="16">
        <f>+Factory!BQ75</f>
        <v>288758.75</v>
      </c>
      <c r="BR95" s="16">
        <f>+Factory!BR75</f>
        <v>384233.75</v>
      </c>
      <c r="BS95" s="16">
        <f>+Factory!BS75</f>
        <v>400146.25</v>
      </c>
      <c r="BT95" s="16">
        <f>+Factory!BT75</f>
        <v>447883.75</v>
      </c>
      <c r="BV95" s="16">
        <f t="shared" ref="BV95:BV97" si="655">SUM(BW95:BZ95)</f>
        <v>2284822.5</v>
      </c>
      <c r="BW95" s="16">
        <f>+Factory!BW75</f>
        <v>479708.75</v>
      </c>
      <c r="BX95" s="16">
        <f>+Factory!BX75</f>
        <v>559271.25</v>
      </c>
      <c r="BY95" s="16">
        <f>+Factory!BY75</f>
        <v>607008.75</v>
      </c>
      <c r="BZ95" s="16">
        <f>+Factory!BZ75</f>
        <v>638833.75</v>
      </c>
    </row>
    <row r="96" spans="1:78" s="16" customFormat="1" x14ac:dyDescent="0.25">
      <c r="B96" s="16" t="s">
        <v>311</v>
      </c>
      <c r="E96" s="16">
        <f>-E58</f>
        <v>0</v>
      </c>
      <c r="F96" s="16">
        <f t="shared" ref="F96:P96" si="656">-F58</f>
        <v>0</v>
      </c>
      <c r="G96" s="16">
        <f t="shared" si="656"/>
        <v>0</v>
      </c>
      <c r="H96" s="16">
        <f t="shared" si="656"/>
        <v>0</v>
      </c>
      <c r="I96" s="16">
        <f t="shared" si="656"/>
        <v>0</v>
      </c>
      <c r="J96" s="16">
        <f t="shared" si="656"/>
        <v>0</v>
      </c>
      <c r="K96" s="16">
        <f t="shared" si="656"/>
        <v>0</v>
      </c>
      <c r="L96" s="16">
        <f t="shared" si="656"/>
        <v>0</v>
      </c>
      <c r="M96" s="16">
        <f t="shared" si="656"/>
        <v>0</v>
      </c>
      <c r="N96" s="16">
        <f t="shared" si="656"/>
        <v>0</v>
      </c>
      <c r="O96" s="16">
        <f t="shared" si="656"/>
        <v>0</v>
      </c>
      <c r="P96" s="16">
        <f t="shared" si="656"/>
        <v>0</v>
      </c>
      <c r="R96" s="16">
        <f t="shared" ref="R96:AC96" si="657">-R58</f>
        <v>0</v>
      </c>
      <c r="S96" s="16">
        <f t="shared" si="657"/>
        <v>0</v>
      </c>
      <c r="T96" s="16">
        <f t="shared" si="657"/>
        <v>0</v>
      </c>
      <c r="U96" s="16">
        <f t="shared" si="657"/>
        <v>-18634.267491302668</v>
      </c>
      <c r="V96" s="16">
        <f t="shared" si="657"/>
        <v>-31057.112485504444</v>
      </c>
      <c r="W96" s="16">
        <f t="shared" si="657"/>
        <v>-62114.224971008887</v>
      </c>
      <c r="X96" s="16">
        <f t="shared" si="657"/>
        <v>-87147.89422302504</v>
      </c>
      <c r="Y96" s="16">
        <f t="shared" si="657"/>
        <v>-65379.300857005124</v>
      </c>
      <c r="Z96" s="16">
        <f t="shared" si="657"/>
        <v>-77682.535493510644</v>
      </c>
      <c r="AA96" s="16">
        <f t="shared" si="657"/>
        <v>-44251.677090094112</v>
      </c>
      <c r="AB96" s="16">
        <f t="shared" si="657"/>
        <v>-82871.30177863063</v>
      </c>
      <c r="AC96" s="16">
        <f t="shared" si="657"/>
        <v>-80356.844282375125</v>
      </c>
      <c r="AE96" s="16">
        <f t="shared" ref="AE96:AP96" si="658">-AE58</f>
        <v>-73258.067490796355</v>
      </c>
      <c r="AF96" s="16">
        <f t="shared" si="658"/>
        <v>-78025.343259103203</v>
      </c>
      <c r="AG96" s="16">
        <f t="shared" si="658"/>
        <v>-81066.496874864097</v>
      </c>
      <c r="AH96" s="16">
        <f t="shared" si="658"/>
        <v>-17976.385963628767</v>
      </c>
      <c r="AI96" s="16">
        <f t="shared" si="658"/>
        <v>-17976.385963628763</v>
      </c>
      <c r="AJ96" s="16">
        <f t="shared" si="658"/>
        <v>-17976.385963628771</v>
      </c>
      <c r="AK96" s="16">
        <f t="shared" si="658"/>
        <v>-19213.94413670569</v>
      </c>
      <c r="AL96" s="16">
        <f t="shared" si="658"/>
        <v>-19550.31100369287</v>
      </c>
      <c r="AM96" s="16">
        <f t="shared" si="658"/>
        <v>-19550.31100369287</v>
      </c>
      <c r="AN96" s="16">
        <f t="shared" si="658"/>
        <v>-18945.232998885174</v>
      </c>
      <c r="AO96" s="16">
        <f t="shared" si="658"/>
        <v>-19675.957357859537</v>
      </c>
      <c r="AP96" s="16">
        <f t="shared" si="658"/>
        <v>-24800.321240071076</v>
      </c>
      <c r="AR96" s="16">
        <f t="shared" ref="AR96:AR97" si="659">SUM(E96:P96)</f>
        <v>0</v>
      </c>
      <c r="AS96" s="16">
        <f t="shared" ref="AS96:AS97" si="660">SUM(E96:G96)</f>
        <v>0</v>
      </c>
      <c r="AT96" s="16">
        <f t="shared" ref="AT96:AT97" si="661">SUM(H96:J96)</f>
        <v>0</v>
      </c>
      <c r="AU96" s="16">
        <f t="shared" ref="AU96:AU97" si="662">SUM(K96:M96)</f>
        <v>0</v>
      </c>
      <c r="AV96" s="16">
        <f t="shared" ref="AV96:AV97" si="663">SUM(N96:P96)</f>
        <v>0</v>
      </c>
      <c r="AX96" s="16">
        <f t="shared" si="643"/>
        <v>-549495.15867245675</v>
      </c>
      <c r="AY96" s="16">
        <f t="shared" si="644"/>
        <v>43365</v>
      </c>
      <c r="AZ96" s="16">
        <f t="shared" si="645"/>
        <v>-111805.604947816</v>
      </c>
      <c r="BA96" s="16">
        <f t="shared" si="646"/>
        <v>-230209.73057354079</v>
      </c>
      <c r="BB96" s="16">
        <f t="shared" si="647"/>
        <v>-207479.82315109987</v>
      </c>
      <c r="BD96" s="16">
        <f t="shared" si="648"/>
        <v>-408015.14325655717</v>
      </c>
      <c r="BE96" s="16">
        <f t="shared" si="649"/>
        <v>-232349.90762476367</v>
      </c>
      <c r="BF96" s="16">
        <f t="shared" si="650"/>
        <v>-53929.157890886301</v>
      </c>
      <c r="BG96" s="16">
        <f t="shared" si="651"/>
        <v>-58314.566144091426</v>
      </c>
      <c r="BH96" s="16">
        <f t="shared" si="652"/>
        <v>-63421.511596815792</v>
      </c>
      <c r="BJ96" s="16">
        <f t="shared" si="653"/>
        <v>-375934.81366210355</v>
      </c>
      <c r="BK96" s="16">
        <f t="shared" ref="BK96:BN96" si="664">-BK58</f>
        <v>-65376.668058894276</v>
      </c>
      <c r="BL96" s="16">
        <f t="shared" si="664"/>
        <v>-92625.291584415114</v>
      </c>
      <c r="BM96" s="16">
        <f t="shared" si="664"/>
        <v>-103341.39397660259</v>
      </c>
      <c r="BN96" s="16">
        <f t="shared" si="664"/>
        <v>-114591.46004219158</v>
      </c>
      <c r="BP96" s="16">
        <f t="shared" si="654"/>
        <v>-630546.22174086538</v>
      </c>
      <c r="BQ96" s="16">
        <f t="shared" ref="BQ96:BT96" si="665">-BQ58</f>
        <v>-117962.45912666804</v>
      </c>
      <c r="BR96" s="16">
        <f t="shared" si="665"/>
        <v>-158538.87292736169</v>
      </c>
      <c r="BS96" s="16">
        <f t="shared" si="665"/>
        <v>-167016.60002292533</v>
      </c>
      <c r="BT96" s="16">
        <f t="shared" si="665"/>
        <v>-187028.28966391031</v>
      </c>
      <c r="BV96" s="16">
        <f t="shared" si="655"/>
        <v>-960505.13981666183</v>
      </c>
      <c r="BW96" s="16">
        <f t="shared" ref="BW96:BZ96" si="666">-BW58</f>
        <v>-198314.94809160562</v>
      </c>
      <c r="BX96" s="16">
        <f t="shared" si="666"/>
        <v>-234364.48556794965</v>
      </c>
      <c r="BY96" s="16">
        <f t="shared" si="666"/>
        <v>-260009.10456141416</v>
      </c>
      <c r="BZ96" s="16">
        <f t="shared" si="666"/>
        <v>-267816.60159569239</v>
      </c>
    </row>
    <row r="97" spans="1:78" s="16" customFormat="1" x14ac:dyDescent="0.25">
      <c r="B97" s="16" t="s">
        <v>309</v>
      </c>
      <c r="E97" s="16">
        <f>-E59</f>
        <v>0</v>
      </c>
      <c r="F97" s="16">
        <f t="shared" ref="F97:P97" si="667">-F59</f>
        <v>0</v>
      </c>
      <c r="G97" s="16">
        <f t="shared" si="667"/>
        <v>0</v>
      </c>
      <c r="H97" s="16">
        <f t="shared" si="667"/>
        <v>0</v>
      </c>
      <c r="I97" s="16">
        <f t="shared" si="667"/>
        <v>0</v>
      </c>
      <c r="J97" s="16">
        <f t="shared" si="667"/>
        <v>0</v>
      </c>
      <c r="K97" s="16">
        <f t="shared" si="667"/>
        <v>0</v>
      </c>
      <c r="L97" s="16">
        <f t="shared" si="667"/>
        <v>0</v>
      </c>
      <c r="M97" s="16">
        <f t="shared" si="667"/>
        <v>0</v>
      </c>
      <c r="N97" s="16">
        <f t="shared" si="667"/>
        <v>0</v>
      </c>
      <c r="O97" s="16">
        <f t="shared" si="667"/>
        <v>0</v>
      </c>
      <c r="P97" s="16">
        <f t="shared" si="667"/>
        <v>0</v>
      </c>
      <c r="R97" s="16">
        <f t="shared" ref="R97:AC97" si="668">-R59</f>
        <v>0</v>
      </c>
      <c r="S97" s="16">
        <f t="shared" si="668"/>
        <v>0</v>
      </c>
      <c r="T97" s="16">
        <f t="shared" si="668"/>
        <v>0</v>
      </c>
      <c r="U97" s="16">
        <f t="shared" si="668"/>
        <v>-12266.294799790823</v>
      </c>
      <c r="V97" s="16">
        <f t="shared" si="668"/>
        <v>-20443.82466631804</v>
      </c>
      <c r="W97" s="16">
        <f t="shared" si="668"/>
        <v>-40887.64933263608</v>
      </c>
      <c r="X97" s="16">
        <f t="shared" si="668"/>
        <v>-57366.449323513676</v>
      </c>
      <c r="Y97" s="16">
        <f t="shared" si="668"/>
        <v>-43036.936036822925</v>
      </c>
      <c r="Z97" s="16">
        <f t="shared" si="668"/>
        <v>-51135.730535335511</v>
      </c>
      <c r="AA97" s="16">
        <f t="shared" si="668"/>
        <v>-29129.350902877817</v>
      </c>
      <c r="AB97" s="16">
        <f t="shared" si="668"/>
        <v>-54551.316199231544</v>
      </c>
      <c r="AC97" s="16">
        <f t="shared" si="668"/>
        <v>-52896.135660205277</v>
      </c>
      <c r="AE97" s="16">
        <f t="shared" ref="AE97:AP97" si="669">-AE59</f>
        <v>-49207.03446084504</v>
      </c>
      <c r="AF97" s="16">
        <f t="shared" si="669"/>
        <v>-52409.186947940034</v>
      </c>
      <c r="AG97" s="16">
        <f t="shared" si="669"/>
        <v>-54451.912833253213</v>
      </c>
      <c r="AH97" s="16">
        <f t="shared" si="669"/>
        <v>-12074.637973556461</v>
      </c>
      <c r="AI97" s="16">
        <f t="shared" si="669"/>
        <v>-12074.637973556459</v>
      </c>
      <c r="AJ97" s="16">
        <f t="shared" si="669"/>
        <v>-12074.637973556464</v>
      </c>
      <c r="AK97" s="16">
        <f t="shared" si="669"/>
        <v>-12905.898881135647</v>
      </c>
      <c r="AL97" s="16">
        <f t="shared" si="669"/>
        <v>-13131.834625583233</v>
      </c>
      <c r="AM97" s="16">
        <f t="shared" si="669"/>
        <v>-13131.834625583233</v>
      </c>
      <c r="AN97" s="16">
        <f t="shared" si="669"/>
        <v>-12725.407111810608</v>
      </c>
      <c r="AO97" s="16">
        <f t="shared" si="669"/>
        <v>-13216.230579382252</v>
      </c>
      <c r="AP97" s="16">
        <f t="shared" si="669"/>
        <v>-16658.237156658837</v>
      </c>
      <c r="AR97" s="16">
        <f t="shared" si="659"/>
        <v>0</v>
      </c>
      <c r="AS97" s="16">
        <f t="shared" si="660"/>
        <v>0</v>
      </c>
      <c r="AT97" s="16">
        <f t="shared" si="661"/>
        <v>0</v>
      </c>
      <c r="AU97" s="16">
        <f t="shared" si="662"/>
        <v>0</v>
      </c>
      <c r="AV97" s="16">
        <f t="shared" si="663"/>
        <v>0</v>
      </c>
      <c r="AX97" s="16">
        <f t="shared" si="643"/>
        <v>-361713.68745673168</v>
      </c>
      <c r="AY97" s="16">
        <f t="shared" si="644"/>
        <v>0</v>
      </c>
      <c r="AZ97" s="16">
        <f t="shared" si="645"/>
        <v>-73597.768798744946</v>
      </c>
      <c r="BA97" s="16">
        <f t="shared" si="646"/>
        <v>-151539.11589567212</v>
      </c>
      <c r="BB97" s="16">
        <f t="shared" si="647"/>
        <v>-136576.80276231465</v>
      </c>
      <c r="BD97" s="16">
        <f t="shared" si="648"/>
        <v>-274061.49114286149</v>
      </c>
      <c r="BE97" s="16">
        <f t="shared" si="649"/>
        <v>-156068.1342420383</v>
      </c>
      <c r="BF97" s="16">
        <f t="shared" si="650"/>
        <v>-36223.91392066938</v>
      </c>
      <c r="BG97" s="16">
        <f t="shared" si="651"/>
        <v>-39169.568132302113</v>
      </c>
      <c r="BH97" s="16">
        <f t="shared" si="652"/>
        <v>-42599.874847851694</v>
      </c>
      <c r="BJ97" s="16">
        <f t="shared" si="653"/>
        <v>-256193.78379790805</v>
      </c>
      <c r="BK97" s="16">
        <f t="shared" ref="BK97:BN97" si="670">-BK59</f>
        <v>-44553.192078566914</v>
      </c>
      <c r="BL97" s="16">
        <f t="shared" si="670"/>
        <v>-63122.709214488386</v>
      </c>
      <c r="BM97" s="16">
        <f t="shared" si="670"/>
        <v>-70425.567900749695</v>
      </c>
      <c r="BN97" s="16">
        <f t="shared" si="670"/>
        <v>-78092.314604103056</v>
      </c>
      <c r="BP97" s="16">
        <f t="shared" si="654"/>
        <v>-379139.25325094449</v>
      </c>
      <c r="BQ97" s="16">
        <f t="shared" ref="BQ97:BT97" si="671">-BQ59</f>
        <v>-70929.294511434273</v>
      </c>
      <c r="BR97" s="16">
        <f t="shared" si="671"/>
        <v>-95327.365100966243</v>
      </c>
      <c r="BS97" s="16">
        <f t="shared" si="671"/>
        <v>-100424.91229013685</v>
      </c>
      <c r="BT97" s="16">
        <f t="shared" si="671"/>
        <v>-112457.68134840713</v>
      </c>
      <c r="BV97" s="16">
        <f t="shared" si="655"/>
        <v>-542763.12275291071</v>
      </c>
      <c r="BW97" s="16">
        <f t="shared" ref="BW97:BZ97" si="672">-BW59</f>
        <v>-112063.99221905973</v>
      </c>
      <c r="BX97" s="16">
        <f t="shared" si="672"/>
        <v>-132434.89782211912</v>
      </c>
      <c r="BY97" s="16">
        <f t="shared" si="672"/>
        <v>-146926.18257397189</v>
      </c>
      <c r="BZ97" s="16">
        <f t="shared" si="672"/>
        <v>-151338.05013776006</v>
      </c>
    </row>
    <row r="98" spans="1:78" s="16" customFormat="1" x14ac:dyDescent="0.25">
      <c r="B98" s="16" t="s">
        <v>310</v>
      </c>
      <c r="E98" s="17">
        <f>SUM(E95:E97)</f>
        <v>1255</v>
      </c>
      <c r="F98" s="17">
        <f t="shared" ref="F98:P98" si="673">SUM(F95:F97)</f>
        <v>1255</v>
      </c>
      <c r="G98" s="17">
        <f t="shared" si="673"/>
        <v>1255</v>
      </c>
      <c r="H98" s="17">
        <f t="shared" si="673"/>
        <v>2370.416666666667</v>
      </c>
      <c r="I98" s="17">
        <f t="shared" si="673"/>
        <v>2370.416666666667</v>
      </c>
      <c r="J98" s="17">
        <f t="shared" si="673"/>
        <v>2870.416666666667</v>
      </c>
      <c r="K98" s="17">
        <f t="shared" si="673"/>
        <v>2370.416666666667</v>
      </c>
      <c r="L98" s="17">
        <f t="shared" si="673"/>
        <v>2370.416666666667</v>
      </c>
      <c r="M98" s="17">
        <f t="shared" si="673"/>
        <v>2370.416666666667</v>
      </c>
      <c r="N98" s="17">
        <f t="shared" si="673"/>
        <v>2370.416666666667</v>
      </c>
      <c r="O98" s="17">
        <f t="shared" si="673"/>
        <v>2370.416666666667</v>
      </c>
      <c r="P98" s="17">
        <f t="shared" si="673"/>
        <v>2870.416666666667</v>
      </c>
      <c r="R98" s="17">
        <f t="shared" ref="R98:AC98" si="674">SUM(R95:R97)</f>
        <v>13205</v>
      </c>
      <c r="S98" s="17">
        <f t="shared" si="674"/>
        <v>21955</v>
      </c>
      <c r="T98" s="17">
        <f t="shared" si="674"/>
        <v>8205</v>
      </c>
      <c r="U98" s="17">
        <f t="shared" si="674"/>
        <v>11781.521042239838</v>
      </c>
      <c r="V98" s="17">
        <f t="shared" si="674"/>
        <v>39897.812848177498</v>
      </c>
      <c r="W98" s="17">
        <f t="shared" si="674"/>
        <v>19742.709029688376</v>
      </c>
      <c r="X98" s="17">
        <f t="shared" si="674"/>
        <v>-1053.0935465387156</v>
      </c>
      <c r="Y98" s="17">
        <f t="shared" si="674"/>
        <v>48795.013106171958</v>
      </c>
      <c r="Z98" s="17">
        <f t="shared" si="674"/>
        <v>28392.983971153844</v>
      </c>
      <c r="AA98" s="17">
        <f t="shared" si="674"/>
        <v>70080.222007028075</v>
      </c>
      <c r="AB98" s="17">
        <f t="shared" si="674"/>
        <v>19788.632022137826</v>
      </c>
      <c r="AC98" s="17">
        <f t="shared" si="674"/>
        <v>10208.270057419599</v>
      </c>
      <c r="AE98" s="17">
        <f t="shared" ref="AE98:AP98" si="675">SUM(AE95:AE97)</f>
        <v>25996.148048358606</v>
      </c>
      <c r="AF98" s="17">
        <f t="shared" si="675"/>
        <v>13026.719792956763</v>
      </c>
      <c r="AG98" s="17">
        <f t="shared" si="675"/>
        <v>7942.8402918826905</v>
      </c>
      <c r="AH98" s="17">
        <f t="shared" si="675"/>
        <v>-4342.2739371852276</v>
      </c>
      <c r="AI98" s="17">
        <f t="shared" si="675"/>
        <v>-4342.2739371852222</v>
      </c>
      <c r="AJ98" s="17">
        <f t="shared" si="675"/>
        <v>1491.0593961480972</v>
      </c>
      <c r="AK98" s="17">
        <f t="shared" si="675"/>
        <v>-577.75968450800428</v>
      </c>
      <c r="AL98" s="17">
        <f t="shared" si="675"/>
        <v>-1140.062295942771</v>
      </c>
      <c r="AM98" s="17">
        <f t="shared" si="675"/>
        <v>-1140.062295942771</v>
      </c>
      <c r="AN98" s="17">
        <f t="shared" si="675"/>
        <v>-128.55677736244979</v>
      </c>
      <c r="AO98" s="17">
        <f t="shared" si="675"/>
        <v>-1350.1046039084576</v>
      </c>
      <c r="AP98" s="17">
        <f t="shared" si="675"/>
        <v>-4081.8917300632493</v>
      </c>
      <c r="AR98" s="17">
        <f t="shared" ref="AR98:BH98" si="676">SUM(AR95:AR97)</f>
        <v>26098.750000000007</v>
      </c>
      <c r="AS98" s="17">
        <f t="shared" si="676"/>
        <v>3765</v>
      </c>
      <c r="AT98" s="17">
        <f t="shared" si="676"/>
        <v>7611.2500000000009</v>
      </c>
      <c r="AU98" s="17">
        <f t="shared" si="676"/>
        <v>7111.2500000000009</v>
      </c>
      <c r="AV98" s="17">
        <f t="shared" si="676"/>
        <v>7611.2500000000009</v>
      </c>
      <c r="AX98" s="17">
        <f t="shared" si="676"/>
        <v>290999.07053747808</v>
      </c>
      <c r="AY98" s="17">
        <f t="shared" si="676"/>
        <v>43365</v>
      </c>
      <c r="AZ98" s="17">
        <f t="shared" si="676"/>
        <v>71422.042920105712</v>
      </c>
      <c r="BA98" s="17">
        <f t="shared" si="676"/>
        <v>76134.903530787094</v>
      </c>
      <c r="BB98" s="17">
        <f t="shared" si="676"/>
        <v>100077.12408658548</v>
      </c>
      <c r="BD98" s="17">
        <f t="shared" si="676"/>
        <v>31353.782267248083</v>
      </c>
      <c r="BE98" s="17">
        <f t="shared" si="676"/>
        <v>46965.70813319803</v>
      </c>
      <c r="BF98" s="17">
        <f t="shared" si="676"/>
        <v>-7193.4884782223526</v>
      </c>
      <c r="BG98" s="17">
        <f t="shared" si="676"/>
        <v>-2857.884276393539</v>
      </c>
      <c r="BH98" s="17">
        <f t="shared" si="676"/>
        <v>-5560.5531113341567</v>
      </c>
      <c r="BJ98" s="17">
        <f t="shared" ref="BJ98:BN98" si="677">SUM(BJ95:BJ97)</f>
        <v>268306.40253998834</v>
      </c>
      <c r="BK98" s="17">
        <f t="shared" si="677"/>
        <v>51528.889862538803</v>
      </c>
      <c r="BL98" s="17">
        <f t="shared" si="677"/>
        <v>69360.749201096478</v>
      </c>
      <c r="BM98" s="17">
        <f t="shared" si="677"/>
        <v>67254.288122647718</v>
      </c>
      <c r="BN98" s="17">
        <f t="shared" si="677"/>
        <v>80162.475353705362</v>
      </c>
      <c r="BP98" s="17">
        <f t="shared" ref="BP98" si="678">SUM(BP95:BP97)</f>
        <v>511337.02500819013</v>
      </c>
      <c r="BQ98" s="17">
        <f t="shared" ref="BQ98:BT98" si="679">SUM(BQ95:BQ97)</f>
        <v>99866.996361897676</v>
      </c>
      <c r="BR98" s="17">
        <f t="shared" si="679"/>
        <v>130367.51197167207</v>
      </c>
      <c r="BS98" s="17">
        <f t="shared" si="679"/>
        <v>132704.73768693782</v>
      </c>
      <c r="BT98" s="17">
        <f t="shared" si="679"/>
        <v>148397.77898768254</v>
      </c>
      <c r="BV98" s="17">
        <f t="shared" ref="BV98" si="680">SUM(BV95:BV97)</f>
        <v>781554.23743042746</v>
      </c>
      <c r="BW98" s="17">
        <f t="shared" ref="BW98:BZ98" si="681">SUM(BW95:BW97)</f>
        <v>169329.80968933465</v>
      </c>
      <c r="BX98" s="17">
        <f t="shared" si="681"/>
        <v>192471.86660993122</v>
      </c>
      <c r="BY98" s="17">
        <f t="shared" si="681"/>
        <v>200073.46286461395</v>
      </c>
      <c r="BZ98" s="17">
        <f t="shared" si="681"/>
        <v>219679.09826654755</v>
      </c>
    </row>
    <row r="99" spans="1:78" s="16" customFormat="1" x14ac:dyDescent="0.25"/>
    <row r="100" spans="1:78" s="16" customFormat="1" x14ac:dyDescent="0.25">
      <c r="A100" s="19" t="s">
        <v>351</v>
      </c>
    </row>
    <row r="101" spans="1:78" s="16" customFormat="1" x14ac:dyDescent="0.25">
      <c r="B101" s="16" t="s">
        <v>313</v>
      </c>
      <c r="U101" s="16">
        <f t="shared" ref="U101:AB101" si="682">+U31*173.333333333333</f>
        <v>1213.333333333331</v>
      </c>
      <c r="V101" s="16">
        <f t="shared" si="682"/>
        <v>1906.6666666666631</v>
      </c>
      <c r="W101" s="16">
        <f t="shared" si="682"/>
        <v>3813.3333333333262</v>
      </c>
      <c r="X101" s="16">
        <f t="shared" si="682"/>
        <v>4506.6666666666579</v>
      </c>
      <c r="Y101" s="16">
        <f t="shared" si="682"/>
        <v>4506.6666666666579</v>
      </c>
      <c r="Z101" s="16">
        <f t="shared" si="682"/>
        <v>4506.6666666666579</v>
      </c>
      <c r="AA101" s="16">
        <f t="shared" si="682"/>
        <v>4506.6666666666579</v>
      </c>
      <c r="AB101" s="16">
        <f t="shared" si="682"/>
        <v>4506.6666666666579</v>
      </c>
      <c r="AC101" s="16">
        <f>+AC31*173.333333333333</f>
        <v>4506.6666666666579</v>
      </c>
      <c r="AE101" s="16">
        <f>+AE31*173.333333333333</f>
        <v>4506.6666666666579</v>
      </c>
      <c r="AF101" s="16">
        <f t="shared" ref="AF101:AP101" si="683">+AF31*173.333333333333</f>
        <v>4506.6666666666579</v>
      </c>
      <c r="AG101" s="16">
        <f t="shared" si="683"/>
        <v>4506.6666666666579</v>
      </c>
      <c r="AH101" s="16">
        <f t="shared" si="683"/>
        <v>693.33333333333201</v>
      </c>
      <c r="AI101" s="16">
        <f t="shared" si="683"/>
        <v>693.33333333333201</v>
      </c>
      <c r="AJ101" s="16">
        <f t="shared" si="683"/>
        <v>693.33333333333201</v>
      </c>
      <c r="AK101" s="16">
        <f t="shared" si="683"/>
        <v>693.33333333333201</v>
      </c>
      <c r="AL101" s="16">
        <f t="shared" si="683"/>
        <v>693.33333333333201</v>
      </c>
      <c r="AM101" s="16">
        <f t="shared" si="683"/>
        <v>693.33333333333201</v>
      </c>
      <c r="AN101" s="16">
        <f t="shared" si="683"/>
        <v>693.33333333333201</v>
      </c>
      <c r="AO101" s="16">
        <f t="shared" si="683"/>
        <v>693.33333333333201</v>
      </c>
      <c r="AP101" s="16">
        <f t="shared" si="683"/>
        <v>866.66666666666504</v>
      </c>
      <c r="AX101" s="16">
        <f t="shared" ref="AX101:AX102" si="684">SUM(R101:AC101)</f>
        <v>33973.333333333263</v>
      </c>
      <c r="AY101" s="16">
        <f t="shared" ref="AY101:AY102" si="685">SUM(R103:T103)</f>
        <v>0</v>
      </c>
      <c r="AZ101" s="16">
        <f t="shared" ref="AZ101:AZ102" si="686">SUM(U101:W101)</f>
        <v>6933.3333333333203</v>
      </c>
      <c r="BA101" s="16">
        <f t="shared" ref="BA101:BA102" si="687">SUM(X101:Z101)</f>
        <v>13519.999999999975</v>
      </c>
      <c r="BB101" s="16">
        <f t="shared" ref="BB101:BB102" si="688">SUM(AA101:AC101)</f>
        <v>13519.999999999975</v>
      </c>
      <c r="BD101" s="16">
        <f t="shared" ref="BD101:BD102" si="689">SUM(AE101:AP101)</f>
        <v>19933.333333333296</v>
      </c>
      <c r="BE101" s="16">
        <f t="shared" ref="BE101:BE102" si="690">SUM(AE101:AG101)</f>
        <v>13519.999999999975</v>
      </c>
      <c r="BF101" s="16">
        <f t="shared" ref="BF101:BF102" si="691">SUM(AH101:AJ101)</f>
        <v>2079.9999999999959</v>
      </c>
      <c r="BG101" s="16">
        <f t="shared" ref="BG101:BG102" si="692">SUM(AK101:AM101)</f>
        <v>2079.9999999999959</v>
      </c>
      <c r="BH101" s="16">
        <f t="shared" ref="BH101:BH102" si="693">SUM(AN101:AP101)</f>
        <v>2253.3333333333289</v>
      </c>
      <c r="BJ101" s="16">
        <f t="shared" ref="BJ101:BJ102" si="694">SUM(BK101:BN101)</f>
        <v>8319.9999999999836</v>
      </c>
      <c r="BK101" s="16">
        <f t="shared" ref="BK101:BN101" si="695">+BK31*173.333333333333</f>
        <v>1386.666666666664</v>
      </c>
      <c r="BL101" s="16">
        <f t="shared" si="695"/>
        <v>2079.9999999999959</v>
      </c>
      <c r="BM101" s="16">
        <f t="shared" si="695"/>
        <v>2253.3333333333289</v>
      </c>
      <c r="BN101" s="16">
        <f t="shared" si="695"/>
        <v>2599.999999999995</v>
      </c>
      <c r="BP101" s="16">
        <f t="shared" ref="BP101:BP102" si="696">SUM(BQ101:BT101)</f>
        <v>45239.999999999913</v>
      </c>
      <c r="BQ101" s="16">
        <f t="shared" ref="BQ101:BT101" si="697">+BQ31*173.333333333333*3</f>
        <v>8319.9999999999836</v>
      </c>
      <c r="BR101" s="16">
        <f t="shared" si="697"/>
        <v>11439.999999999978</v>
      </c>
      <c r="BS101" s="16">
        <f t="shared" si="697"/>
        <v>11959.999999999978</v>
      </c>
      <c r="BT101" s="16">
        <f t="shared" si="697"/>
        <v>13519.999999999975</v>
      </c>
      <c r="BV101" s="16">
        <f t="shared" ref="BV101:BV102" si="698">SUM(BW101:BZ101)</f>
        <v>70199.999999999854</v>
      </c>
      <c r="BW101" s="16">
        <f t="shared" ref="BW101:BZ101" si="699">+BW31*173.333333333333*3</f>
        <v>14559.999999999971</v>
      </c>
      <c r="BX101" s="16">
        <f t="shared" si="699"/>
        <v>17159.999999999967</v>
      </c>
      <c r="BY101" s="16">
        <f t="shared" si="699"/>
        <v>18719.999999999964</v>
      </c>
      <c r="BZ101" s="16">
        <f t="shared" si="699"/>
        <v>19759.999999999964</v>
      </c>
    </row>
    <row r="102" spans="1:78" s="16" customFormat="1" x14ac:dyDescent="0.25">
      <c r="B102" s="16" t="s">
        <v>312</v>
      </c>
      <c r="U102" s="16">
        <f t="shared" ref="U102:AC102" si="700">+U49*U17</f>
        <v>753.60000000000014</v>
      </c>
      <c r="V102" s="16">
        <f t="shared" si="700"/>
        <v>1256.0000000000002</v>
      </c>
      <c r="W102" s="16">
        <f t="shared" si="700"/>
        <v>2512.0000000000005</v>
      </c>
      <c r="X102" s="16">
        <f t="shared" si="700"/>
        <v>3524.4021863013713</v>
      </c>
      <c r="Y102" s="16">
        <f t="shared" si="700"/>
        <v>2644.0449644095324</v>
      </c>
      <c r="Z102" s="16">
        <f t="shared" si="700"/>
        <v>3141.6077275499692</v>
      </c>
      <c r="AA102" s="16">
        <f t="shared" si="700"/>
        <v>1789.6095926850764</v>
      </c>
      <c r="AB102" s="16">
        <f t="shared" si="700"/>
        <v>3351.4498517059887</v>
      </c>
      <c r="AC102" s="16">
        <f t="shared" si="700"/>
        <v>3249.7611123947945</v>
      </c>
      <c r="AE102" s="16">
        <f t="shared" ref="AE102:AP102" si="701">+AE49*AE17</f>
        <v>2908.4364719997488</v>
      </c>
      <c r="AF102" s="16">
        <f t="shared" si="701"/>
        <v>3097.7032543697069</v>
      </c>
      <c r="AG102" s="16">
        <f t="shared" si="701"/>
        <v>3218.440838583816</v>
      </c>
      <c r="AH102" s="16">
        <f t="shared" si="701"/>
        <v>713.68490000000008</v>
      </c>
      <c r="AI102" s="16">
        <f t="shared" si="701"/>
        <v>713.68489999999997</v>
      </c>
      <c r="AJ102" s="16">
        <f t="shared" si="701"/>
        <v>713.6849000000002</v>
      </c>
      <c r="AK102" s="16">
        <f>+AK49*AK17</f>
        <v>762.8175</v>
      </c>
      <c r="AL102" s="16">
        <f t="shared" si="701"/>
        <v>776.17168333333359</v>
      </c>
      <c r="AM102" s="16">
        <f t="shared" si="701"/>
        <v>776.17168333333359</v>
      </c>
      <c r="AN102" s="16">
        <f t="shared" si="701"/>
        <v>752.14933333333329</v>
      </c>
      <c r="AO102" s="16">
        <f t="shared" si="701"/>
        <v>781.1600000000002</v>
      </c>
      <c r="AP102" s="16">
        <f t="shared" si="701"/>
        <v>984.60362500000019</v>
      </c>
      <c r="AX102" s="16">
        <f t="shared" si="684"/>
        <v>22222.47543504673</v>
      </c>
      <c r="AY102" s="16">
        <f t="shared" si="685"/>
        <v>0</v>
      </c>
      <c r="AZ102" s="16">
        <f t="shared" si="686"/>
        <v>4521.6000000000004</v>
      </c>
      <c r="BA102" s="16">
        <f t="shared" si="687"/>
        <v>9310.054878260873</v>
      </c>
      <c r="BB102" s="16">
        <f t="shared" si="688"/>
        <v>8390.8205567858604</v>
      </c>
      <c r="BD102" s="16">
        <f t="shared" si="689"/>
        <v>16198.709089953272</v>
      </c>
      <c r="BE102" s="16">
        <f t="shared" si="690"/>
        <v>9224.5805649532722</v>
      </c>
      <c r="BF102" s="16">
        <f t="shared" si="691"/>
        <v>2141.0547000000001</v>
      </c>
      <c r="BG102" s="16">
        <f t="shared" si="692"/>
        <v>2315.1608666666671</v>
      </c>
      <c r="BH102" s="16">
        <f t="shared" si="693"/>
        <v>2517.9129583333338</v>
      </c>
      <c r="BJ102" s="16">
        <f t="shared" si="694"/>
        <v>14894.179284136673</v>
      </c>
      <c r="BK102" s="16">
        <f>+BK49*BK17</f>
        <v>2590.1613250000014</v>
      </c>
      <c r="BL102" s="16">
        <f>+BL49*BL17</f>
        <v>3669.7258380111125</v>
      </c>
      <c r="BM102" s="16">
        <f>+BM49*BM17</f>
        <v>4094.2876089777787</v>
      </c>
      <c r="BN102" s="16">
        <f>+BN49*BN17</f>
        <v>4540.0045121477806</v>
      </c>
      <c r="BP102" s="16">
        <f t="shared" si="696"/>
        <v>25526.542345912079</v>
      </c>
      <c r="BQ102" s="16">
        <f>+BQ49*BQ17</f>
        <v>4775.5003587386682</v>
      </c>
      <c r="BR102" s="16">
        <f>+BR49*BR17</f>
        <v>6418.1643053546695</v>
      </c>
      <c r="BS102" s="16">
        <f>+BS49*BS17</f>
        <v>6761.3700089817821</v>
      </c>
      <c r="BT102" s="16">
        <f>+BT49*BT17</f>
        <v>7571.5076728369595</v>
      </c>
      <c r="BV102" s="16">
        <f t="shared" si="698"/>
        <v>39259.074710410285</v>
      </c>
      <c r="BW102" s="16">
        <f>+BW49*BW17</f>
        <v>8105.7987516918283</v>
      </c>
      <c r="BX102" s="16">
        <f>+BX49*BX17</f>
        <v>9579.264562952003</v>
      </c>
      <c r="BY102" s="16">
        <f>+BY49*BY17</f>
        <v>10627.446369846448</v>
      </c>
      <c r="BZ102" s="16">
        <f>+BZ49*BZ17</f>
        <v>10946.565025920003</v>
      </c>
    </row>
    <row r="103" spans="1:78" s="16" customFormat="1" x14ac:dyDescent="0.25">
      <c r="B103" s="16" t="s">
        <v>314</v>
      </c>
      <c r="U103" s="17">
        <f>+U101-U102</f>
        <v>459.73333333333085</v>
      </c>
      <c r="V103" s="17">
        <f t="shared" ref="V103:AC103" si="702">+V101-V102</f>
        <v>650.66666666666288</v>
      </c>
      <c r="W103" s="17">
        <f t="shared" si="702"/>
        <v>1301.3333333333258</v>
      </c>
      <c r="X103" s="17">
        <f t="shared" si="702"/>
        <v>982.26448036528654</v>
      </c>
      <c r="Y103" s="17">
        <f t="shared" si="702"/>
        <v>1862.6217022571254</v>
      </c>
      <c r="Z103" s="17">
        <f t="shared" si="702"/>
        <v>1365.0589391166886</v>
      </c>
      <c r="AA103" s="17">
        <f t="shared" si="702"/>
        <v>2717.0570739815812</v>
      </c>
      <c r="AB103" s="17">
        <f t="shared" si="702"/>
        <v>1155.2168149606691</v>
      </c>
      <c r="AC103" s="17">
        <f t="shared" si="702"/>
        <v>1256.9055542718634</v>
      </c>
      <c r="AE103" s="17">
        <f t="shared" ref="AE103:AP103" si="703">+AE101-AE102</f>
        <v>1598.230194666909</v>
      </c>
      <c r="AF103" s="17">
        <f t="shared" si="703"/>
        <v>1408.963412296951</v>
      </c>
      <c r="AG103" s="17">
        <f t="shared" si="703"/>
        <v>1288.2258280828419</v>
      </c>
      <c r="AH103" s="17">
        <f t="shared" si="703"/>
        <v>-20.351566666668077</v>
      </c>
      <c r="AI103" s="17">
        <f t="shared" si="703"/>
        <v>-20.351566666667964</v>
      </c>
      <c r="AJ103" s="17">
        <f t="shared" si="703"/>
        <v>-20.351566666668191</v>
      </c>
      <c r="AK103" s="17">
        <f t="shared" si="703"/>
        <v>-69.484166666667988</v>
      </c>
      <c r="AL103" s="17">
        <f t="shared" si="703"/>
        <v>-82.838350000001583</v>
      </c>
      <c r="AM103" s="17">
        <f t="shared" si="703"/>
        <v>-82.838350000001583</v>
      </c>
      <c r="AN103" s="17">
        <f t="shared" si="703"/>
        <v>-58.816000000001281</v>
      </c>
      <c r="AO103" s="17">
        <f t="shared" si="703"/>
        <v>-87.826666666668189</v>
      </c>
      <c r="AP103" s="17">
        <f t="shared" si="703"/>
        <v>-117.93695833333516</v>
      </c>
      <c r="AX103" s="17">
        <f t="shared" ref="AX103:BB103" si="704">+AX101-AX102</f>
        <v>11750.857898286533</v>
      </c>
      <c r="AY103" s="17">
        <f t="shared" si="704"/>
        <v>0</v>
      </c>
      <c r="AZ103" s="17">
        <f t="shared" si="704"/>
        <v>2411.7333333333199</v>
      </c>
      <c r="BA103" s="17">
        <f t="shared" si="704"/>
        <v>4209.9451217391015</v>
      </c>
      <c r="BB103" s="17">
        <f t="shared" si="704"/>
        <v>5129.1794432141141</v>
      </c>
      <c r="BD103" s="17">
        <f t="shared" ref="BD103:BH103" si="705">+BD101-BD102</f>
        <v>3734.6242433800235</v>
      </c>
      <c r="BE103" s="17">
        <f t="shared" si="705"/>
        <v>4295.4194350467023</v>
      </c>
      <c r="BF103" s="17">
        <f t="shared" si="705"/>
        <v>-61.054700000004232</v>
      </c>
      <c r="BG103" s="17">
        <f t="shared" si="705"/>
        <v>-235.16086666667115</v>
      </c>
      <c r="BH103" s="17">
        <f t="shared" si="705"/>
        <v>-264.57962500000485</v>
      </c>
      <c r="BJ103" s="17">
        <f t="shared" ref="BJ103:BN103" si="706">+BJ101-BJ102</f>
        <v>-6574.1792841366896</v>
      </c>
      <c r="BK103" s="17">
        <f t="shared" si="706"/>
        <v>-1203.4946583333374</v>
      </c>
      <c r="BL103" s="17">
        <f t="shared" si="706"/>
        <v>-1589.7258380111166</v>
      </c>
      <c r="BM103" s="17">
        <f t="shared" si="706"/>
        <v>-1840.9542756444498</v>
      </c>
      <c r="BN103" s="17">
        <f t="shared" si="706"/>
        <v>-1940.0045121477856</v>
      </c>
      <c r="BP103" s="17">
        <f t="shared" ref="BP103" si="707">+BP101-BP102</f>
        <v>19713.457654087833</v>
      </c>
      <c r="BQ103" s="17">
        <f t="shared" ref="BQ103:BT103" si="708">+BQ101-BQ102</f>
        <v>3544.4996412613154</v>
      </c>
      <c r="BR103" s="17">
        <f t="shared" si="708"/>
        <v>5021.8356946453086</v>
      </c>
      <c r="BS103" s="17">
        <f t="shared" si="708"/>
        <v>5198.6299910181961</v>
      </c>
      <c r="BT103" s="17">
        <f t="shared" si="708"/>
        <v>5948.492327163015</v>
      </c>
      <c r="BV103" s="17">
        <f t="shared" ref="BV103" si="709">+BV101-BV102</f>
        <v>30940.92528958957</v>
      </c>
      <c r="BW103" s="17">
        <f t="shared" ref="BW103:BZ103" si="710">+BW101-BW102</f>
        <v>6454.2012483081426</v>
      </c>
      <c r="BX103" s="17">
        <f t="shared" si="710"/>
        <v>7580.7354370479643</v>
      </c>
      <c r="BY103" s="17">
        <f t="shared" si="710"/>
        <v>8092.5536301535158</v>
      </c>
      <c r="BZ103" s="17">
        <f t="shared" si="710"/>
        <v>8813.4349740799607</v>
      </c>
    </row>
    <row r="104" spans="1:78" s="16" customFormat="1" x14ac:dyDescent="0.25">
      <c r="B104" s="16" t="s">
        <v>364</v>
      </c>
      <c r="U104" s="65">
        <f>U102/U101</f>
        <v>0.62109890109890242</v>
      </c>
      <c r="V104" s="65">
        <f t="shared" ref="V104:AP104" si="711">V102/V101</f>
        <v>0.65874125874126011</v>
      </c>
      <c r="W104" s="65">
        <f t="shared" si="711"/>
        <v>0.65874125874126011</v>
      </c>
      <c r="X104" s="65">
        <f t="shared" si="711"/>
        <v>0.78204190524438866</v>
      </c>
      <c r="Y104" s="65">
        <f t="shared" si="711"/>
        <v>0.58669636784235302</v>
      </c>
      <c r="Z104" s="65">
        <f t="shared" si="711"/>
        <v>0.69710230640901816</v>
      </c>
      <c r="AA104" s="65">
        <f t="shared" si="711"/>
        <v>0.39710272027035798</v>
      </c>
      <c r="AB104" s="65">
        <f t="shared" si="711"/>
        <v>0.74366490792292794</v>
      </c>
      <c r="AC104" s="65">
        <f t="shared" si="711"/>
        <v>0.7211008385491422</v>
      </c>
      <c r="AD104" s="65"/>
      <c r="AE104" s="65">
        <f t="shared" si="711"/>
        <v>0.6453631224851526</v>
      </c>
      <c r="AF104" s="65">
        <f t="shared" si="711"/>
        <v>0.6873601895790783</v>
      </c>
      <c r="AG104" s="65">
        <f t="shared" si="711"/>
        <v>0.71415107365025643</v>
      </c>
      <c r="AH104" s="65">
        <f t="shared" si="711"/>
        <v>1.0293532211538483</v>
      </c>
      <c r="AI104" s="65">
        <f t="shared" si="711"/>
        <v>1.0293532211538481</v>
      </c>
      <c r="AJ104" s="65">
        <f t="shared" si="711"/>
        <v>1.0293532211538483</v>
      </c>
      <c r="AK104" s="65">
        <f t="shared" si="711"/>
        <v>1.1002175480769252</v>
      </c>
      <c r="AL104" s="65">
        <f t="shared" si="711"/>
        <v>1.1194783894230795</v>
      </c>
      <c r="AM104" s="65">
        <f t="shared" si="711"/>
        <v>1.1194783894230795</v>
      </c>
      <c r="AN104" s="65">
        <f t="shared" si="711"/>
        <v>1.0848307692307713</v>
      </c>
      <c r="AO104" s="65">
        <f t="shared" si="711"/>
        <v>1.1266730769230793</v>
      </c>
      <c r="AP104" s="65">
        <f t="shared" si="711"/>
        <v>1.136081105769233</v>
      </c>
      <c r="BJ104" s="65">
        <f t="shared" ref="BJ104:BZ104" si="712">BJ102/BJ101</f>
        <v>1.7901657793433536</v>
      </c>
      <c r="BK104" s="65">
        <f t="shared" si="712"/>
        <v>1.8679048016826969</v>
      </c>
      <c r="BL104" s="65">
        <f t="shared" si="712"/>
        <v>1.7642912682745768</v>
      </c>
      <c r="BM104" s="65">
        <f t="shared" si="712"/>
        <v>1.8169915424457634</v>
      </c>
      <c r="BN104" s="65">
        <f t="shared" si="712"/>
        <v>1.7461555815953036</v>
      </c>
      <c r="BP104" s="65">
        <f t="shared" si="712"/>
        <v>0.5642471782916032</v>
      </c>
      <c r="BQ104" s="65">
        <f t="shared" si="712"/>
        <v>0.57397840850224491</v>
      </c>
      <c r="BR104" s="65">
        <f t="shared" si="712"/>
        <v>0.56102834837016446</v>
      </c>
      <c r="BS104" s="65">
        <f t="shared" si="712"/>
        <v>0.56533194055031721</v>
      </c>
      <c r="BT104" s="65">
        <f t="shared" si="712"/>
        <v>0.56002275686664005</v>
      </c>
      <c r="BV104" s="65">
        <f t="shared" si="712"/>
        <v>0.55924607849587415</v>
      </c>
      <c r="BW104" s="65">
        <f t="shared" si="712"/>
        <v>0.55671694723158272</v>
      </c>
      <c r="BX104" s="65">
        <f t="shared" si="712"/>
        <v>0.55823220063822965</v>
      </c>
      <c r="BY104" s="65">
        <f t="shared" si="712"/>
        <v>0.56770546847470449</v>
      </c>
      <c r="BZ104" s="65">
        <f t="shared" si="712"/>
        <v>0.55397596285020356</v>
      </c>
    </row>
    <row r="105" spans="1:78" s="16" customFormat="1" x14ac:dyDescent="0.25"/>
    <row r="106" spans="1:78" s="16" customFormat="1" x14ac:dyDescent="0.25"/>
    <row r="107" spans="1:78" s="16" customFormat="1" x14ac:dyDescent="0.25"/>
    <row r="108" spans="1:78" s="16" customFormat="1" x14ac:dyDescent="0.25"/>
    <row r="109" spans="1:78" s="16" customFormat="1" x14ac:dyDescent="0.25"/>
    <row r="110" spans="1:78" s="16" customFormat="1" x14ac:dyDescent="0.25"/>
    <row r="111" spans="1:78" s="16" customFormat="1" x14ac:dyDescent="0.25"/>
    <row r="112" spans="1:78"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row r="150" s="16" customFormat="1" x14ac:dyDescent="0.25"/>
    <row r="151" s="16" customFormat="1" x14ac:dyDescent="0.25"/>
    <row r="152" s="16" customFormat="1" x14ac:dyDescent="0.25"/>
    <row r="153" s="16" customFormat="1" x14ac:dyDescent="0.25"/>
    <row r="154" s="16" customFormat="1" x14ac:dyDescent="0.25"/>
    <row r="155" s="16" customFormat="1" x14ac:dyDescent="0.25"/>
    <row r="156" s="16" customFormat="1" x14ac:dyDescent="0.25"/>
    <row r="157" s="16" customFormat="1" x14ac:dyDescent="0.25"/>
    <row r="158" s="16" customFormat="1" x14ac:dyDescent="0.25"/>
    <row r="159" s="16" customFormat="1" x14ac:dyDescent="0.25"/>
    <row r="160" s="16" customFormat="1" x14ac:dyDescent="0.25"/>
    <row r="161" s="16" customFormat="1" x14ac:dyDescent="0.25"/>
    <row r="162" s="16" customFormat="1" x14ac:dyDescent="0.25"/>
    <row r="163" s="16" customFormat="1" x14ac:dyDescent="0.25"/>
    <row r="164" s="16" customFormat="1" x14ac:dyDescent="0.25"/>
    <row r="165" s="16" customFormat="1" x14ac:dyDescent="0.25"/>
    <row r="166" s="16" customFormat="1" x14ac:dyDescent="0.25"/>
    <row r="167" s="16" customFormat="1" x14ac:dyDescent="0.25"/>
    <row r="168" s="16" customFormat="1" x14ac:dyDescent="0.25"/>
    <row r="169" s="16" customFormat="1" x14ac:dyDescent="0.25"/>
    <row r="170" s="16" customFormat="1" x14ac:dyDescent="0.25"/>
    <row r="171" s="16" customFormat="1" x14ac:dyDescent="0.25"/>
    <row r="172" s="16" customFormat="1" x14ac:dyDescent="0.25"/>
    <row r="173" s="16" customFormat="1" x14ac:dyDescent="0.25"/>
    <row r="174" s="16" customFormat="1" x14ac:dyDescent="0.25"/>
    <row r="175" s="16" customFormat="1" x14ac:dyDescent="0.25"/>
    <row r="176" s="16" customFormat="1" x14ac:dyDescent="0.25"/>
    <row r="177" s="16" customFormat="1" x14ac:dyDescent="0.25"/>
    <row r="178" s="16" customFormat="1" x14ac:dyDescent="0.25"/>
    <row r="179" s="16" customFormat="1" x14ac:dyDescent="0.25"/>
    <row r="180" s="16" customFormat="1" x14ac:dyDescent="0.25"/>
    <row r="181" s="16" customFormat="1" x14ac:dyDescent="0.25"/>
    <row r="182" s="16" customFormat="1" x14ac:dyDescent="0.25"/>
    <row r="183" s="16" customFormat="1" x14ac:dyDescent="0.25"/>
    <row r="184" s="16" customFormat="1" x14ac:dyDescent="0.25"/>
    <row r="185" s="16" customFormat="1" x14ac:dyDescent="0.25"/>
    <row r="186" s="16" customFormat="1" x14ac:dyDescent="0.25"/>
    <row r="187" s="16" customFormat="1" x14ac:dyDescent="0.25"/>
    <row r="188" s="16" customFormat="1" x14ac:dyDescent="0.25"/>
    <row r="189" s="16" customFormat="1" x14ac:dyDescent="0.25"/>
    <row r="190" s="16" customFormat="1" x14ac:dyDescent="0.25"/>
    <row r="191" s="16" customFormat="1" x14ac:dyDescent="0.25"/>
    <row r="19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sheetData>
  <mergeCells count="9">
    <mergeCell ref="BJ3:BN3"/>
    <mergeCell ref="BP3:BT3"/>
    <mergeCell ref="BV3:BZ3"/>
    <mergeCell ref="BD3:BH3"/>
    <mergeCell ref="E3:P3"/>
    <mergeCell ref="R3:AC3"/>
    <mergeCell ref="AE3:AP3"/>
    <mergeCell ref="AR3:AV3"/>
    <mergeCell ref="AX3:BB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Z364"/>
  <sheetViews>
    <sheetView workbookViewId="0">
      <pane xSplit="2" ySplit="4" topLeftCell="C23" activePane="bottomRight" state="frozen"/>
      <selection activeCell="A5" sqref="A5:XFD363"/>
      <selection pane="topRight" activeCell="A5" sqref="A5:XFD363"/>
      <selection pane="bottomLeft" activeCell="A5" sqref="A5:XFD363"/>
      <selection pane="bottomRight" activeCell="B31" sqref="B31"/>
    </sheetView>
  </sheetViews>
  <sheetFormatPr defaultColWidth="10.25" defaultRowHeight="15.75" outlineLevelCol="1" x14ac:dyDescent="0.25"/>
  <cols>
    <col min="1" max="1" width="11.25" style="7" customWidth="1"/>
    <col min="2" max="2" width="47.5" style="7" customWidth="1"/>
    <col min="3" max="3" width="10.25" style="7"/>
    <col min="4" max="4" width="9.75" style="7" customWidth="1"/>
    <col min="5" max="16" width="10.25" style="7"/>
    <col min="17" max="17" width="2" style="7" customWidth="1"/>
    <col min="18" max="29" width="10.25" style="7"/>
    <col min="30" max="30" width="1.625" style="7" customWidth="1"/>
    <col min="31" max="42" width="10.25" style="7"/>
    <col min="43" max="61" width="0" style="7" hidden="1" customWidth="1" outlineLevel="1"/>
    <col min="62" max="62" width="10.25" style="7" collapsed="1"/>
    <col min="63" max="16384" width="10.25" style="7"/>
  </cols>
  <sheetData>
    <row r="1" spans="1:78" customFormat="1" x14ac:dyDescent="0.25">
      <c r="B1" s="4" t="s">
        <v>36</v>
      </c>
      <c r="E1">
        <v>36</v>
      </c>
      <c r="F1">
        <f>+E1-1</f>
        <v>35</v>
      </c>
      <c r="G1">
        <f t="shared" ref="G1:P1" si="0">+F1-1</f>
        <v>34</v>
      </c>
      <c r="H1">
        <f t="shared" si="0"/>
        <v>33</v>
      </c>
      <c r="I1">
        <f t="shared" si="0"/>
        <v>32</v>
      </c>
      <c r="J1">
        <f t="shared" si="0"/>
        <v>31</v>
      </c>
      <c r="K1">
        <f t="shared" si="0"/>
        <v>30</v>
      </c>
      <c r="L1">
        <f t="shared" si="0"/>
        <v>29</v>
      </c>
      <c r="M1">
        <f t="shared" si="0"/>
        <v>28</v>
      </c>
      <c r="N1">
        <f t="shared" si="0"/>
        <v>27</v>
      </c>
      <c r="O1">
        <f t="shared" si="0"/>
        <v>26</v>
      </c>
      <c r="P1">
        <f t="shared" si="0"/>
        <v>25</v>
      </c>
      <c r="R1">
        <f>+P1-1</f>
        <v>24</v>
      </c>
      <c r="S1">
        <f t="shared" ref="S1:AC1" si="1">+R1-1</f>
        <v>23</v>
      </c>
      <c r="T1">
        <f t="shared" si="1"/>
        <v>22</v>
      </c>
      <c r="U1">
        <f t="shared" si="1"/>
        <v>21</v>
      </c>
      <c r="V1">
        <f t="shared" si="1"/>
        <v>20</v>
      </c>
      <c r="W1">
        <f t="shared" si="1"/>
        <v>19</v>
      </c>
      <c r="X1">
        <f t="shared" si="1"/>
        <v>18</v>
      </c>
      <c r="Y1">
        <f t="shared" si="1"/>
        <v>17</v>
      </c>
      <c r="Z1">
        <f t="shared" si="1"/>
        <v>16</v>
      </c>
      <c r="AA1">
        <f t="shared" si="1"/>
        <v>15</v>
      </c>
      <c r="AB1">
        <f t="shared" si="1"/>
        <v>14</v>
      </c>
      <c r="AC1">
        <f t="shared" si="1"/>
        <v>13</v>
      </c>
      <c r="AE1">
        <f>+AC1-1</f>
        <v>12</v>
      </c>
      <c r="AF1">
        <f t="shared" ref="AF1:AP1" si="2">+AE1-1</f>
        <v>11</v>
      </c>
      <c r="AG1">
        <f t="shared" si="2"/>
        <v>10</v>
      </c>
      <c r="AH1">
        <f t="shared" si="2"/>
        <v>9</v>
      </c>
      <c r="AI1">
        <f t="shared" si="2"/>
        <v>8</v>
      </c>
      <c r="AJ1">
        <f t="shared" si="2"/>
        <v>7</v>
      </c>
      <c r="AK1">
        <f t="shared" si="2"/>
        <v>6</v>
      </c>
      <c r="AL1">
        <f t="shared" si="2"/>
        <v>5</v>
      </c>
      <c r="AM1">
        <f t="shared" si="2"/>
        <v>4</v>
      </c>
      <c r="AN1">
        <f t="shared" si="2"/>
        <v>3</v>
      </c>
      <c r="AO1">
        <f t="shared" si="2"/>
        <v>2</v>
      </c>
      <c r="AP1">
        <f t="shared" si="2"/>
        <v>1</v>
      </c>
    </row>
    <row r="2" spans="1:78" customFormat="1" x14ac:dyDescent="0.25">
      <c r="B2" s="4" t="s">
        <v>97</v>
      </c>
    </row>
    <row r="3" spans="1:78"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D3" s="12"/>
      <c r="AE3" s="427" t="s">
        <v>166</v>
      </c>
      <c r="AF3" s="427"/>
      <c r="AG3" s="427"/>
      <c r="AH3" s="427"/>
      <c r="AI3" s="427"/>
      <c r="AJ3" s="427"/>
      <c r="AK3" s="427"/>
      <c r="AL3" s="427"/>
      <c r="AM3" s="427"/>
      <c r="AN3" s="427"/>
      <c r="AO3" s="427"/>
      <c r="AP3" s="427"/>
      <c r="BJ3" s="435" t="s">
        <v>383</v>
      </c>
      <c r="BK3" s="435"/>
      <c r="BL3" s="435"/>
      <c r="BM3" s="435"/>
      <c r="BN3" s="435"/>
      <c r="BP3" s="436" t="s">
        <v>388</v>
      </c>
      <c r="BQ3" s="436"/>
      <c r="BR3" s="436"/>
      <c r="BS3" s="436"/>
      <c r="BT3" s="436"/>
      <c r="BV3" s="434" t="s">
        <v>389</v>
      </c>
      <c r="BW3" s="434"/>
      <c r="BX3" s="434"/>
      <c r="BY3" s="434"/>
      <c r="BZ3" s="434"/>
    </row>
    <row r="4" spans="1:78" customFormat="1" ht="16.5" thickBot="1" x14ac:dyDescent="0.3">
      <c r="A4" s="3" t="s">
        <v>98</v>
      </c>
      <c r="B4" s="3" t="s">
        <v>99</v>
      </c>
      <c r="C4" s="6" t="s">
        <v>100</v>
      </c>
      <c r="D4" s="6" t="s">
        <v>101</v>
      </c>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D4" s="11"/>
      <c r="AE4" s="6" t="s">
        <v>0</v>
      </c>
      <c r="AF4" s="6" t="s">
        <v>1</v>
      </c>
      <c r="AG4" s="6" t="s">
        <v>2</v>
      </c>
      <c r="AH4" s="6" t="s">
        <v>3</v>
      </c>
      <c r="AI4" s="6" t="s">
        <v>4</v>
      </c>
      <c r="AJ4" s="6" t="s">
        <v>5</v>
      </c>
      <c r="AK4" s="6" t="s">
        <v>6</v>
      </c>
      <c r="AL4" s="6" t="s">
        <v>7</v>
      </c>
      <c r="AM4" s="6" t="s">
        <v>8</v>
      </c>
      <c r="AN4" s="6" t="s">
        <v>9</v>
      </c>
      <c r="AO4" s="6" t="s">
        <v>10</v>
      </c>
      <c r="AP4" s="6" t="s">
        <v>11</v>
      </c>
      <c r="BJ4" s="10" t="s">
        <v>167</v>
      </c>
      <c r="BK4" s="10" t="s">
        <v>168</v>
      </c>
      <c r="BL4" s="10" t="s">
        <v>169</v>
      </c>
      <c r="BM4" s="10" t="s">
        <v>170</v>
      </c>
      <c r="BN4" s="10" t="s">
        <v>171</v>
      </c>
      <c r="BP4" s="10" t="s">
        <v>167</v>
      </c>
      <c r="BQ4" s="10" t="s">
        <v>168</v>
      </c>
      <c r="BR4" s="10" t="s">
        <v>169</v>
      </c>
      <c r="BS4" s="10" t="s">
        <v>170</v>
      </c>
      <c r="BT4" s="10" t="s">
        <v>171</v>
      </c>
      <c r="BV4" s="10" t="s">
        <v>167</v>
      </c>
      <c r="BW4" s="10" t="s">
        <v>168</v>
      </c>
      <c r="BX4" s="10" t="s">
        <v>169</v>
      </c>
      <c r="BY4" s="10" t="s">
        <v>170</v>
      </c>
      <c r="BZ4" s="10" t="s">
        <v>171</v>
      </c>
    </row>
    <row r="5" spans="1:78" s="16" customFormat="1" x14ac:dyDescent="0.25">
      <c r="A5" s="16" t="s">
        <v>102</v>
      </c>
      <c r="B5" s="16" t="s">
        <v>1140</v>
      </c>
      <c r="C5" s="44" t="s">
        <v>111</v>
      </c>
      <c r="D5" s="44" t="s">
        <v>108</v>
      </c>
      <c r="E5" s="16">
        <f>750*6*1.5</f>
        <v>6750</v>
      </c>
      <c r="H5" s="16">
        <f>750*1.5</f>
        <v>1125</v>
      </c>
      <c r="R5" s="16">
        <f>750*2*1.5</f>
        <v>2250</v>
      </c>
    </row>
    <row r="6" spans="1:78" s="16" customFormat="1" x14ac:dyDescent="0.25">
      <c r="A6" s="16" t="s">
        <v>102</v>
      </c>
      <c r="B6" s="16" t="s">
        <v>1141</v>
      </c>
      <c r="C6" s="44" t="s">
        <v>111</v>
      </c>
      <c r="D6" s="44" t="s">
        <v>108</v>
      </c>
      <c r="E6" s="16">
        <f>250*6*1.5</f>
        <v>2250</v>
      </c>
      <c r="H6" s="16">
        <f>250*1.5</f>
        <v>375</v>
      </c>
      <c r="R6" s="16">
        <f>250*2*1.5</f>
        <v>750</v>
      </c>
    </row>
    <row r="7" spans="1:78" s="16" customFormat="1" x14ac:dyDescent="0.25">
      <c r="A7" s="16" t="s">
        <v>102</v>
      </c>
      <c r="B7" s="16" t="s">
        <v>109</v>
      </c>
      <c r="C7" s="44" t="s">
        <v>110</v>
      </c>
      <c r="D7" s="44" t="s">
        <v>109</v>
      </c>
      <c r="E7" s="16">
        <v>12000</v>
      </c>
      <c r="H7" s="16">
        <v>2000</v>
      </c>
      <c r="R7" s="16">
        <v>4000</v>
      </c>
    </row>
    <row r="8" spans="1:78" s="16" customFormat="1" x14ac:dyDescent="0.25">
      <c r="A8" s="16" t="s">
        <v>102</v>
      </c>
      <c r="B8" s="16" t="s">
        <v>1142</v>
      </c>
      <c r="C8" s="44" t="s">
        <v>111</v>
      </c>
      <c r="D8" s="44" t="s">
        <v>108</v>
      </c>
      <c r="E8" s="16">
        <f>1000*1.5</f>
        <v>1500</v>
      </c>
    </row>
    <row r="9" spans="1:78" s="16" customFormat="1" x14ac:dyDescent="0.25">
      <c r="A9" s="16" t="s">
        <v>102</v>
      </c>
      <c r="B9" s="16" t="s">
        <v>1143</v>
      </c>
      <c r="C9" s="44" t="s">
        <v>111</v>
      </c>
      <c r="D9" s="44" t="s">
        <v>108</v>
      </c>
      <c r="E9" s="16">
        <f>1500*1.5</f>
        <v>2250</v>
      </c>
    </row>
    <row r="10" spans="1:78" s="16" customFormat="1" x14ac:dyDescent="0.25">
      <c r="C10" s="44"/>
      <c r="D10" s="44"/>
    </row>
    <row r="11" spans="1:78" s="16" customFormat="1" x14ac:dyDescent="0.25">
      <c r="A11" s="16" t="s">
        <v>112</v>
      </c>
      <c r="B11" s="16" t="s">
        <v>113</v>
      </c>
      <c r="C11" s="44" t="s">
        <v>110</v>
      </c>
      <c r="D11" s="44" t="s">
        <v>120</v>
      </c>
      <c r="E11" s="16">
        <v>3000</v>
      </c>
    </row>
    <row r="12" spans="1:78" s="16" customFormat="1" x14ac:dyDescent="0.25">
      <c r="A12" s="16" t="s">
        <v>112</v>
      </c>
      <c r="B12" s="16" t="s">
        <v>1146</v>
      </c>
      <c r="C12" s="44" t="s">
        <v>110</v>
      </c>
      <c r="D12" s="44" t="s">
        <v>120</v>
      </c>
      <c r="E12" s="16">
        <f>16000*2</f>
        <v>32000</v>
      </c>
    </row>
    <row r="13" spans="1:78" s="16" customFormat="1" x14ac:dyDescent="0.25">
      <c r="A13" s="16" t="s">
        <v>112</v>
      </c>
      <c r="B13" s="16" t="s">
        <v>1147</v>
      </c>
      <c r="C13" s="44" t="s">
        <v>110</v>
      </c>
      <c r="D13" s="44" t="s">
        <v>120</v>
      </c>
      <c r="E13" s="16">
        <f>750*2</f>
        <v>1500</v>
      </c>
    </row>
    <row r="14" spans="1:78" s="16" customFormat="1" x14ac:dyDescent="0.25">
      <c r="A14" s="16" t="s">
        <v>112</v>
      </c>
      <c r="B14" s="16" t="s">
        <v>114</v>
      </c>
      <c r="C14" s="44" t="s">
        <v>110</v>
      </c>
      <c r="D14" s="44" t="s">
        <v>120</v>
      </c>
      <c r="E14" s="16">
        <v>200</v>
      </c>
    </row>
    <row r="15" spans="1:78" s="16" customFormat="1" x14ac:dyDescent="0.25">
      <c r="A15" s="16" t="s">
        <v>112</v>
      </c>
      <c r="B15" s="16" t="s">
        <v>1148</v>
      </c>
      <c r="C15" s="44" t="s">
        <v>110</v>
      </c>
      <c r="D15" s="44" t="s">
        <v>120</v>
      </c>
      <c r="E15" s="16">
        <f>400*2</f>
        <v>800</v>
      </c>
    </row>
    <row r="16" spans="1:78" s="16" customFormat="1" x14ac:dyDescent="0.25">
      <c r="A16" s="16" t="s">
        <v>112</v>
      </c>
      <c r="B16" s="16" t="s">
        <v>1149</v>
      </c>
      <c r="C16" s="44" t="s">
        <v>110</v>
      </c>
      <c r="D16" s="44" t="s">
        <v>120</v>
      </c>
      <c r="E16" s="16">
        <f>250*3+1000</f>
        <v>1750</v>
      </c>
    </row>
    <row r="17" spans="1:5" s="16" customFormat="1" x14ac:dyDescent="0.25">
      <c r="A17" s="16" t="s">
        <v>112</v>
      </c>
      <c r="B17" s="16" t="s">
        <v>1150</v>
      </c>
      <c r="C17" s="44" t="s">
        <v>110</v>
      </c>
      <c r="D17" s="44" t="s">
        <v>120</v>
      </c>
      <c r="E17" s="16">
        <f>60*4</f>
        <v>240</v>
      </c>
    </row>
    <row r="18" spans="1:5" s="16" customFormat="1" x14ac:dyDescent="0.25">
      <c r="C18" s="44"/>
      <c r="D18" s="51"/>
    </row>
    <row r="19" spans="1:5" s="16" customFormat="1" x14ac:dyDescent="0.25">
      <c r="A19" s="16" t="s">
        <v>112</v>
      </c>
      <c r="B19" s="16" t="s">
        <v>1152</v>
      </c>
      <c r="C19" s="44" t="s">
        <v>110</v>
      </c>
      <c r="D19" s="44" t="s">
        <v>120</v>
      </c>
      <c r="E19" s="16">
        <v>7500</v>
      </c>
    </row>
    <row r="20" spans="1:5" s="16" customFormat="1" x14ac:dyDescent="0.25">
      <c r="C20" s="44"/>
      <c r="D20" s="44"/>
    </row>
    <row r="21" spans="1:5" s="16" customFormat="1" x14ac:dyDescent="0.25">
      <c r="A21" s="16" t="s">
        <v>112</v>
      </c>
      <c r="B21" s="16" t="s">
        <v>117</v>
      </c>
      <c r="C21" s="44" t="s">
        <v>110</v>
      </c>
      <c r="D21" s="44" t="s">
        <v>120</v>
      </c>
      <c r="E21" s="16">
        <v>2000</v>
      </c>
    </row>
    <row r="22" spans="1:5" s="16" customFormat="1" x14ac:dyDescent="0.25">
      <c r="A22" s="16" t="s">
        <v>112</v>
      </c>
      <c r="B22" s="16" t="s">
        <v>1153</v>
      </c>
      <c r="C22" s="44" t="s">
        <v>110</v>
      </c>
      <c r="D22" s="44" t="s">
        <v>119</v>
      </c>
    </row>
    <row r="23" spans="1:5" s="16" customFormat="1" x14ac:dyDescent="0.25">
      <c r="A23" s="16" t="s">
        <v>112</v>
      </c>
      <c r="B23" s="16" t="s">
        <v>1155</v>
      </c>
      <c r="C23" s="44" t="s">
        <v>110</v>
      </c>
      <c r="D23" s="44" t="s">
        <v>120</v>
      </c>
      <c r="E23" s="16">
        <v>30400</v>
      </c>
    </row>
    <row r="24" spans="1:5" s="16" customFormat="1" x14ac:dyDescent="0.25">
      <c r="C24" s="44"/>
      <c r="D24" s="44"/>
    </row>
    <row r="25" spans="1:5" s="16" customFormat="1" x14ac:dyDescent="0.25">
      <c r="C25" s="44"/>
      <c r="D25" s="44"/>
    </row>
    <row r="26" spans="1:5" s="16" customFormat="1" x14ac:dyDescent="0.25">
      <c r="A26" s="16" t="s">
        <v>125</v>
      </c>
      <c r="B26" s="9" t="s">
        <v>1158</v>
      </c>
      <c r="C26" s="44" t="s">
        <v>299</v>
      </c>
      <c r="D26" s="44" t="s">
        <v>120</v>
      </c>
      <c r="E26" s="16">
        <f>4500*4</f>
        <v>18000</v>
      </c>
    </row>
    <row r="27" spans="1:5" s="16" customFormat="1" x14ac:dyDescent="0.25">
      <c r="A27" s="16" t="s">
        <v>125</v>
      </c>
      <c r="B27" s="9" t="s">
        <v>1159</v>
      </c>
      <c r="C27" s="44" t="s">
        <v>299</v>
      </c>
      <c r="D27" s="44" t="s">
        <v>120</v>
      </c>
      <c r="E27" s="16">
        <f>2400*2</f>
        <v>4800</v>
      </c>
    </row>
    <row r="28" spans="1:5" s="16" customFormat="1" x14ac:dyDescent="0.25">
      <c r="A28" s="16" t="s">
        <v>125</v>
      </c>
      <c r="B28" s="9" t="s">
        <v>1160</v>
      </c>
      <c r="C28" s="44" t="s">
        <v>299</v>
      </c>
      <c r="D28" s="44" t="s">
        <v>120</v>
      </c>
      <c r="E28" s="16">
        <v>3000</v>
      </c>
    </row>
    <row r="29" spans="1:5" s="16" customFormat="1" x14ac:dyDescent="0.25">
      <c r="A29" s="16" t="s">
        <v>125</v>
      </c>
      <c r="B29" s="9" t="s">
        <v>121</v>
      </c>
      <c r="C29" s="44" t="s">
        <v>299</v>
      </c>
      <c r="D29" s="44" t="s">
        <v>120</v>
      </c>
      <c r="E29" s="16">
        <f>500*4+14000</f>
        <v>16000</v>
      </c>
    </row>
    <row r="30" spans="1:5" s="16" customFormat="1" x14ac:dyDescent="0.25">
      <c r="A30" s="16" t="s">
        <v>125</v>
      </c>
      <c r="B30" s="9" t="s">
        <v>122</v>
      </c>
      <c r="C30" s="44" t="s">
        <v>110</v>
      </c>
      <c r="D30" s="44" t="s">
        <v>120</v>
      </c>
      <c r="E30" s="16">
        <v>7500</v>
      </c>
    </row>
    <row r="31" spans="1:5" s="16" customFormat="1" x14ac:dyDescent="0.25">
      <c r="A31" s="16" t="s">
        <v>125</v>
      </c>
      <c r="B31" s="9" t="s">
        <v>123</v>
      </c>
      <c r="C31" s="44" t="s">
        <v>110</v>
      </c>
      <c r="D31" s="44" t="s">
        <v>120</v>
      </c>
      <c r="E31" s="16">
        <v>13000</v>
      </c>
    </row>
    <row r="32" spans="1:5" s="16" customFormat="1" x14ac:dyDescent="0.25">
      <c r="C32" s="44"/>
      <c r="D32" s="44"/>
    </row>
    <row r="33" spans="1:78" s="16" customFormat="1" x14ac:dyDescent="0.25">
      <c r="A33" s="16" t="s">
        <v>127</v>
      </c>
      <c r="B33" s="16" t="s">
        <v>128</v>
      </c>
      <c r="C33" s="44" t="s">
        <v>110</v>
      </c>
      <c r="D33" s="44" t="s">
        <v>230</v>
      </c>
      <c r="H33" s="16">
        <v>10000</v>
      </c>
    </row>
    <row r="34" spans="1:78" s="16" customFormat="1" x14ac:dyDescent="0.25">
      <c r="A34" s="16" t="s">
        <v>127</v>
      </c>
      <c r="B34" s="16" t="s">
        <v>129</v>
      </c>
      <c r="C34" s="44" t="s">
        <v>299</v>
      </c>
      <c r="D34" s="44" t="s">
        <v>120</v>
      </c>
      <c r="H34" s="16">
        <v>8625</v>
      </c>
    </row>
    <row r="35" spans="1:78" s="16" customFormat="1" x14ac:dyDescent="0.25">
      <c r="A35" s="16" t="s">
        <v>127</v>
      </c>
      <c r="B35" s="16" t="s">
        <v>130</v>
      </c>
      <c r="C35" s="44" t="s">
        <v>299</v>
      </c>
      <c r="D35" s="44" t="s">
        <v>120</v>
      </c>
      <c r="H35" s="16">
        <v>29000</v>
      </c>
    </row>
    <row r="36" spans="1:78" s="16" customFormat="1" x14ac:dyDescent="0.25">
      <c r="A36" s="16" t="s">
        <v>127</v>
      </c>
      <c r="B36" s="16" t="s">
        <v>131</v>
      </c>
      <c r="C36" s="44" t="s">
        <v>299</v>
      </c>
      <c r="D36" s="44" t="s">
        <v>120</v>
      </c>
      <c r="H36" s="16">
        <v>10000</v>
      </c>
    </row>
    <row r="37" spans="1:78" s="16" customFormat="1" x14ac:dyDescent="0.25">
      <c r="A37" s="16" t="s">
        <v>127</v>
      </c>
      <c r="B37" s="16" t="s">
        <v>132</v>
      </c>
      <c r="C37" s="44" t="s">
        <v>299</v>
      </c>
      <c r="D37" s="44" t="s">
        <v>120</v>
      </c>
      <c r="H37" s="16">
        <v>16000</v>
      </c>
    </row>
    <row r="38" spans="1:78" s="16" customFormat="1" x14ac:dyDescent="0.25">
      <c r="A38" s="16" t="s">
        <v>127</v>
      </c>
      <c r="B38" s="16" t="s">
        <v>133</v>
      </c>
      <c r="C38" s="44" t="s">
        <v>299</v>
      </c>
      <c r="D38" s="44" t="s">
        <v>120</v>
      </c>
      <c r="H38" s="16">
        <v>2500</v>
      </c>
    </row>
    <row r="39" spans="1:78" s="16" customFormat="1" x14ac:dyDescent="0.25">
      <c r="A39" s="16" t="s">
        <v>127</v>
      </c>
      <c r="B39" s="16" t="s">
        <v>115</v>
      </c>
      <c r="C39" s="44" t="s">
        <v>299</v>
      </c>
      <c r="D39" s="44" t="s">
        <v>120</v>
      </c>
      <c r="H39" s="16">
        <v>800</v>
      </c>
    </row>
    <row r="40" spans="1:78" s="16" customFormat="1" x14ac:dyDescent="0.25">
      <c r="C40" s="44"/>
      <c r="D40" s="44"/>
    </row>
    <row r="41" spans="1:78" s="16" customFormat="1" x14ac:dyDescent="0.25">
      <c r="A41" s="16" t="s">
        <v>154</v>
      </c>
      <c r="B41" s="16" t="s">
        <v>148</v>
      </c>
      <c r="C41" s="44" t="s">
        <v>299</v>
      </c>
      <c r="D41" s="44" t="s">
        <v>120</v>
      </c>
      <c r="E41" s="16">
        <v>2000</v>
      </c>
    </row>
    <row r="42" spans="1:78" s="16" customFormat="1" x14ac:dyDescent="0.25">
      <c r="A42" s="16" t="s">
        <v>154</v>
      </c>
      <c r="B42" s="16" t="s">
        <v>149</v>
      </c>
      <c r="C42" s="44" t="s">
        <v>299</v>
      </c>
      <c r="D42" s="44" t="s">
        <v>120</v>
      </c>
      <c r="E42" s="16">
        <v>17500</v>
      </c>
    </row>
    <row r="43" spans="1:78" s="16" customFormat="1" x14ac:dyDescent="0.25">
      <c r="A43" s="16" t="s">
        <v>154</v>
      </c>
      <c r="B43" s="16" t="s">
        <v>150</v>
      </c>
      <c r="C43" s="44" t="s">
        <v>299</v>
      </c>
      <c r="D43" s="44" t="s">
        <v>120</v>
      </c>
      <c r="E43" s="16">
        <v>2500</v>
      </c>
    </row>
    <row r="44" spans="1:78" s="16" customFormat="1" x14ac:dyDescent="0.25">
      <c r="A44" s="16" t="s">
        <v>154</v>
      </c>
      <c r="B44" s="16" t="s">
        <v>151</v>
      </c>
      <c r="C44" s="44" t="s">
        <v>299</v>
      </c>
      <c r="D44" s="44" t="s">
        <v>120</v>
      </c>
      <c r="E44" s="16">
        <v>11500</v>
      </c>
    </row>
    <row r="45" spans="1:78" s="16" customFormat="1" x14ac:dyDescent="0.25">
      <c r="B45" s="16" t="s">
        <v>152</v>
      </c>
      <c r="C45" s="44" t="s">
        <v>110</v>
      </c>
      <c r="D45" s="44" t="s">
        <v>120</v>
      </c>
      <c r="E45" s="16">
        <v>20000</v>
      </c>
    </row>
    <row r="46" spans="1:78" s="16" customFormat="1" x14ac:dyDescent="0.25">
      <c r="B46" s="16" t="s">
        <v>649</v>
      </c>
      <c r="C46" s="44" t="s">
        <v>299</v>
      </c>
      <c r="D46" s="44" t="s">
        <v>120</v>
      </c>
      <c r="AJ46" s="16">
        <v>350000</v>
      </c>
    </row>
    <row r="47" spans="1:78" s="16" customFormat="1" x14ac:dyDescent="0.25"/>
    <row r="48" spans="1:78" s="16" customFormat="1" x14ac:dyDescent="0.25">
      <c r="B48" s="16" t="s">
        <v>244</v>
      </c>
      <c r="E48" s="18">
        <f>SUM(E5:E47)</f>
        <v>219940</v>
      </c>
      <c r="F48" s="18">
        <f t="shared" ref="F48:P48" si="3">SUM(F5:F47)</f>
        <v>0</v>
      </c>
      <c r="G48" s="18">
        <f t="shared" si="3"/>
        <v>0</v>
      </c>
      <c r="H48" s="18">
        <f t="shared" si="3"/>
        <v>80425</v>
      </c>
      <c r="I48" s="18">
        <f t="shared" si="3"/>
        <v>0</v>
      </c>
      <c r="J48" s="18">
        <f t="shared" si="3"/>
        <v>0</v>
      </c>
      <c r="K48" s="18">
        <f t="shared" si="3"/>
        <v>0</v>
      </c>
      <c r="L48" s="18">
        <f t="shared" si="3"/>
        <v>0</v>
      </c>
      <c r="M48" s="18">
        <f t="shared" si="3"/>
        <v>0</v>
      </c>
      <c r="N48" s="18">
        <f t="shared" si="3"/>
        <v>0</v>
      </c>
      <c r="O48" s="18">
        <f t="shared" si="3"/>
        <v>0</v>
      </c>
      <c r="P48" s="18">
        <f t="shared" si="3"/>
        <v>0</v>
      </c>
      <c r="R48" s="18">
        <f t="shared" ref="R48:AC48" si="4">SUM(R5:R47)</f>
        <v>7000</v>
      </c>
      <c r="S48" s="18">
        <f t="shared" si="4"/>
        <v>0</v>
      </c>
      <c r="T48" s="18">
        <f t="shared" si="4"/>
        <v>0</v>
      </c>
      <c r="U48" s="18">
        <f t="shared" si="4"/>
        <v>0</v>
      </c>
      <c r="V48" s="18">
        <f t="shared" si="4"/>
        <v>0</v>
      </c>
      <c r="W48" s="18">
        <f t="shared" si="4"/>
        <v>0</v>
      </c>
      <c r="X48" s="18">
        <f t="shared" si="4"/>
        <v>0</v>
      </c>
      <c r="Y48" s="18">
        <f t="shared" si="4"/>
        <v>0</v>
      </c>
      <c r="Z48" s="18">
        <f t="shared" si="4"/>
        <v>0</v>
      </c>
      <c r="AA48" s="18">
        <f t="shared" si="4"/>
        <v>0</v>
      </c>
      <c r="AB48" s="18">
        <f t="shared" si="4"/>
        <v>0</v>
      </c>
      <c r="AC48" s="18">
        <f t="shared" si="4"/>
        <v>0</v>
      </c>
      <c r="AE48" s="18">
        <f t="shared" ref="AE48:AP48" si="5">SUM(AE5:AE47)</f>
        <v>0</v>
      </c>
      <c r="AF48" s="18">
        <f t="shared" si="5"/>
        <v>0</v>
      </c>
      <c r="AG48" s="18">
        <f t="shared" si="5"/>
        <v>0</v>
      </c>
      <c r="AH48" s="18">
        <f t="shared" si="5"/>
        <v>0</v>
      </c>
      <c r="AI48" s="18">
        <f t="shared" si="5"/>
        <v>0</v>
      </c>
      <c r="AJ48" s="18">
        <f t="shared" si="5"/>
        <v>350000</v>
      </c>
      <c r="AK48" s="18">
        <f t="shared" si="5"/>
        <v>0</v>
      </c>
      <c r="AL48" s="18">
        <f t="shared" si="5"/>
        <v>0</v>
      </c>
      <c r="AM48" s="18">
        <f t="shared" si="5"/>
        <v>0</v>
      </c>
      <c r="AN48" s="18">
        <f t="shared" si="5"/>
        <v>0</v>
      </c>
      <c r="AO48" s="18">
        <f t="shared" si="5"/>
        <v>0</v>
      </c>
      <c r="AP48" s="18">
        <f t="shared" si="5"/>
        <v>0</v>
      </c>
      <c r="BK48" s="18">
        <f t="shared" ref="BK48:BN48" si="6">SUM(BK5:BK47)</f>
        <v>0</v>
      </c>
      <c r="BL48" s="18">
        <f t="shared" si="6"/>
        <v>0</v>
      </c>
      <c r="BM48" s="18">
        <f t="shared" si="6"/>
        <v>0</v>
      </c>
      <c r="BN48" s="18">
        <f t="shared" si="6"/>
        <v>0</v>
      </c>
      <c r="BQ48" s="18">
        <f t="shared" ref="BQ48:BT48" si="7">SUM(BQ5:BQ47)</f>
        <v>0</v>
      </c>
      <c r="BR48" s="18">
        <f t="shared" si="7"/>
        <v>0</v>
      </c>
      <c r="BS48" s="18">
        <f t="shared" si="7"/>
        <v>0</v>
      </c>
      <c r="BT48" s="18">
        <f t="shared" si="7"/>
        <v>0</v>
      </c>
      <c r="BW48" s="18">
        <f t="shared" ref="BW48:BZ48" si="8">SUM(BW5:BW47)</f>
        <v>0</v>
      </c>
      <c r="BX48" s="18">
        <f t="shared" si="8"/>
        <v>0</v>
      </c>
      <c r="BY48" s="18">
        <f t="shared" si="8"/>
        <v>0</v>
      </c>
      <c r="BZ48" s="18">
        <f t="shared" si="8"/>
        <v>0</v>
      </c>
    </row>
    <row r="49" spans="1:78" s="16" customFormat="1" x14ac:dyDescent="0.25">
      <c r="A49" s="16" t="s">
        <v>238</v>
      </c>
    </row>
    <row r="50" spans="1:78" s="16" customFormat="1" x14ac:dyDescent="0.25">
      <c r="B50" s="16" t="s">
        <v>111</v>
      </c>
      <c r="C50" s="16" t="s">
        <v>111</v>
      </c>
      <c r="D50" s="16" t="s">
        <v>108</v>
      </c>
      <c r="E50" s="16">
        <f t="shared" ref="E50:P50" si="9">SUMIFS(E$5:E$47,$C$5:$C$47,$C50,$D$5:$D$47,$D50)</f>
        <v>12750</v>
      </c>
      <c r="F50" s="16">
        <f t="shared" si="9"/>
        <v>0</v>
      </c>
      <c r="G50" s="16">
        <f t="shared" si="9"/>
        <v>0</v>
      </c>
      <c r="H50" s="16">
        <f t="shared" si="9"/>
        <v>1500</v>
      </c>
      <c r="I50" s="16">
        <f t="shared" si="9"/>
        <v>0</v>
      </c>
      <c r="J50" s="16">
        <f t="shared" si="9"/>
        <v>0</v>
      </c>
      <c r="K50" s="16">
        <f t="shared" si="9"/>
        <v>0</v>
      </c>
      <c r="L50" s="16">
        <f t="shared" si="9"/>
        <v>0</v>
      </c>
      <c r="M50" s="16">
        <f t="shared" si="9"/>
        <v>0</v>
      </c>
      <c r="N50" s="16">
        <f t="shared" si="9"/>
        <v>0</v>
      </c>
      <c r="O50" s="16">
        <f t="shared" si="9"/>
        <v>0</v>
      </c>
      <c r="P50" s="16">
        <f t="shared" si="9"/>
        <v>0</v>
      </c>
      <c r="R50" s="16">
        <f t="shared" ref="R50:AC50" si="10">SUMIFS(R$5:R$47,$C$5:$C$47,$C50,$D$5:$D$47,$D50)</f>
        <v>3000</v>
      </c>
      <c r="S50" s="16">
        <f t="shared" si="10"/>
        <v>0</v>
      </c>
      <c r="T50" s="16">
        <f t="shared" si="10"/>
        <v>0</v>
      </c>
      <c r="U50" s="16">
        <f t="shared" si="10"/>
        <v>0</v>
      </c>
      <c r="V50" s="16">
        <f t="shared" si="10"/>
        <v>0</v>
      </c>
      <c r="W50" s="16">
        <f t="shared" si="10"/>
        <v>0</v>
      </c>
      <c r="X50" s="16">
        <f t="shared" si="10"/>
        <v>0</v>
      </c>
      <c r="Y50" s="16">
        <f t="shared" si="10"/>
        <v>0</v>
      </c>
      <c r="Z50" s="16">
        <f t="shared" si="10"/>
        <v>0</v>
      </c>
      <c r="AA50" s="16">
        <f t="shared" si="10"/>
        <v>0</v>
      </c>
      <c r="AB50" s="16">
        <f t="shared" si="10"/>
        <v>0</v>
      </c>
      <c r="AC50" s="16">
        <f t="shared" si="10"/>
        <v>0</v>
      </c>
      <c r="AE50" s="16">
        <f t="shared" ref="AE50:AP50" si="11">SUMIFS(AE$5:AE$47,$C$5:$C$47,$C50,$D$5:$D$47,$D50)</f>
        <v>0</v>
      </c>
      <c r="AF50" s="16">
        <f t="shared" si="11"/>
        <v>0</v>
      </c>
      <c r="AG50" s="16">
        <f t="shared" si="11"/>
        <v>0</v>
      </c>
      <c r="AH50" s="16">
        <f t="shared" si="11"/>
        <v>0</v>
      </c>
      <c r="AI50" s="16">
        <f t="shared" si="11"/>
        <v>0</v>
      </c>
      <c r="AJ50" s="16">
        <f t="shared" si="11"/>
        <v>0</v>
      </c>
      <c r="AK50" s="16">
        <f t="shared" si="11"/>
        <v>0</v>
      </c>
      <c r="AL50" s="16">
        <f t="shared" si="11"/>
        <v>0</v>
      </c>
      <c r="AM50" s="16">
        <f t="shared" si="11"/>
        <v>0</v>
      </c>
      <c r="AN50" s="16">
        <f t="shared" si="11"/>
        <v>0</v>
      </c>
      <c r="AO50" s="16">
        <f t="shared" si="11"/>
        <v>0</v>
      </c>
      <c r="AP50" s="16">
        <f t="shared" si="11"/>
        <v>0</v>
      </c>
      <c r="BK50" s="16">
        <f t="shared" ref="BK50:BN50" si="12">SUMIFS(BK$5:BK$47,$C$5:$C$47,$C50,$D$5:$D$47,$D50)</f>
        <v>0</v>
      </c>
      <c r="BL50" s="16">
        <f t="shared" si="12"/>
        <v>0</v>
      </c>
      <c r="BM50" s="16">
        <f t="shared" si="12"/>
        <v>0</v>
      </c>
      <c r="BN50" s="16">
        <f t="shared" si="12"/>
        <v>0</v>
      </c>
      <c r="BQ50" s="16">
        <f t="shared" ref="BQ50:BT50" si="13">SUMIFS(BQ$5:BQ$47,$C$5:$C$47,$C50,$D$5:$D$47,$D50)</f>
        <v>0</v>
      </c>
      <c r="BR50" s="16">
        <f t="shared" si="13"/>
        <v>0</v>
      </c>
      <c r="BS50" s="16">
        <f t="shared" si="13"/>
        <v>0</v>
      </c>
      <c r="BT50" s="16">
        <f t="shared" si="13"/>
        <v>0</v>
      </c>
      <c r="BW50" s="16">
        <f t="shared" ref="BW50:BZ50" si="14">SUMIFS(BW$5:BW$47,$C$5:$C$47,$C50,$D$5:$D$47,$D50)</f>
        <v>0</v>
      </c>
      <c r="BX50" s="16">
        <f t="shared" si="14"/>
        <v>0</v>
      </c>
      <c r="BY50" s="16">
        <f t="shared" si="14"/>
        <v>0</v>
      </c>
      <c r="BZ50" s="16">
        <f t="shared" si="14"/>
        <v>0</v>
      </c>
    </row>
    <row r="51" spans="1:78" s="16" customFormat="1" x14ac:dyDescent="0.25"/>
    <row r="52" spans="1:78" s="16" customFormat="1" x14ac:dyDescent="0.25">
      <c r="B52" s="16" t="s">
        <v>190</v>
      </c>
      <c r="C52" s="16" t="s">
        <v>110</v>
      </c>
      <c r="D52" s="16" t="s">
        <v>108</v>
      </c>
      <c r="E52" s="16">
        <f t="shared" ref="E52:P55" si="15">SUMIFS(E$5:E$47,$C$5:$C$47,$C52,$D$5:$D$47,$D52)</f>
        <v>0</v>
      </c>
      <c r="F52" s="16">
        <f t="shared" si="15"/>
        <v>0</v>
      </c>
      <c r="G52" s="16">
        <f t="shared" si="15"/>
        <v>0</v>
      </c>
      <c r="H52" s="16">
        <f t="shared" si="15"/>
        <v>0</v>
      </c>
      <c r="I52" s="16">
        <f t="shared" si="15"/>
        <v>0</v>
      </c>
      <c r="J52" s="16">
        <f t="shared" si="15"/>
        <v>0</v>
      </c>
      <c r="K52" s="16">
        <f t="shared" si="15"/>
        <v>0</v>
      </c>
      <c r="L52" s="16">
        <f t="shared" si="15"/>
        <v>0</v>
      </c>
      <c r="M52" s="16">
        <f t="shared" si="15"/>
        <v>0</v>
      </c>
      <c r="N52" s="16">
        <f t="shared" si="15"/>
        <v>0</v>
      </c>
      <c r="O52" s="16">
        <f t="shared" si="15"/>
        <v>0</v>
      </c>
      <c r="P52" s="16">
        <f t="shared" si="15"/>
        <v>0</v>
      </c>
      <c r="R52" s="16">
        <f t="shared" ref="R52:AC55" si="16">SUMIFS(R$5:R$47,$C$5:$C$47,$C52,$D$5:$D$47,$D52)</f>
        <v>0</v>
      </c>
      <c r="S52" s="16">
        <f t="shared" si="16"/>
        <v>0</v>
      </c>
      <c r="T52" s="16">
        <f t="shared" si="16"/>
        <v>0</v>
      </c>
      <c r="U52" s="16">
        <f t="shared" si="16"/>
        <v>0</v>
      </c>
      <c r="V52" s="16">
        <f t="shared" si="16"/>
        <v>0</v>
      </c>
      <c r="W52" s="16">
        <f t="shared" si="16"/>
        <v>0</v>
      </c>
      <c r="X52" s="16">
        <f t="shared" si="16"/>
        <v>0</v>
      </c>
      <c r="Y52" s="16">
        <f t="shared" si="16"/>
        <v>0</v>
      </c>
      <c r="Z52" s="16">
        <f t="shared" si="16"/>
        <v>0</v>
      </c>
      <c r="AA52" s="16">
        <f t="shared" si="16"/>
        <v>0</v>
      </c>
      <c r="AB52" s="16">
        <f t="shared" si="16"/>
        <v>0</v>
      </c>
      <c r="AC52" s="16">
        <f t="shared" si="16"/>
        <v>0</v>
      </c>
      <c r="AE52" s="16">
        <f t="shared" ref="AE52:AP55" si="17">SUMIFS(AE$5:AE$47,$C$5:$C$47,$C52,$D$5:$D$47,$D52)</f>
        <v>0</v>
      </c>
      <c r="AF52" s="16">
        <f t="shared" si="17"/>
        <v>0</v>
      </c>
      <c r="AG52" s="16">
        <f t="shared" si="17"/>
        <v>0</v>
      </c>
      <c r="AH52" s="16">
        <f t="shared" si="17"/>
        <v>0</v>
      </c>
      <c r="AI52" s="16">
        <f t="shared" si="17"/>
        <v>0</v>
      </c>
      <c r="AJ52" s="16">
        <f t="shared" si="17"/>
        <v>0</v>
      </c>
      <c r="AK52" s="16">
        <f t="shared" si="17"/>
        <v>0</v>
      </c>
      <c r="AL52" s="16">
        <f t="shared" si="17"/>
        <v>0</v>
      </c>
      <c r="AM52" s="16">
        <f t="shared" si="17"/>
        <v>0</v>
      </c>
      <c r="AN52" s="16">
        <f t="shared" si="17"/>
        <v>0</v>
      </c>
      <c r="AO52" s="16">
        <f t="shared" si="17"/>
        <v>0</v>
      </c>
      <c r="AP52" s="16">
        <f t="shared" si="17"/>
        <v>0</v>
      </c>
      <c r="BK52" s="16">
        <f t="shared" ref="BK52:BN55" si="18">SUMIFS(BK$5:BK$47,$C$5:$C$47,$C52,$D$5:$D$47,$D52)</f>
        <v>0</v>
      </c>
      <c r="BL52" s="16">
        <f t="shared" si="18"/>
        <v>0</v>
      </c>
      <c r="BM52" s="16">
        <f t="shared" si="18"/>
        <v>0</v>
      </c>
      <c r="BN52" s="16">
        <f t="shared" si="18"/>
        <v>0</v>
      </c>
      <c r="BQ52" s="16">
        <f t="shared" ref="BQ52:BT55" si="19">SUMIFS(BQ$5:BQ$47,$C$5:$C$47,$C52,$D$5:$D$47,$D52)</f>
        <v>0</v>
      </c>
      <c r="BR52" s="16">
        <f t="shared" si="19"/>
        <v>0</v>
      </c>
      <c r="BS52" s="16">
        <f t="shared" si="19"/>
        <v>0</v>
      </c>
      <c r="BT52" s="16">
        <f t="shared" si="19"/>
        <v>0</v>
      </c>
      <c r="BW52" s="16">
        <f t="shared" ref="BW52:BZ55" si="20">SUMIFS(BW$5:BW$47,$C$5:$C$47,$C52,$D$5:$D$47,$D52)</f>
        <v>0</v>
      </c>
      <c r="BX52" s="16">
        <f t="shared" si="20"/>
        <v>0</v>
      </c>
      <c r="BY52" s="16">
        <f t="shared" si="20"/>
        <v>0</v>
      </c>
      <c r="BZ52" s="16">
        <f t="shared" si="20"/>
        <v>0</v>
      </c>
    </row>
    <row r="53" spans="1:78" s="16" customFormat="1" x14ac:dyDescent="0.25">
      <c r="C53" s="16" t="s">
        <v>110</v>
      </c>
      <c r="D53" s="16" t="s">
        <v>230</v>
      </c>
      <c r="E53" s="16">
        <f t="shared" si="15"/>
        <v>0</v>
      </c>
      <c r="F53" s="16">
        <f t="shared" si="15"/>
        <v>0</v>
      </c>
      <c r="G53" s="16">
        <f t="shared" si="15"/>
        <v>0</v>
      </c>
      <c r="H53" s="16">
        <f t="shared" si="15"/>
        <v>10000</v>
      </c>
      <c r="I53" s="16">
        <f t="shared" si="15"/>
        <v>0</v>
      </c>
      <c r="J53" s="16">
        <f t="shared" si="15"/>
        <v>0</v>
      </c>
      <c r="K53" s="16">
        <f t="shared" si="15"/>
        <v>0</v>
      </c>
      <c r="L53" s="16">
        <f t="shared" si="15"/>
        <v>0</v>
      </c>
      <c r="M53" s="16">
        <f t="shared" si="15"/>
        <v>0</v>
      </c>
      <c r="N53" s="16">
        <f t="shared" si="15"/>
        <v>0</v>
      </c>
      <c r="O53" s="16">
        <f t="shared" si="15"/>
        <v>0</v>
      </c>
      <c r="P53" s="16">
        <f t="shared" si="15"/>
        <v>0</v>
      </c>
      <c r="R53" s="16">
        <f t="shared" si="16"/>
        <v>0</v>
      </c>
      <c r="S53" s="16">
        <f t="shared" si="16"/>
        <v>0</v>
      </c>
      <c r="T53" s="16">
        <f t="shared" si="16"/>
        <v>0</v>
      </c>
      <c r="U53" s="16">
        <f t="shared" si="16"/>
        <v>0</v>
      </c>
      <c r="V53" s="16">
        <f t="shared" si="16"/>
        <v>0</v>
      </c>
      <c r="W53" s="16">
        <f t="shared" si="16"/>
        <v>0</v>
      </c>
      <c r="X53" s="16">
        <f t="shared" si="16"/>
        <v>0</v>
      </c>
      <c r="Y53" s="16">
        <f t="shared" si="16"/>
        <v>0</v>
      </c>
      <c r="Z53" s="16">
        <f t="shared" si="16"/>
        <v>0</v>
      </c>
      <c r="AA53" s="16">
        <f t="shared" si="16"/>
        <v>0</v>
      </c>
      <c r="AB53" s="16">
        <f t="shared" si="16"/>
        <v>0</v>
      </c>
      <c r="AC53" s="16">
        <f t="shared" si="16"/>
        <v>0</v>
      </c>
      <c r="AE53" s="16">
        <f t="shared" si="17"/>
        <v>0</v>
      </c>
      <c r="AF53" s="16">
        <f t="shared" si="17"/>
        <v>0</v>
      </c>
      <c r="AG53" s="16">
        <f t="shared" si="17"/>
        <v>0</v>
      </c>
      <c r="AH53" s="16">
        <f t="shared" si="17"/>
        <v>0</v>
      </c>
      <c r="AI53" s="16">
        <f t="shared" si="17"/>
        <v>0</v>
      </c>
      <c r="AJ53" s="16">
        <f t="shared" si="17"/>
        <v>0</v>
      </c>
      <c r="AK53" s="16">
        <f t="shared" si="17"/>
        <v>0</v>
      </c>
      <c r="AL53" s="16">
        <f t="shared" si="17"/>
        <v>0</v>
      </c>
      <c r="AM53" s="16">
        <f t="shared" si="17"/>
        <v>0</v>
      </c>
      <c r="AN53" s="16">
        <f t="shared" si="17"/>
        <v>0</v>
      </c>
      <c r="AO53" s="16">
        <f t="shared" si="17"/>
        <v>0</v>
      </c>
      <c r="AP53" s="16">
        <f t="shared" si="17"/>
        <v>0</v>
      </c>
      <c r="BK53" s="16">
        <f t="shared" si="18"/>
        <v>0</v>
      </c>
      <c r="BL53" s="16">
        <f t="shared" si="18"/>
        <v>0</v>
      </c>
      <c r="BM53" s="16">
        <f t="shared" si="18"/>
        <v>0</v>
      </c>
      <c r="BN53" s="16">
        <f t="shared" si="18"/>
        <v>0</v>
      </c>
      <c r="BQ53" s="16">
        <f t="shared" si="19"/>
        <v>0</v>
      </c>
      <c r="BR53" s="16">
        <f t="shared" si="19"/>
        <v>0</v>
      </c>
      <c r="BS53" s="16">
        <f t="shared" si="19"/>
        <v>0</v>
      </c>
      <c r="BT53" s="16">
        <f t="shared" si="19"/>
        <v>0</v>
      </c>
      <c r="BW53" s="16">
        <f t="shared" si="20"/>
        <v>0</v>
      </c>
      <c r="BX53" s="16">
        <f t="shared" si="20"/>
        <v>0</v>
      </c>
      <c r="BY53" s="16">
        <f t="shared" si="20"/>
        <v>0</v>
      </c>
      <c r="BZ53" s="16">
        <f t="shared" si="20"/>
        <v>0</v>
      </c>
    </row>
    <row r="54" spans="1:78" s="16" customFormat="1" x14ac:dyDescent="0.25">
      <c r="C54" s="16" t="s">
        <v>110</v>
      </c>
      <c r="D54" s="16" t="s">
        <v>120</v>
      </c>
      <c r="E54" s="16">
        <f t="shared" si="15"/>
        <v>119890</v>
      </c>
      <c r="F54" s="16">
        <f t="shared" si="15"/>
        <v>0</v>
      </c>
      <c r="G54" s="16">
        <f t="shared" si="15"/>
        <v>0</v>
      </c>
      <c r="H54" s="16">
        <f t="shared" si="15"/>
        <v>0</v>
      </c>
      <c r="I54" s="16">
        <f t="shared" si="15"/>
        <v>0</v>
      </c>
      <c r="J54" s="16">
        <f t="shared" si="15"/>
        <v>0</v>
      </c>
      <c r="K54" s="16">
        <f t="shared" si="15"/>
        <v>0</v>
      </c>
      <c r="L54" s="16">
        <f t="shared" si="15"/>
        <v>0</v>
      </c>
      <c r="M54" s="16">
        <f t="shared" si="15"/>
        <v>0</v>
      </c>
      <c r="N54" s="16">
        <f t="shared" si="15"/>
        <v>0</v>
      </c>
      <c r="O54" s="16">
        <f t="shared" si="15"/>
        <v>0</v>
      </c>
      <c r="P54" s="16">
        <f t="shared" si="15"/>
        <v>0</v>
      </c>
      <c r="R54" s="16">
        <f t="shared" si="16"/>
        <v>0</v>
      </c>
      <c r="S54" s="16">
        <f t="shared" si="16"/>
        <v>0</v>
      </c>
      <c r="T54" s="16">
        <f t="shared" si="16"/>
        <v>0</v>
      </c>
      <c r="U54" s="16">
        <f t="shared" si="16"/>
        <v>0</v>
      </c>
      <c r="V54" s="16">
        <f t="shared" si="16"/>
        <v>0</v>
      </c>
      <c r="W54" s="16">
        <f t="shared" si="16"/>
        <v>0</v>
      </c>
      <c r="X54" s="16">
        <f t="shared" si="16"/>
        <v>0</v>
      </c>
      <c r="Y54" s="16">
        <f t="shared" si="16"/>
        <v>0</v>
      </c>
      <c r="Z54" s="16">
        <f t="shared" si="16"/>
        <v>0</v>
      </c>
      <c r="AA54" s="16">
        <f t="shared" si="16"/>
        <v>0</v>
      </c>
      <c r="AB54" s="16">
        <f t="shared" si="16"/>
        <v>0</v>
      </c>
      <c r="AC54" s="16">
        <f t="shared" si="16"/>
        <v>0</v>
      </c>
      <c r="AE54" s="16">
        <f t="shared" si="17"/>
        <v>0</v>
      </c>
      <c r="AF54" s="16">
        <f t="shared" si="17"/>
        <v>0</v>
      </c>
      <c r="AG54" s="16">
        <f t="shared" si="17"/>
        <v>0</v>
      </c>
      <c r="AH54" s="16">
        <f t="shared" si="17"/>
        <v>0</v>
      </c>
      <c r="AI54" s="16">
        <f t="shared" si="17"/>
        <v>0</v>
      </c>
      <c r="AJ54" s="16">
        <f t="shared" si="17"/>
        <v>0</v>
      </c>
      <c r="AK54" s="16">
        <f t="shared" si="17"/>
        <v>0</v>
      </c>
      <c r="AL54" s="16">
        <f t="shared" si="17"/>
        <v>0</v>
      </c>
      <c r="AM54" s="16">
        <f t="shared" si="17"/>
        <v>0</v>
      </c>
      <c r="AN54" s="16">
        <f t="shared" si="17"/>
        <v>0</v>
      </c>
      <c r="AO54" s="16">
        <f t="shared" si="17"/>
        <v>0</v>
      </c>
      <c r="AP54" s="16">
        <f t="shared" si="17"/>
        <v>0</v>
      </c>
      <c r="BK54" s="16">
        <f t="shared" si="18"/>
        <v>0</v>
      </c>
      <c r="BL54" s="16">
        <f t="shared" si="18"/>
        <v>0</v>
      </c>
      <c r="BM54" s="16">
        <f t="shared" si="18"/>
        <v>0</v>
      </c>
      <c r="BN54" s="16">
        <f t="shared" si="18"/>
        <v>0</v>
      </c>
      <c r="BQ54" s="16">
        <f t="shared" si="19"/>
        <v>0</v>
      </c>
      <c r="BR54" s="16">
        <f t="shared" si="19"/>
        <v>0</v>
      </c>
      <c r="BS54" s="16">
        <f t="shared" si="19"/>
        <v>0</v>
      </c>
      <c r="BT54" s="16">
        <f t="shared" si="19"/>
        <v>0</v>
      </c>
      <c r="BW54" s="16">
        <f t="shared" si="20"/>
        <v>0</v>
      </c>
      <c r="BX54" s="16">
        <f t="shared" si="20"/>
        <v>0</v>
      </c>
      <c r="BY54" s="16">
        <f t="shared" si="20"/>
        <v>0</v>
      </c>
      <c r="BZ54" s="16">
        <f t="shared" si="20"/>
        <v>0</v>
      </c>
    </row>
    <row r="55" spans="1:78" s="16" customFormat="1" x14ac:dyDescent="0.25">
      <c r="C55" s="16" t="s">
        <v>110</v>
      </c>
      <c r="D55" s="16" t="s">
        <v>109</v>
      </c>
      <c r="E55" s="16">
        <f t="shared" si="15"/>
        <v>12000</v>
      </c>
      <c r="F55" s="16">
        <f t="shared" si="15"/>
        <v>0</v>
      </c>
      <c r="G55" s="16">
        <f t="shared" si="15"/>
        <v>0</v>
      </c>
      <c r="H55" s="16">
        <f t="shared" si="15"/>
        <v>2000</v>
      </c>
      <c r="I55" s="16">
        <f t="shared" si="15"/>
        <v>0</v>
      </c>
      <c r="J55" s="16">
        <f t="shared" si="15"/>
        <v>0</v>
      </c>
      <c r="K55" s="16">
        <f t="shared" si="15"/>
        <v>0</v>
      </c>
      <c r="L55" s="16">
        <f t="shared" si="15"/>
        <v>0</v>
      </c>
      <c r="M55" s="16">
        <f t="shared" si="15"/>
        <v>0</v>
      </c>
      <c r="N55" s="16">
        <f t="shared" si="15"/>
        <v>0</v>
      </c>
      <c r="O55" s="16">
        <f t="shared" si="15"/>
        <v>0</v>
      </c>
      <c r="P55" s="16">
        <f t="shared" si="15"/>
        <v>0</v>
      </c>
      <c r="R55" s="16">
        <f t="shared" si="16"/>
        <v>4000</v>
      </c>
      <c r="S55" s="16">
        <f t="shared" si="16"/>
        <v>0</v>
      </c>
      <c r="T55" s="16">
        <f t="shared" si="16"/>
        <v>0</v>
      </c>
      <c r="U55" s="16">
        <f t="shared" si="16"/>
        <v>0</v>
      </c>
      <c r="V55" s="16">
        <f t="shared" si="16"/>
        <v>0</v>
      </c>
      <c r="W55" s="16">
        <f t="shared" si="16"/>
        <v>0</v>
      </c>
      <c r="X55" s="16">
        <f t="shared" si="16"/>
        <v>0</v>
      </c>
      <c r="Y55" s="16">
        <f t="shared" si="16"/>
        <v>0</v>
      </c>
      <c r="Z55" s="16">
        <f t="shared" si="16"/>
        <v>0</v>
      </c>
      <c r="AA55" s="16">
        <f t="shared" si="16"/>
        <v>0</v>
      </c>
      <c r="AB55" s="16">
        <f t="shared" si="16"/>
        <v>0</v>
      </c>
      <c r="AC55" s="16">
        <f t="shared" si="16"/>
        <v>0</v>
      </c>
      <c r="AE55" s="16">
        <f t="shared" si="17"/>
        <v>0</v>
      </c>
      <c r="AF55" s="16">
        <f t="shared" si="17"/>
        <v>0</v>
      </c>
      <c r="AG55" s="16">
        <f t="shared" si="17"/>
        <v>0</v>
      </c>
      <c r="AH55" s="16">
        <f t="shared" si="17"/>
        <v>0</v>
      </c>
      <c r="AI55" s="16">
        <f t="shared" si="17"/>
        <v>0</v>
      </c>
      <c r="AJ55" s="16">
        <f t="shared" si="17"/>
        <v>0</v>
      </c>
      <c r="AK55" s="16">
        <f t="shared" si="17"/>
        <v>0</v>
      </c>
      <c r="AL55" s="16">
        <f t="shared" si="17"/>
        <v>0</v>
      </c>
      <c r="AM55" s="16">
        <f t="shared" si="17"/>
        <v>0</v>
      </c>
      <c r="AN55" s="16">
        <f t="shared" si="17"/>
        <v>0</v>
      </c>
      <c r="AO55" s="16">
        <f t="shared" si="17"/>
        <v>0</v>
      </c>
      <c r="AP55" s="16">
        <f t="shared" si="17"/>
        <v>0</v>
      </c>
      <c r="BK55" s="16">
        <f t="shared" si="18"/>
        <v>0</v>
      </c>
      <c r="BL55" s="16">
        <f t="shared" si="18"/>
        <v>0</v>
      </c>
      <c r="BM55" s="16">
        <f t="shared" si="18"/>
        <v>0</v>
      </c>
      <c r="BN55" s="16">
        <f t="shared" si="18"/>
        <v>0</v>
      </c>
      <c r="BQ55" s="16">
        <f t="shared" si="19"/>
        <v>0</v>
      </c>
      <c r="BR55" s="16">
        <f t="shared" si="19"/>
        <v>0</v>
      </c>
      <c r="BS55" s="16">
        <f t="shared" si="19"/>
        <v>0</v>
      </c>
      <c r="BT55" s="16">
        <f t="shared" si="19"/>
        <v>0</v>
      </c>
      <c r="BW55" s="16">
        <f t="shared" si="20"/>
        <v>0</v>
      </c>
      <c r="BX55" s="16">
        <f t="shared" si="20"/>
        <v>0</v>
      </c>
      <c r="BY55" s="16">
        <f t="shared" si="20"/>
        <v>0</v>
      </c>
      <c r="BZ55" s="16">
        <f t="shared" si="20"/>
        <v>0</v>
      </c>
    </row>
    <row r="56" spans="1:78" s="16" customFormat="1" x14ac:dyDescent="0.25"/>
    <row r="57" spans="1:78" s="16" customFormat="1" x14ac:dyDescent="0.25">
      <c r="B57" s="16" t="s">
        <v>201</v>
      </c>
      <c r="C57" s="16" t="s">
        <v>299</v>
      </c>
      <c r="D57" s="16" t="s">
        <v>120</v>
      </c>
      <c r="E57" s="16">
        <f t="shared" ref="E57:P57" si="21">SUMIFS(E$5:E$47,$C$5:$C$47,$C57,$D$5:$D$47,$D57)</f>
        <v>75300</v>
      </c>
      <c r="F57" s="16">
        <f t="shared" si="21"/>
        <v>0</v>
      </c>
      <c r="G57" s="16">
        <f t="shared" si="21"/>
        <v>0</v>
      </c>
      <c r="H57" s="16">
        <f t="shared" si="21"/>
        <v>66925</v>
      </c>
      <c r="I57" s="16">
        <f t="shared" si="21"/>
        <v>0</v>
      </c>
      <c r="J57" s="16">
        <f t="shared" si="21"/>
        <v>0</v>
      </c>
      <c r="K57" s="16">
        <f t="shared" si="21"/>
        <v>0</v>
      </c>
      <c r="L57" s="16">
        <f t="shared" si="21"/>
        <v>0</v>
      </c>
      <c r="M57" s="16">
        <f t="shared" si="21"/>
        <v>0</v>
      </c>
      <c r="N57" s="16">
        <f t="shared" si="21"/>
        <v>0</v>
      </c>
      <c r="O57" s="16">
        <f t="shared" si="21"/>
        <v>0</v>
      </c>
      <c r="P57" s="16">
        <f t="shared" si="21"/>
        <v>0</v>
      </c>
      <c r="R57" s="16">
        <f t="shared" ref="R57:AC57" si="22">SUMIFS(R$5:R$47,$C$5:$C$47,$C57,$D$5:$D$47,$D57)</f>
        <v>0</v>
      </c>
      <c r="S57" s="16">
        <f t="shared" si="22"/>
        <v>0</v>
      </c>
      <c r="T57" s="16">
        <f t="shared" si="22"/>
        <v>0</v>
      </c>
      <c r="U57" s="16">
        <f t="shared" si="22"/>
        <v>0</v>
      </c>
      <c r="V57" s="16">
        <f t="shared" si="22"/>
        <v>0</v>
      </c>
      <c r="W57" s="16">
        <f t="shared" si="22"/>
        <v>0</v>
      </c>
      <c r="X57" s="16">
        <f t="shared" si="22"/>
        <v>0</v>
      </c>
      <c r="Y57" s="16">
        <f t="shared" si="22"/>
        <v>0</v>
      </c>
      <c r="Z57" s="16">
        <f t="shared" si="22"/>
        <v>0</v>
      </c>
      <c r="AA57" s="16">
        <f t="shared" si="22"/>
        <v>0</v>
      </c>
      <c r="AB57" s="16">
        <f t="shared" si="22"/>
        <v>0</v>
      </c>
      <c r="AC57" s="16">
        <f t="shared" si="22"/>
        <v>0</v>
      </c>
      <c r="AE57" s="16">
        <f t="shared" ref="AE57:AP57" si="23">SUMIFS(AE$5:AE$47,$C$5:$C$47,$C57,$D$5:$D$47,$D57)</f>
        <v>0</v>
      </c>
      <c r="AF57" s="16">
        <f t="shared" si="23"/>
        <v>0</v>
      </c>
      <c r="AG57" s="16">
        <f t="shared" si="23"/>
        <v>0</v>
      </c>
      <c r="AH57" s="16">
        <f t="shared" si="23"/>
        <v>0</v>
      </c>
      <c r="AI57" s="16">
        <f t="shared" si="23"/>
        <v>0</v>
      </c>
      <c r="AJ57" s="16">
        <f t="shared" si="23"/>
        <v>350000</v>
      </c>
      <c r="AK57" s="16">
        <f t="shared" si="23"/>
        <v>0</v>
      </c>
      <c r="AL57" s="16">
        <f t="shared" si="23"/>
        <v>0</v>
      </c>
      <c r="AM57" s="16">
        <f t="shared" si="23"/>
        <v>0</v>
      </c>
      <c r="AN57" s="16">
        <f t="shared" si="23"/>
        <v>0</v>
      </c>
      <c r="AO57" s="16">
        <f t="shared" si="23"/>
        <v>0</v>
      </c>
      <c r="AP57" s="16">
        <f t="shared" si="23"/>
        <v>0</v>
      </c>
      <c r="BK57" s="16">
        <f t="shared" ref="BK57:BN57" si="24">SUMIFS(BK$5:BK$47,$C$5:$C$47,$C57,$D$5:$D$47,$D57)</f>
        <v>0</v>
      </c>
      <c r="BL57" s="16">
        <f t="shared" si="24"/>
        <v>0</v>
      </c>
      <c r="BM57" s="16">
        <f t="shared" si="24"/>
        <v>0</v>
      </c>
      <c r="BN57" s="16">
        <f t="shared" si="24"/>
        <v>0</v>
      </c>
      <c r="BQ57" s="16">
        <f t="shared" ref="BQ57:BT57" si="25">SUMIFS(BQ$5:BQ$47,$C$5:$C$47,$C57,$D$5:$D$47,$D57)</f>
        <v>0</v>
      </c>
      <c r="BR57" s="16">
        <f t="shared" si="25"/>
        <v>0</v>
      </c>
      <c r="BS57" s="16">
        <f t="shared" si="25"/>
        <v>0</v>
      </c>
      <c r="BT57" s="16">
        <f t="shared" si="25"/>
        <v>0</v>
      </c>
      <c r="BW57" s="16">
        <f t="shared" ref="BW57:BZ57" si="26">SUMIFS(BW$5:BW$47,$C$5:$C$47,$C57,$D$5:$D$47,$D57)</f>
        <v>0</v>
      </c>
      <c r="BX57" s="16">
        <f t="shared" si="26"/>
        <v>0</v>
      </c>
      <c r="BY57" s="16">
        <f t="shared" si="26"/>
        <v>0</v>
      </c>
      <c r="BZ57" s="16">
        <f t="shared" si="26"/>
        <v>0</v>
      </c>
    </row>
    <row r="58" spans="1:78" s="16" customFormat="1" x14ac:dyDescent="0.25"/>
    <row r="59" spans="1:78" s="16" customFormat="1" x14ac:dyDescent="0.25">
      <c r="E59" s="17">
        <f>SUM(E50:E58)</f>
        <v>219940</v>
      </c>
      <c r="F59" s="17">
        <f t="shared" ref="F59:P59" si="27">SUM(F50:F58)</f>
        <v>0</v>
      </c>
      <c r="G59" s="17">
        <f t="shared" si="27"/>
        <v>0</v>
      </c>
      <c r="H59" s="17">
        <f t="shared" si="27"/>
        <v>80425</v>
      </c>
      <c r="I59" s="17">
        <f t="shared" si="27"/>
        <v>0</v>
      </c>
      <c r="J59" s="17">
        <f t="shared" si="27"/>
        <v>0</v>
      </c>
      <c r="K59" s="17">
        <f t="shared" si="27"/>
        <v>0</v>
      </c>
      <c r="L59" s="17">
        <f t="shared" si="27"/>
        <v>0</v>
      </c>
      <c r="M59" s="17">
        <f t="shared" si="27"/>
        <v>0</v>
      </c>
      <c r="N59" s="17">
        <f t="shared" si="27"/>
        <v>0</v>
      </c>
      <c r="O59" s="17">
        <f t="shared" si="27"/>
        <v>0</v>
      </c>
      <c r="P59" s="17">
        <f t="shared" si="27"/>
        <v>0</v>
      </c>
      <c r="R59" s="17">
        <f t="shared" ref="R59:AC59" si="28">SUM(R50:R58)</f>
        <v>7000</v>
      </c>
      <c r="S59" s="17">
        <f t="shared" si="28"/>
        <v>0</v>
      </c>
      <c r="T59" s="17">
        <f t="shared" si="28"/>
        <v>0</v>
      </c>
      <c r="U59" s="17">
        <f t="shared" si="28"/>
        <v>0</v>
      </c>
      <c r="V59" s="17">
        <f t="shared" si="28"/>
        <v>0</v>
      </c>
      <c r="W59" s="17">
        <f t="shared" si="28"/>
        <v>0</v>
      </c>
      <c r="X59" s="17">
        <f t="shared" si="28"/>
        <v>0</v>
      </c>
      <c r="Y59" s="17">
        <f t="shared" si="28"/>
        <v>0</v>
      </c>
      <c r="Z59" s="17">
        <f t="shared" si="28"/>
        <v>0</v>
      </c>
      <c r="AA59" s="17">
        <f t="shared" si="28"/>
        <v>0</v>
      </c>
      <c r="AB59" s="17">
        <f t="shared" si="28"/>
        <v>0</v>
      </c>
      <c r="AC59" s="17">
        <f t="shared" si="28"/>
        <v>0</v>
      </c>
      <c r="AE59" s="17">
        <f t="shared" ref="AE59:AP59" si="29">SUM(AE50:AE58)</f>
        <v>0</v>
      </c>
      <c r="AF59" s="17">
        <f t="shared" si="29"/>
        <v>0</v>
      </c>
      <c r="AG59" s="17">
        <f t="shared" si="29"/>
        <v>0</v>
      </c>
      <c r="AH59" s="17">
        <f t="shared" si="29"/>
        <v>0</v>
      </c>
      <c r="AI59" s="17">
        <f t="shared" si="29"/>
        <v>0</v>
      </c>
      <c r="AJ59" s="17">
        <f t="shared" si="29"/>
        <v>350000</v>
      </c>
      <c r="AK59" s="17">
        <f t="shared" si="29"/>
        <v>0</v>
      </c>
      <c r="AL59" s="17">
        <f t="shared" si="29"/>
        <v>0</v>
      </c>
      <c r="AM59" s="17">
        <f t="shared" si="29"/>
        <v>0</v>
      </c>
      <c r="AN59" s="17">
        <f t="shared" si="29"/>
        <v>0</v>
      </c>
      <c r="AO59" s="17">
        <f t="shared" si="29"/>
        <v>0</v>
      </c>
      <c r="AP59" s="17">
        <f t="shared" si="29"/>
        <v>0</v>
      </c>
      <c r="BK59" s="17">
        <f t="shared" ref="BK59:BN59" si="30">SUM(BK50:BK58)</f>
        <v>0</v>
      </c>
      <c r="BL59" s="17">
        <f t="shared" si="30"/>
        <v>0</v>
      </c>
      <c r="BM59" s="17">
        <f t="shared" si="30"/>
        <v>0</v>
      </c>
      <c r="BN59" s="17">
        <f t="shared" si="30"/>
        <v>0</v>
      </c>
      <c r="BQ59" s="17">
        <f t="shared" ref="BQ59:BT59" si="31">SUM(BQ50:BQ58)</f>
        <v>0</v>
      </c>
      <c r="BR59" s="17">
        <f t="shared" si="31"/>
        <v>0</v>
      </c>
      <c r="BS59" s="17">
        <f t="shared" si="31"/>
        <v>0</v>
      </c>
      <c r="BT59" s="17">
        <f t="shared" si="31"/>
        <v>0</v>
      </c>
      <c r="BW59" s="17">
        <f t="shared" ref="BW59:BZ59" si="32">SUM(BW50:BW58)</f>
        <v>0</v>
      </c>
      <c r="BX59" s="17">
        <f t="shared" si="32"/>
        <v>0</v>
      </c>
      <c r="BY59" s="17">
        <f t="shared" si="32"/>
        <v>0</v>
      </c>
      <c r="BZ59" s="17">
        <f t="shared" si="32"/>
        <v>0</v>
      </c>
    </row>
    <row r="60" spans="1:78" s="16" customFormat="1" x14ac:dyDescent="0.25">
      <c r="E60" s="16">
        <f>+E59-E48</f>
        <v>0</v>
      </c>
      <c r="F60" s="16">
        <f t="shared" ref="F60:P60" si="33">+F59-F48</f>
        <v>0</v>
      </c>
      <c r="G60" s="16">
        <f t="shared" si="33"/>
        <v>0</v>
      </c>
      <c r="H60" s="16">
        <f t="shared" si="33"/>
        <v>0</v>
      </c>
      <c r="I60" s="16">
        <f t="shared" si="33"/>
        <v>0</v>
      </c>
      <c r="J60" s="16">
        <f t="shared" si="33"/>
        <v>0</v>
      </c>
      <c r="K60" s="16">
        <f t="shared" si="33"/>
        <v>0</v>
      </c>
      <c r="L60" s="16">
        <f t="shared" si="33"/>
        <v>0</v>
      </c>
      <c r="M60" s="16">
        <f t="shared" si="33"/>
        <v>0</v>
      </c>
      <c r="N60" s="16">
        <f t="shared" si="33"/>
        <v>0</v>
      </c>
      <c r="O60" s="16">
        <f t="shared" si="33"/>
        <v>0</v>
      </c>
      <c r="P60" s="16">
        <f t="shared" si="33"/>
        <v>0</v>
      </c>
      <c r="R60" s="16">
        <f t="shared" ref="R60:AC60" si="34">+R59-R48</f>
        <v>0</v>
      </c>
      <c r="S60" s="16">
        <f t="shared" si="34"/>
        <v>0</v>
      </c>
      <c r="T60" s="16">
        <f t="shared" si="34"/>
        <v>0</v>
      </c>
      <c r="U60" s="16">
        <f t="shared" si="34"/>
        <v>0</v>
      </c>
      <c r="V60" s="16">
        <f t="shared" si="34"/>
        <v>0</v>
      </c>
      <c r="W60" s="16">
        <f t="shared" si="34"/>
        <v>0</v>
      </c>
      <c r="X60" s="16">
        <f t="shared" si="34"/>
        <v>0</v>
      </c>
      <c r="Y60" s="16">
        <f t="shared" si="34"/>
        <v>0</v>
      </c>
      <c r="Z60" s="16">
        <f t="shared" si="34"/>
        <v>0</v>
      </c>
      <c r="AA60" s="16">
        <f t="shared" si="34"/>
        <v>0</v>
      </c>
      <c r="AB60" s="16">
        <f t="shared" si="34"/>
        <v>0</v>
      </c>
      <c r="AC60" s="16">
        <f t="shared" si="34"/>
        <v>0</v>
      </c>
      <c r="AE60" s="16">
        <f t="shared" ref="AE60:AP60" si="35">+AE59-AE48</f>
        <v>0</v>
      </c>
      <c r="AF60" s="16">
        <f t="shared" si="35"/>
        <v>0</v>
      </c>
      <c r="AG60" s="16">
        <f t="shared" si="35"/>
        <v>0</v>
      </c>
      <c r="AH60" s="16">
        <f t="shared" si="35"/>
        <v>0</v>
      </c>
      <c r="AI60" s="16">
        <f t="shared" si="35"/>
        <v>0</v>
      </c>
      <c r="AJ60" s="16">
        <f t="shared" si="35"/>
        <v>0</v>
      </c>
      <c r="AK60" s="16">
        <f t="shared" si="35"/>
        <v>0</v>
      </c>
      <c r="AL60" s="16">
        <f t="shared" si="35"/>
        <v>0</v>
      </c>
      <c r="AM60" s="16">
        <f t="shared" si="35"/>
        <v>0</v>
      </c>
      <c r="AN60" s="16">
        <f t="shared" si="35"/>
        <v>0</v>
      </c>
      <c r="AO60" s="16">
        <f t="shared" si="35"/>
        <v>0</v>
      </c>
      <c r="AP60" s="16">
        <f t="shared" si="35"/>
        <v>0</v>
      </c>
    </row>
    <row r="61" spans="1:78" s="16" customFormat="1" x14ac:dyDescent="0.25"/>
    <row r="62" spans="1:78" s="16" customFormat="1" x14ac:dyDescent="0.25">
      <c r="A62" s="16" t="s">
        <v>241</v>
      </c>
    </row>
    <row r="63" spans="1:78" s="16" customFormat="1" x14ac:dyDescent="0.25">
      <c r="B63" s="16" t="s">
        <v>111</v>
      </c>
      <c r="D63" s="16" t="s">
        <v>108</v>
      </c>
      <c r="E63" s="16">
        <f>+E50/60</f>
        <v>212.5</v>
      </c>
      <c r="F63" s="16">
        <f>+E63+F50/60</f>
        <v>212.5</v>
      </c>
      <c r="G63" s="16">
        <f t="shared" ref="G63:P63" si="36">+F63+G50/60</f>
        <v>212.5</v>
      </c>
      <c r="H63" s="16">
        <f t="shared" si="36"/>
        <v>237.5</v>
      </c>
      <c r="I63" s="16">
        <f t="shared" si="36"/>
        <v>237.5</v>
      </c>
      <c r="J63" s="16">
        <f t="shared" si="36"/>
        <v>237.5</v>
      </c>
      <c r="K63" s="16">
        <f t="shared" si="36"/>
        <v>237.5</v>
      </c>
      <c r="L63" s="16">
        <f t="shared" si="36"/>
        <v>237.5</v>
      </c>
      <c r="M63" s="16">
        <f t="shared" si="36"/>
        <v>237.5</v>
      </c>
      <c r="N63" s="16">
        <f t="shared" si="36"/>
        <v>237.5</v>
      </c>
      <c r="O63" s="16">
        <f t="shared" si="36"/>
        <v>237.5</v>
      </c>
      <c r="P63" s="16">
        <f t="shared" si="36"/>
        <v>237.5</v>
      </c>
      <c r="R63" s="16">
        <f>+P63+R50/60</f>
        <v>287.5</v>
      </c>
      <c r="S63" s="16">
        <f t="shared" ref="S63:AC63" si="37">+R63+S50/60</f>
        <v>287.5</v>
      </c>
      <c r="T63" s="16">
        <f t="shared" si="37"/>
        <v>287.5</v>
      </c>
      <c r="U63" s="16">
        <f t="shared" si="37"/>
        <v>287.5</v>
      </c>
      <c r="V63" s="16">
        <f t="shared" si="37"/>
        <v>287.5</v>
      </c>
      <c r="W63" s="16">
        <f t="shared" si="37"/>
        <v>287.5</v>
      </c>
      <c r="X63" s="16">
        <f t="shared" si="37"/>
        <v>287.5</v>
      </c>
      <c r="Y63" s="16">
        <f t="shared" si="37"/>
        <v>287.5</v>
      </c>
      <c r="Z63" s="16">
        <f t="shared" si="37"/>
        <v>287.5</v>
      </c>
      <c r="AA63" s="16">
        <f t="shared" si="37"/>
        <v>287.5</v>
      </c>
      <c r="AB63" s="16">
        <f t="shared" si="37"/>
        <v>287.5</v>
      </c>
      <c r="AC63" s="16">
        <f t="shared" si="37"/>
        <v>287.5</v>
      </c>
      <c r="AE63" s="16">
        <f>+AC63+AE50/60</f>
        <v>287.5</v>
      </c>
      <c r="AF63" s="16">
        <f t="shared" ref="AF63:AP63" si="38">+AE63+AF50/60</f>
        <v>287.5</v>
      </c>
      <c r="AG63" s="16">
        <f t="shared" si="38"/>
        <v>287.5</v>
      </c>
      <c r="AH63" s="16">
        <f t="shared" si="38"/>
        <v>287.5</v>
      </c>
      <c r="AI63" s="16">
        <f t="shared" si="38"/>
        <v>287.5</v>
      </c>
      <c r="AJ63" s="16">
        <f t="shared" si="38"/>
        <v>287.5</v>
      </c>
      <c r="AK63" s="16">
        <f t="shared" si="38"/>
        <v>287.5</v>
      </c>
      <c r="AL63" s="16">
        <f t="shared" si="38"/>
        <v>287.5</v>
      </c>
      <c r="AM63" s="16">
        <f t="shared" si="38"/>
        <v>287.5</v>
      </c>
      <c r="AN63" s="16">
        <f t="shared" si="38"/>
        <v>287.5</v>
      </c>
      <c r="AO63" s="16">
        <f t="shared" si="38"/>
        <v>287.5</v>
      </c>
      <c r="AP63" s="16">
        <f t="shared" si="38"/>
        <v>287.5</v>
      </c>
      <c r="BK63" s="16">
        <f>(+AP63+BK50/60)*3</f>
        <v>862.5</v>
      </c>
      <c r="BL63" s="16">
        <f>+BK63+BL50/60*3</f>
        <v>862.5</v>
      </c>
      <c r="BM63" s="16">
        <f>+BL63+BM50/60*3</f>
        <v>862.5</v>
      </c>
      <c r="BN63" s="16">
        <f>+BM63+BN50/60*3</f>
        <v>862.5</v>
      </c>
      <c r="BQ63" s="16">
        <f>+BN63+BP50/60*3</f>
        <v>862.5</v>
      </c>
      <c r="BR63" s="16">
        <f>+BQ63+BQ50/60*3</f>
        <v>862.5</v>
      </c>
      <c r="BS63" s="16">
        <f>+BR63+BR50/60*3</f>
        <v>862.5</v>
      </c>
      <c r="BT63" s="16">
        <f>+BS63+BS50/60*3</f>
        <v>862.5</v>
      </c>
    </row>
    <row r="64" spans="1:78" s="16" customFormat="1" x14ac:dyDescent="0.25"/>
    <row r="65" spans="2:78" s="16" customFormat="1" x14ac:dyDescent="0.25">
      <c r="B65" s="16" t="s">
        <v>110</v>
      </c>
      <c r="D65" s="16" t="s">
        <v>108</v>
      </c>
      <c r="E65" s="16">
        <f>+E52/60</f>
        <v>0</v>
      </c>
      <c r="F65" s="16">
        <f>+E65+F52/60</f>
        <v>0</v>
      </c>
      <c r="G65" s="16">
        <f t="shared" ref="G65:P65" si="39">+F65+G52/60</f>
        <v>0</v>
      </c>
      <c r="H65" s="16">
        <f t="shared" si="39"/>
        <v>0</v>
      </c>
      <c r="I65" s="16">
        <f t="shared" si="39"/>
        <v>0</v>
      </c>
      <c r="J65" s="16">
        <f t="shared" si="39"/>
        <v>0</v>
      </c>
      <c r="K65" s="16">
        <f t="shared" si="39"/>
        <v>0</v>
      </c>
      <c r="L65" s="16">
        <f t="shared" si="39"/>
        <v>0</v>
      </c>
      <c r="M65" s="16">
        <f t="shared" si="39"/>
        <v>0</v>
      </c>
      <c r="N65" s="16">
        <f t="shared" si="39"/>
        <v>0</v>
      </c>
      <c r="O65" s="16">
        <f t="shared" si="39"/>
        <v>0</v>
      </c>
      <c r="P65" s="16">
        <f t="shared" si="39"/>
        <v>0</v>
      </c>
      <c r="R65" s="16">
        <f>+P65+R52/60</f>
        <v>0</v>
      </c>
      <c r="S65" s="16">
        <f t="shared" ref="S65:AC65" si="40">+R65+S52/60</f>
        <v>0</v>
      </c>
      <c r="T65" s="16">
        <f t="shared" si="40"/>
        <v>0</v>
      </c>
      <c r="U65" s="16">
        <f t="shared" si="40"/>
        <v>0</v>
      </c>
      <c r="V65" s="16">
        <f t="shared" si="40"/>
        <v>0</v>
      </c>
      <c r="W65" s="16">
        <f t="shared" si="40"/>
        <v>0</v>
      </c>
      <c r="X65" s="16">
        <f t="shared" si="40"/>
        <v>0</v>
      </c>
      <c r="Y65" s="16">
        <f t="shared" si="40"/>
        <v>0</v>
      </c>
      <c r="Z65" s="16">
        <f t="shared" si="40"/>
        <v>0</v>
      </c>
      <c r="AA65" s="16">
        <f t="shared" si="40"/>
        <v>0</v>
      </c>
      <c r="AB65" s="16">
        <f t="shared" si="40"/>
        <v>0</v>
      </c>
      <c r="AC65" s="16">
        <f t="shared" si="40"/>
        <v>0</v>
      </c>
      <c r="AE65" s="16">
        <f>+AC65+AE52/60</f>
        <v>0</v>
      </c>
      <c r="AF65" s="16">
        <f t="shared" ref="AF65:AP65" si="41">+AE65+AF52/60</f>
        <v>0</v>
      </c>
      <c r="AG65" s="16">
        <f t="shared" si="41"/>
        <v>0</v>
      </c>
      <c r="AH65" s="16">
        <f t="shared" si="41"/>
        <v>0</v>
      </c>
      <c r="AI65" s="16">
        <f t="shared" si="41"/>
        <v>0</v>
      </c>
      <c r="AJ65" s="16">
        <f t="shared" si="41"/>
        <v>0</v>
      </c>
      <c r="AK65" s="16">
        <f t="shared" si="41"/>
        <v>0</v>
      </c>
      <c r="AL65" s="16">
        <f t="shared" si="41"/>
        <v>0</v>
      </c>
      <c r="AM65" s="16">
        <f t="shared" si="41"/>
        <v>0</v>
      </c>
      <c r="AN65" s="16">
        <f t="shared" si="41"/>
        <v>0</v>
      </c>
      <c r="AO65" s="16">
        <f t="shared" si="41"/>
        <v>0</v>
      </c>
      <c r="AP65" s="16">
        <f t="shared" si="41"/>
        <v>0</v>
      </c>
      <c r="BK65" s="16">
        <f>+AP65+BK52/60*3</f>
        <v>0</v>
      </c>
      <c r="BL65" s="16">
        <f t="shared" ref="BL65:BN65" si="42">+BK65+BL52/60</f>
        <v>0</v>
      </c>
      <c r="BM65" s="16">
        <f t="shared" si="42"/>
        <v>0</v>
      </c>
      <c r="BN65" s="16">
        <f t="shared" si="42"/>
        <v>0</v>
      </c>
      <c r="BQ65" s="16">
        <f>+BN65+BP52/60</f>
        <v>0</v>
      </c>
      <c r="BR65" s="16">
        <f>+BQ65+BQ52/60</f>
        <v>0</v>
      </c>
      <c r="BS65" s="16">
        <f>+BR65+BR52/60</f>
        <v>0</v>
      </c>
      <c r="BT65" s="16">
        <f>+BS65+BS52/60</f>
        <v>0</v>
      </c>
    </row>
    <row r="66" spans="2:78" s="16" customFormat="1" x14ac:dyDescent="0.25">
      <c r="D66" s="16" t="s">
        <v>230</v>
      </c>
      <c r="E66" s="16">
        <f>+E53/+E1</f>
        <v>0</v>
      </c>
      <c r="F66" s="16">
        <f>+E66+F53/F1</f>
        <v>0</v>
      </c>
      <c r="G66" s="16">
        <f t="shared" ref="G66:P66" si="43">+F66+G53/G1</f>
        <v>0</v>
      </c>
      <c r="H66" s="16">
        <f t="shared" si="43"/>
        <v>303.030303030303</v>
      </c>
      <c r="I66" s="16">
        <f t="shared" si="43"/>
        <v>303.030303030303</v>
      </c>
      <c r="J66" s="16">
        <f t="shared" si="43"/>
        <v>303.030303030303</v>
      </c>
      <c r="K66" s="16">
        <f t="shared" si="43"/>
        <v>303.030303030303</v>
      </c>
      <c r="L66" s="16">
        <f t="shared" si="43"/>
        <v>303.030303030303</v>
      </c>
      <c r="M66" s="16">
        <f t="shared" si="43"/>
        <v>303.030303030303</v>
      </c>
      <c r="N66" s="16">
        <f t="shared" si="43"/>
        <v>303.030303030303</v>
      </c>
      <c r="O66" s="16">
        <f t="shared" si="43"/>
        <v>303.030303030303</v>
      </c>
      <c r="P66" s="16">
        <f t="shared" si="43"/>
        <v>303.030303030303</v>
      </c>
      <c r="R66" s="16">
        <f>+P66+R53/R1</f>
        <v>303.030303030303</v>
      </c>
      <c r="S66" s="16">
        <f t="shared" ref="S66:AC66" si="44">+R66+S53/S1</f>
        <v>303.030303030303</v>
      </c>
      <c r="T66" s="16">
        <f t="shared" si="44"/>
        <v>303.030303030303</v>
      </c>
      <c r="U66" s="16">
        <f t="shared" si="44"/>
        <v>303.030303030303</v>
      </c>
      <c r="V66" s="16">
        <f t="shared" si="44"/>
        <v>303.030303030303</v>
      </c>
      <c r="W66" s="16">
        <f t="shared" si="44"/>
        <v>303.030303030303</v>
      </c>
      <c r="X66" s="16">
        <f t="shared" si="44"/>
        <v>303.030303030303</v>
      </c>
      <c r="Y66" s="16">
        <f t="shared" si="44"/>
        <v>303.030303030303</v>
      </c>
      <c r="Z66" s="16">
        <f t="shared" si="44"/>
        <v>303.030303030303</v>
      </c>
      <c r="AA66" s="16">
        <f t="shared" si="44"/>
        <v>303.030303030303</v>
      </c>
      <c r="AB66" s="16">
        <f t="shared" si="44"/>
        <v>303.030303030303</v>
      </c>
      <c r="AC66" s="16">
        <f t="shared" si="44"/>
        <v>303.030303030303</v>
      </c>
      <c r="AE66" s="16">
        <f>+AC66+AE53/AE1</f>
        <v>303.030303030303</v>
      </c>
      <c r="AF66" s="16">
        <f t="shared" ref="AF66:AP66" si="45">+AE66+AF53/AF1</f>
        <v>303.030303030303</v>
      </c>
      <c r="AG66" s="16">
        <f t="shared" si="45"/>
        <v>303.030303030303</v>
      </c>
      <c r="AH66" s="16">
        <f t="shared" si="45"/>
        <v>303.030303030303</v>
      </c>
      <c r="AI66" s="16">
        <f t="shared" si="45"/>
        <v>303.030303030303</v>
      </c>
      <c r="AJ66" s="16">
        <f t="shared" si="45"/>
        <v>303.030303030303</v>
      </c>
      <c r="AK66" s="16">
        <f t="shared" si="45"/>
        <v>303.030303030303</v>
      </c>
      <c r="AL66" s="16">
        <f t="shared" si="45"/>
        <v>303.030303030303</v>
      </c>
      <c r="AM66" s="16">
        <f t="shared" si="45"/>
        <v>303.030303030303</v>
      </c>
      <c r="AN66" s="16">
        <f t="shared" si="45"/>
        <v>303.030303030303</v>
      </c>
      <c r="AO66" s="16">
        <f t="shared" si="45"/>
        <v>303.030303030303</v>
      </c>
      <c r="AP66" s="16">
        <f t="shared" si="45"/>
        <v>303.030303030303</v>
      </c>
    </row>
    <row r="67" spans="2:78" s="16" customFormat="1" x14ac:dyDescent="0.25">
      <c r="D67" s="16" t="s">
        <v>120</v>
      </c>
      <c r="E67" s="16">
        <f t="shared" ref="E67" si="46">+E54/60</f>
        <v>1998.1666666666667</v>
      </c>
      <c r="F67" s="16">
        <f t="shared" ref="F67:P67" si="47">+E67+F54/60</f>
        <v>1998.1666666666667</v>
      </c>
      <c r="G67" s="16">
        <f t="shared" si="47"/>
        <v>1998.1666666666667</v>
      </c>
      <c r="H67" s="16">
        <f t="shared" si="47"/>
        <v>1998.1666666666667</v>
      </c>
      <c r="I67" s="16">
        <f t="shared" si="47"/>
        <v>1998.1666666666667</v>
      </c>
      <c r="J67" s="16">
        <f t="shared" si="47"/>
        <v>1998.1666666666667</v>
      </c>
      <c r="K67" s="16">
        <f t="shared" si="47"/>
        <v>1998.1666666666667</v>
      </c>
      <c r="L67" s="16">
        <f t="shared" si="47"/>
        <v>1998.1666666666667</v>
      </c>
      <c r="M67" s="16">
        <f t="shared" si="47"/>
        <v>1998.1666666666667</v>
      </c>
      <c r="N67" s="16">
        <f t="shared" si="47"/>
        <v>1998.1666666666667</v>
      </c>
      <c r="O67" s="16">
        <f t="shared" si="47"/>
        <v>1998.1666666666667</v>
      </c>
      <c r="P67" s="16">
        <f t="shared" si="47"/>
        <v>1998.1666666666667</v>
      </c>
      <c r="R67" s="16">
        <f>+P67+R54/60</f>
        <v>1998.1666666666667</v>
      </c>
      <c r="S67" s="16">
        <f t="shared" ref="S67:AC67" si="48">+R67+S54/60</f>
        <v>1998.1666666666667</v>
      </c>
      <c r="T67" s="16">
        <f t="shared" si="48"/>
        <v>1998.1666666666667</v>
      </c>
      <c r="U67" s="16">
        <f t="shared" si="48"/>
        <v>1998.1666666666667</v>
      </c>
      <c r="V67" s="16">
        <f t="shared" si="48"/>
        <v>1998.1666666666667</v>
      </c>
      <c r="W67" s="16">
        <f t="shared" si="48"/>
        <v>1998.1666666666667</v>
      </c>
      <c r="X67" s="16">
        <f t="shared" si="48"/>
        <v>1998.1666666666667</v>
      </c>
      <c r="Y67" s="16">
        <f t="shared" si="48"/>
        <v>1998.1666666666667</v>
      </c>
      <c r="Z67" s="16">
        <f t="shared" si="48"/>
        <v>1998.1666666666667</v>
      </c>
      <c r="AA67" s="16">
        <f t="shared" si="48"/>
        <v>1998.1666666666667</v>
      </c>
      <c r="AB67" s="16">
        <f t="shared" si="48"/>
        <v>1998.1666666666667</v>
      </c>
      <c r="AC67" s="16">
        <f t="shared" si="48"/>
        <v>1998.1666666666667</v>
      </c>
      <c r="AE67" s="16">
        <f>+AC67+AE54/60</f>
        <v>1998.1666666666667</v>
      </c>
      <c r="AF67" s="16">
        <f t="shared" ref="AF67:AP67" si="49">+AE67+AF54/60</f>
        <v>1998.1666666666667</v>
      </c>
      <c r="AG67" s="16">
        <f t="shared" si="49"/>
        <v>1998.1666666666667</v>
      </c>
      <c r="AH67" s="16">
        <f t="shared" si="49"/>
        <v>1998.1666666666667</v>
      </c>
      <c r="AI67" s="16">
        <f t="shared" si="49"/>
        <v>1998.1666666666667</v>
      </c>
      <c r="AJ67" s="16">
        <f t="shared" si="49"/>
        <v>1998.1666666666667</v>
      </c>
      <c r="AK67" s="16">
        <f t="shared" si="49"/>
        <v>1998.1666666666667</v>
      </c>
      <c r="AL67" s="16">
        <f t="shared" si="49"/>
        <v>1998.1666666666667</v>
      </c>
      <c r="AM67" s="16">
        <f t="shared" si="49"/>
        <v>1998.1666666666667</v>
      </c>
      <c r="AN67" s="16">
        <f t="shared" si="49"/>
        <v>1998.1666666666667</v>
      </c>
      <c r="AO67" s="16">
        <f t="shared" si="49"/>
        <v>1998.1666666666667</v>
      </c>
      <c r="AP67" s="16">
        <f t="shared" si="49"/>
        <v>1998.1666666666667</v>
      </c>
      <c r="BK67" s="16">
        <f t="shared" ref="BK67:BK68" si="50">(+AP67+BK54/60)*3</f>
        <v>5994.5</v>
      </c>
      <c r="BL67" s="16">
        <f t="shared" ref="BL67:BM68" si="51">+BK67+BL54/60*3</f>
        <v>5994.5</v>
      </c>
      <c r="BM67" s="16">
        <f t="shared" si="51"/>
        <v>5994.5</v>
      </c>
      <c r="BN67" s="16">
        <f t="shared" ref="BN67" si="52">+BM67+BN54/60*3</f>
        <v>5994.5</v>
      </c>
      <c r="BQ67" s="16">
        <f>+BN67+BP54/60*3</f>
        <v>5994.5</v>
      </c>
      <c r="BR67" s="16">
        <f t="shared" ref="BR67:BT68" si="53">+BQ67+BQ54/60*3</f>
        <v>5994.5</v>
      </c>
      <c r="BS67" s="16">
        <f t="shared" si="53"/>
        <v>5994.5</v>
      </c>
      <c r="BT67" s="16">
        <f t="shared" si="53"/>
        <v>5994.5</v>
      </c>
    </row>
    <row r="68" spans="2:78" s="16" customFormat="1" x14ac:dyDescent="0.25">
      <c r="D68" s="16" t="s">
        <v>109</v>
      </c>
      <c r="E68" s="16">
        <f>+E55/36</f>
        <v>333.33333333333331</v>
      </c>
      <c r="F68" s="16">
        <f>+E68+F55/36</f>
        <v>333.33333333333331</v>
      </c>
      <c r="G68" s="16">
        <f t="shared" ref="G68:P68" si="54">+F68+G55/36</f>
        <v>333.33333333333331</v>
      </c>
      <c r="H68" s="16">
        <f t="shared" si="54"/>
        <v>388.88888888888886</v>
      </c>
      <c r="I68" s="16">
        <f t="shared" si="54"/>
        <v>388.88888888888886</v>
      </c>
      <c r="J68" s="16">
        <f t="shared" si="54"/>
        <v>388.88888888888886</v>
      </c>
      <c r="K68" s="16">
        <f t="shared" si="54"/>
        <v>388.88888888888886</v>
      </c>
      <c r="L68" s="16">
        <f t="shared" si="54"/>
        <v>388.88888888888886</v>
      </c>
      <c r="M68" s="16">
        <f t="shared" si="54"/>
        <v>388.88888888888886</v>
      </c>
      <c r="N68" s="16">
        <f t="shared" si="54"/>
        <v>388.88888888888886</v>
      </c>
      <c r="O68" s="16">
        <f t="shared" si="54"/>
        <v>388.88888888888886</v>
      </c>
      <c r="P68" s="16">
        <f t="shared" si="54"/>
        <v>388.88888888888886</v>
      </c>
      <c r="R68" s="16">
        <f>+P68+R55/36</f>
        <v>500</v>
      </c>
      <c r="S68" s="16">
        <f t="shared" ref="S68:AC68" si="55">+R68+S55/36</f>
        <v>500</v>
      </c>
      <c r="T68" s="16">
        <f t="shared" si="55"/>
        <v>500</v>
      </c>
      <c r="U68" s="16">
        <f t="shared" si="55"/>
        <v>500</v>
      </c>
      <c r="V68" s="16">
        <f t="shared" si="55"/>
        <v>500</v>
      </c>
      <c r="W68" s="16">
        <f t="shared" si="55"/>
        <v>500</v>
      </c>
      <c r="X68" s="16">
        <f t="shared" si="55"/>
        <v>500</v>
      </c>
      <c r="Y68" s="16">
        <f t="shared" si="55"/>
        <v>500</v>
      </c>
      <c r="Z68" s="16">
        <f t="shared" si="55"/>
        <v>500</v>
      </c>
      <c r="AA68" s="16">
        <f t="shared" si="55"/>
        <v>500</v>
      </c>
      <c r="AB68" s="16">
        <f t="shared" si="55"/>
        <v>500</v>
      </c>
      <c r="AC68" s="16">
        <f t="shared" si="55"/>
        <v>500</v>
      </c>
      <c r="AE68" s="16">
        <f>+AC68+AE55/36</f>
        <v>500</v>
      </c>
      <c r="AF68" s="16">
        <f t="shared" ref="AF68:AP68" si="56">+AE68+AF55/36</f>
        <v>500</v>
      </c>
      <c r="AG68" s="16">
        <f t="shared" si="56"/>
        <v>500</v>
      </c>
      <c r="AH68" s="16">
        <f t="shared" si="56"/>
        <v>500</v>
      </c>
      <c r="AI68" s="16">
        <f t="shared" si="56"/>
        <v>500</v>
      </c>
      <c r="AJ68" s="16">
        <f t="shared" si="56"/>
        <v>500</v>
      </c>
      <c r="AK68" s="16">
        <f t="shared" si="56"/>
        <v>500</v>
      </c>
      <c r="AL68" s="16">
        <f t="shared" si="56"/>
        <v>500</v>
      </c>
      <c r="AM68" s="16">
        <f t="shared" si="56"/>
        <v>500</v>
      </c>
      <c r="AN68" s="16">
        <f t="shared" si="56"/>
        <v>500</v>
      </c>
      <c r="AO68" s="16">
        <f t="shared" si="56"/>
        <v>500</v>
      </c>
      <c r="AP68" s="16">
        <f t="shared" si="56"/>
        <v>500</v>
      </c>
      <c r="BK68" s="16">
        <f t="shared" si="50"/>
        <v>1500</v>
      </c>
      <c r="BL68" s="16">
        <f t="shared" si="51"/>
        <v>1500</v>
      </c>
      <c r="BM68" s="16">
        <f t="shared" si="51"/>
        <v>1500</v>
      </c>
      <c r="BN68" s="16">
        <f t="shared" ref="BN68" si="57">+BM68+BN55/60*3</f>
        <v>1500</v>
      </c>
      <c r="BQ68" s="16">
        <f>+BN68+BP55/60*3</f>
        <v>1500</v>
      </c>
      <c r="BR68" s="16">
        <f t="shared" si="53"/>
        <v>1500</v>
      </c>
      <c r="BS68" s="16">
        <f t="shared" si="53"/>
        <v>1500</v>
      </c>
      <c r="BT68" s="16">
        <f t="shared" si="53"/>
        <v>1500</v>
      </c>
    </row>
    <row r="69" spans="2:78" s="16" customFormat="1" x14ac:dyDescent="0.25"/>
    <row r="70" spans="2:78" s="16" customFormat="1" x14ac:dyDescent="0.25">
      <c r="B70" s="16" t="s">
        <v>201</v>
      </c>
      <c r="D70" s="16" t="s">
        <v>120</v>
      </c>
      <c r="E70" s="16">
        <f t="shared" ref="E70" si="58">+E57/60</f>
        <v>1255</v>
      </c>
      <c r="F70" s="16">
        <f t="shared" ref="F70" si="59">+E70+F57/60</f>
        <v>1255</v>
      </c>
      <c r="G70" s="16">
        <f t="shared" ref="G70" si="60">+F70+G57/60</f>
        <v>1255</v>
      </c>
      <c r="H70" s="16">
        <f t="shared" ref="H70" si="61">+G70+H57/60</f>
        <v>2370.416666666667</v>
      </c>
      <c r="I70" s="16">
        <f t="shared" ref="I70" si="62">+H70+I57/60</f>
        <v>2370.416666666667</v>
      </c>
      <c r="J70" s="16">
        <f t="shared" ref="J70" si="63">+I70+J57/60</f>
        <v>2370.416666666667</v>
      </c>
      <c r="K70" s="16">
        <f t="shared" ref="K70" si="64">+J70+K57/60</f>
        <v>2370.416666666667</v>
      </c>
      <c r="L70" s="16">
        <f t="shared" ref="L70" si="65">+K70+L57/60</f>
        <v>2370.416666666667</v>
      </c>
      <c r="M70" s="16">
        <f t="shared" ref="M70" si="66">+L70+M57/60</f>
        <v>2370.416666666667</v>
      </c>
      <c r="N70" s="16">
        <f t="shared" ref="N70" si="67">+M70+N57/60</f>
        <v>2370.416666666667</v>
      </c>
      <c r="O70" s="16">
        <f t="shared" ref="O70" si="68">+N70+O57/60</f>
        <v>2370.416666666667</v>
      </c>
      <c r="P70" s="16">
        <f t="shared" ref="P70" si="69">+O70+P57/60</f>
        <v>2370.416666666667</v>
      </c>
      <c r="R70" s="16">
        <f>+P70+R57/60</f>
        <v>2370.416666666667</v>
      </c>
      <c r="S70" s="16">
        <f t="shared" ref="S70" si="70">+R70+S57/60</f>
        <v>2370.416666666667</v>
      </c>
      <c r="T70" s="16">
        <f t="shared" ref="T70" si="71">+S70+T57/60</f>
        <v>2370.416666666667</v>
      </c>
      <c r="U70" s="16">
        <f t="shared" ref="U70" si="72">+T70+U57/60</f>
        <v>2370.416666666667</v>
      </c>
      <c r="V70" s="16">
        <f t="shared" ref="V70" si="73">+U70+V57/60</f>
        <v>2370.416666666667</v>
      </c>
      <c r="W70" s="16">
        <f t="shared" ref="W70" si="74">+V70+W57/60</f>
        <v>2370.416666666667</v>
      </c>
      <c r="X70" s="16">
        <f t="shared" ref="X70" si="75">+W70+X57/60</f>
        <v>2370.416666666667</v>
      </c>
      <c r="Y70" s="16">
        <f t="shared" ref="Y70" si="76">+X70+Y57/60</f>
        <v>2370.416666666667</v>
      </c>
      <c r="Z70" s="16">
        <f t="shared" ref="Z70" si="77">+Y70+Z57/60</f>
        <v>2370.416666666667</v>
      </c>
      <c r="AA70" s="16">
        <f t="shared" ref="AA70" si="78">+Z70+AA57/60</f>
        <v>2370.416666666667</v>
      </c>
      <c r="AB70" s="16">
        <f t="shared" ref="AB70" si="79">+AA70+AB57/60</f>
        <v>2370.416666666667</v>
      </c>
      <c r="AC70" s="16">
        <f t="shared" ref="AC70" si="80">+AB70+AC57/60</f>
        <v>2370.416666666667</v>
      </c>
      <c r="AE70" s="16">
        <f>+AC70+AE57/60</f>
        <v>2370.416666666667</v>
      </c>
      <c r="AF70" s="16">
        <f t="shared" ref="AF70" si="81">+AE70+AF57/60</f>
        <v>2370.416666666667</v>
      </c>
      <c r="AG70" s="16">
        <f t="shared" ref="AG70" si="82">+AF70+AG57/60</f>
        <v>2370.416666666667</v>
      </c>
      <c r="AH70" s="16">
        <f t="shared" ref="AH70" si="83">+AG70+AH57/60</f>
        <v>2370.416666666667</v>
      </c>
      <c r="AI70" s="16">
        <f t="shared" ref="AI70" si="84">+AH70+AI57/60</f>
        <v>2370.416666666667</v>
      </c>
      <c r="AJ70" s="16">
        <f t="shared" ref="AJ70" si="85">+AI70+AJ57/60</f>
        <v>8203.75</v>
      </c>
      <c r="AK70" s="16">
        <f t="shared" ref="AK70" si="86">+AJ70+AK57/60</f>
        <v>8203.75</v>
      </c>
      <c r="AL70" s="16">
        <f t="shared" ref="AL70" si="87">+AK70+AL57/60</f>
        <v>8203.75</v>
      </c>
      <c r="AM70" s="16">
        <f t="shared" ref="AM70" si="88">+AL70+AM57/60</f>
        <v>8203.75</v>
      </c>
      <c r="AN70" s="16">
        <f t="shared" ref="AN70" si="89">+AM70+AN57/60</f>
        <v>8203.75</v>
      </c>
      <c r="AO70" s="16">
        <f t="shared" ref="AO70" si="90">+AN70+AO57/60</f>
        <v>8203.75</v>
      </c>
      <c r="AP70" s="16">
        <f t="shared" ref="AP70" si="91">+AO70+AP57/60</f>
        <v>8203.75</v>
      </c>
      <c r="BK70" s="16">
        <f t="shared" ref="BK70" si="92">(+AP70+BK57/60)*3</f>
        <v>24611.25</v>
      </c>
      <c r="BL70" s="16">
        <f t="shared" ref="BL70" si="93">+BK70+BL57/60*3</f>
        <v>24611.25</v>
      </c>
      <c r="BM70" s="16">
        <f t="shared" ref="BM70" si="94">+BL70+BM57/60*3</f>
        <v>24611.25</v>
      </c>
      <c r="BN70" s="16">
        <f t="shared" ref="BN70" si="95">+BM70+BN57/60*3</f>
        <v>24611.25</v>
      </c>
      <c r="BQ70" s="16">
        <f>+BN70+BP57/60*3</f>
        <v>24611.25</v>
      </c>
      <c r="BR70" s="16">
        <f t="shared" ref="BR70" si="96">+BQ70+BQ57/60*3</f>
        <v>24611.25</v>
      </c>
      <c r="BS70" s="16">
        <f t="shared" ref="BS70" si="97">+BR70+BR57/60*3</f>
        <v>24611.25</v>
      </c>
      <c r="BT70" s="16">
        <f t="shared" ref="BT70" si="98">+BS70+BS57/60*3</f>
        <v>24611.25</v>
      </c>
      <c r="BW70" s="16">
        <f>+BT70+BV57/60*3</f>
        <v>24611.25</v>
      </c>
      <c r="BX70" s="16">
        <f t="shared" ref="BX70" si="99">+BW70+BW57/60*3</f>
        <v>24611.25</v>
      </c>
      <c r="BY70" s="16">
        <f t="shared" ref="BY70" si="100">+BX70+BX57/60*3</f>
        <v>24611.25</v>
      </c>
      <c r="BZ70" s="16">
        <f t="shared" ref="BZ70" si="101">+BY70+BY57/60*3</f>
        <v>24611.25</v>
      </c>
    </row>
    <row r="71" spans="2:78" s="16" customFormat="1" x14ac:dyDescent="0.25"/>
    <row r="72" spans="2:78" s="16" customFormat="1" x14ac:dyDescent="0.25">
      <c r="B72" s="16" t="s">
        <v>267</v>
      </c>
      <c r="E72" s="17">
        <f>SUM(E63:E71)</f>
        <v>3799.0000000000005</v>
      </c>
      <c r="F72" s="17">
        <f t="shared" ref="F72:P72" si="102">SUM(F63:F71)</f>
        <v>3799.0000000000005</v>
      </c>
      <c r="G72" s="17">
        <f t="shared" si="102"/>
        <v>3799.0000000000005</v>
      </c>
      <c r="H72" s="17">
        <f t="shared" si="102"/>
        <v>5298.0025252525256</v>
      </c>
      <c r="I72" s="17">
        <f t="shared" si="102"/>
        <v>5298.0025252525256</v>
      </c>
      <c r="J72" s="17">
        <f t="shared" si="102"/>
        <v>5298.0025252525256</v>
      </c>
      <c r="K72" s="17">
        <f t="shared" si="102"/>
        <v>5298.0025252525256</v>
      </c>
      <c r="L72" s="17">
        <f t="shared" si="102"/>
        <v>5298.0025252525256</v>
      </c>
      <c r="M72" s="17">
        <f t="shared" si="102"/>
        <v>5298.0025252525256</v>
      </c>
      <c r="N72" s="17">
        <f t="shared" si="102"/>
        <v>5298.0025252525256</v>
      </c>
      <c r="O72" s="17">
        <f t="shared" si="102"/>
        <v>5298.0025252525256</v>
      </c>
      <c r="P72" s="17">
        <f t="shared" si="102"/>
        <v>5298.0025252525256</v>
      </c>
      <c r="R72" s="17">
        <f>SUM(R63:R71)</f>
        <v>5459.1136363636369</v>
      </c>
      <c r="S72" s="17">
        <f t="shared" ref="S72" si="103">SUM(S63:S71)</f>
        <v>5459.1136363636369</v>
      </c>
      <c r="T72" s="17">
        <f t="shared" ref="T72" si="104">SUM(T63:T71)</f>
        <v>5459.1136363636369</v>
      </c>
      <c r="U72" s="17">
        <f t="shared" ref="U72" si="105">SUM(U63:U71)</f>
        <v>5459.1136363636369</v>
      </c>
      <c r="V72" s="17">
        <f t="shared" ref="V72" si="106">SUM(V63:V71)</f>
        <v>5459.1136363636369</v>
      </c>
      <c r="W72" s="17">
        <f t="shared" ref="W72" si="107">SUM(W63:W71)</f>
        <v>5459.1136363636369</v>
      </c>
      <c r="X72" s="17">
        <f t="shared" ref="X72" si="108">SUM(X63:X71)</f>
        <v>5459.1136363636369</v>
      </c>
      <c r="Y72" s="17">
        <f t="shared" ref="Y72" si="109">SUM(Y63:Y71)</f>
        <v>5459.1136363636369</v>
      </c>
      <c r="Z72" s="17">
        <f t="shared" ref="Z72" si="110">SUM(Z63:Z71)</f>
        <v>5459.1136363636369</v>
      </c>
      <c r="AA72" s="17">
        <f t="shared" ref="AA72" si="111">SUM(AA63:AA71)</f>
        <v>5459.1136363636369</v>
      </c>
      <c r="AB72" s="17">
        <f t="shared" ref="AB72" si="112">SUM(AB63:AB71)</f>
        <v>5459.1136363636369</v>
      </c>
      <c r="AC72" s="17">
        <f t="shared" ref="AC72" si="113">SUM(AC63:AC71)</f>
        <v>5459.1136363636369</v>
      </c>
      <c r="AE72" s="17">
        <f>SUM(AE63:AE71)</f>
        <v>5459.1136363636369</v>
      </c>
      <c r="AF72" s="17">
        <f t="shared" ref="AF72" si="114">SUM(AF63:AF71)</f>
        <v>5459.1136363636369</v>
      </c>
      <c r="AG72" s="17">
        <f t="shared" ref="AG72" si="115">SUM(AG63:AG71)</f>
        <v>5459.1136363636369</v>
      </c>
      <c r="AH72" s="17">
        <f t="shared" ref="AH72" si="116">SUM(AH63:AH71)</f>
        <v>5459.1136363636369</v>
      </c>
      <c r="AI72" s="17">
        <f t="shared" ref="AI72" si="117">SUM(AI63:AI71)</f>
        <v>5459.1136363636369</v>
      </c>
      <c r="AJ72" s="17">
        <f t="shared" ref="AJ72" si="118">SUM(AJ63:AJ71)</f>
        <v>11292.44696969697</v>
      </c>
      <c r="AK72" s="17">
        <f t="shared" ref="AK72" si="119">SUM(AK63:AK71)</f>
        <v>11292.44696969697</v>
      </c>
      <c r="AL72" s="17">
        <f t="shared" ref="AL72" si="120">SUM(AL63:AL71)</f>
        <v>11292.44696969697</v>
      </c>
      <c r="AM72" s="17">
        <f t="shared" ref="AM72" si="121">SUM(AM63:AM71)</f>
        <v>11292.44696969697</v>
      </c>
      <c r="AN72" s="17">
        <f t="shared" ref="AN72" si="122">SUM(AN63:AN71)</f>
        <v>11292.44696969697</v>
      </c>
      <c r="AO72" s="17">
        <f t="shared" ref="AO72" si="123">SUM(AO63:AO71)</f>
        <v>11292.44696969697</v>
      </c>
      <c r="AP72" s="17">
        <f t="shared" ref="AP72" si="124">SUM(AP63:AP71)</f>
        <v>11292.44696969697</v>
      </c>
      <c r="BK72" s="17">
        <f t="shared" ref="BK72:BZ72" si="125">SUM(BK63:BK71)</f>
        <v>32968.25</v>
      </c>
      <c r="BL72" s="17">
        <f t="shared" si="125"/>
        <v>32968.25</v>
      </c>
      <c r="BM72" s="17">
        <f t="shared" si="125"/>
        <v>32968.25</v>
      </c>
      <c r="BN72" s="17">
        <f t="shared" si="125"/>
        <v>32968.25</v>
      </c>
      <c r="BP72" s="17">
        <f t="shared" si="125"/>
        <v>0</v>
      </c>
      <c r="BQ72" s="17">
        <f t="shared" si="125"/>
        <v>32968.25</v>
      </c>
      <c r="BR72" s="17">
        <f t="shared" si="125"/>
        <v>32968.25</v>
      </c>
      <c r="BS72" s="17">
        <f t="shared" si="125"/>
        <v>32968.25</v>
      </c>
      <c r="BT72" s="17">
        <f t="shared" si="125"/>
        <v>32968.25</v>
      </c>
      <c r="BV72" s="17">
        <f t="shared" si="125"/>
        <v>0</v>
      </c>
      <c r="BW72" s="17">
        <f t="shared" si="125"/>
        <v>24611.25</v>
      </c>
      <c r="BX72" s="17">
        <f t="shared" si="125"/>
        <v>24611.25</v>
      </c>
      <c r="BY72" s="17">
        <f t="shared" si="125"/>
        <v>24611.25</v>
      </c>
      <c r="BZ72" s="17">
        <f t="shared" si="125"/>
        <v>24611.25</v>
      </c>
    </row>
    <row r="73" spans="2:78" s="16" customFormat="1" x14ac:dyDescent="0.25"/>
    <row r="74" spans="2:78" s="16" customFormat="1" x14ac:dyDescent="0.25"/>
    <row r="75" spans="2:78" s="16" customFormat="1" x14ac:dyDescent="0.25"/>
    <row r="76" spans="2:78" s="16" customFormat="1" x14ac:dyDescent="0.25"/>
    <row r="77" spans="2:78" s="16" customFormat="1" x14ac:dyDescent="0.25"/>
    <row r="78" spans="2:78" s="16" customFormat="1" x14ac:dyDescent="0.25"/>
    <row r="79" spans="2:78" s="16" customFormat="1" x14ac:dyDescent="0.25"/>
    <row r="80" spans="2:78" s="16" customFormat="1" x14ac:dyDescent="0.25"/>
    <row r="81" s="16" customFormat="1" x14ac:dyDescent="0.25"/>
    <row r="82" s="16" customFormat="1" x14ac:dyDescent="0.25"/>
    <row r="83" s="16" customFormat="1" x14ac:dyDescent="0.25"/>
    <row r="84" s="16" customFormat="1" x14ac:dyDescent="0.25"/>
    <row r="85" s="16" customFormat="1" x14ac:dyDescent="0.25"/>
    <row r="86" s="16" customFormat="1" x14ac:dyDescent="0.25"/>
    <row r="87" s="16" customFormat="1" x14ac:dyDescent="0.25"/>
    <row r="88" s="16" customFormat="1" x14ac:dyDescent="0.25"/>
    <row r="89" s="16" customFormat="1" x14ac:dyDescent="0.25"/>
    <row r="90" s="16" customFormat="1" x14ac:dyDescent="0.25"/>
    <row r="91" s="16" customFormat="1" x14ac:dyDescent="0.25"/>
    <row r="92" s="16" customFormat="1" x14ac:dyDescent="0.25"/>
    <row r="93" s="16" customFormat="1" x14ac:dyDescent="0.25"/>
    <row r="94" s="16" customFormat="1" x14ac:dyDescent="0.25"/>
    <row r="95" s="16" customFormat="1" x14ac:dyDescent="0.25"/>
    <row r="96" s="16" customFormat="1" x14ac:dyDescent="0.25"/>
    <row r="97" s="16" customFormat="1" x14ac:dyDescent="0.25"/>
    <row r="98" s="16" customFormat="1" x14ac:dyDescent="0.25"/>
    <row r="99" s="16" customFormat="1" x14ac:dyDescent="0.25"/>
    <row r="100" s="16" customFormat="1" x14ac:dyDescent="0.25"/>
    <row r="101" s="16" customFormat="1" x14ac:dyDescent="0.25"/>
    <row r="102" s="16" customFormat="1" x14ac:dyDescent="0.25"/>
    <row r="103" s="16" customFormat="1" x14ac:dyDescent="0.25"/>
    <row r="104" s="16" customFormat="1" x14ac:dyDescent="0.25"/>
    <row r="105" s="16" customFormat="1" x14ac:dyDescent="0.25"/>
    <row r="106" s="16" customFormat="1" x14ac:dyDescent="0.25"/>
    <row r="107" s="16" customFormat="1" x14ac:dyDescent="0.25"/>
    <row r="108" s="16" customFormat="1" x14ac:dyDescent="0.25"/>
    <row r="109" s="16" customFormat="1" x14ac:dyDescent="0.25"/>
    <row r="110" s="16" customFormat="1" x14ac:dyDescent="0.25"/>
    <row r="111" s="16" customFormat="1" x14ac:dyDescent="0.25"/>
    <row r="112"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row r="150" s="16" customFormat="1" x14ac:dyDescent="0.25"/>
    <row r="151" s="16" customFormat="1" x14ac:dyDescent="0.25"/>
    <row r="152" s="16" customFormat="1" x14ac:dyDescent="0.25"/>
    <row r="153" s="16" customFormat="1" x14ac:dyDescent="0.25"/>
    <row r="154" s="16" customFormat="1" x14ac:dyDescent="0.25"/>
    <row r="155" s="16" customFormat="1" x14ac:dyDescent="0.25"/>
    <row r="156" s="16" customFormat="1" x14ac:dyDescent="0.25"/>
    <row r="157" s="16" customFormat="1" x14ac:dyDescent="0.25"/>
    <row r="158" s="16" customFormat="1" x14ac:dyDescent="0.25"/>
    <row r="159" s="16" customFormat="1" x14ac:dyDescent="0.25"/>
    <row r="160" s="16" customFormat="1" x14ac:dyDescent="0.25"/>
    <row r="161" s="16" customFormat="1" x14ac:dyDescent="0.25"/>
    <row r="162" s="16" customFormat="1" x14ac:dyDescent="0.25"/>
    <row r="163" s="16" customFormat="1" x14ac:dyDescent="0.25"/>
    <row r="164" s="16" customFormat="1" x14ac:dyDescent="0.25"/>
    <row r="165" s="16" customFormat="1" x14ac:dyDescent="0.25"/>
    <row r="166" s="16" customFormat="1" x14ac:dyDescent="0.25"/>
    <row r="167" s="16" customFormat="1" x14ac:dyDescent="0.25"/>
    <row r="168" s="16" customFormat="1" x14ac:dyDescent="0.25"/>
    <row r="169" s="16" customFormat="1" x14ac:dyDescent="0.25"/>
    <row r="170" s="16" customFormat="1" x14ac:dyDescent="0.25"/>
    <row r="171" s="16" customFormat="1" x14ac:dyDescent="0.25"/>
    <row r="172" s="16" customFormat="1" x14ac:dyDescent="0.25"/>
    <row r="173" s="16" customFormat="1" x14ac:dyDescent="0.25"/>
    <row r="174" s="16" customFormat="1" x14ac:dyDescent="0.25"/>
    <row r="175" s="16" customFormat="1" x14ac:dyDescent="0.25"/>
    <row r="176" s="16" customFormat="1" x14ac:dyDescent="0.25"/>
    <row r="177" s="16" customFormat="1" x14ac:dyDescent="0.25"/>
    <row r="178" s="16" customFormat="1" x14ac:dyDescent="0.25"/>
    <row r="179" s="16" customFormat="1" x14ac:dyDescent="0.25"/>
    <row r="180" s="16" customFormat="1" x14ac:dyDescent="0.25"/>
    <row r="181" s="16" customFormat="1" x14ac:dyDescent="0.25"/>
    <row r="182" s="16" customFormat="1" x14ac:dyDescent="0.25"/>
    <row r="183" s="16" customFormat="1" x14ac:dyDescent="0.25"/>
    <row r="184" s="16" customFormat="1" x14ac:dyDescent="0.25"/>
    <row r="185" s="16" customFormat="1" x14ac:dyDescent="0.25"/>
    <row r="186" s="16" customFormat="1" x14ac:dyDescent="0.25"/>
    <row r="187" s="16" customFormat="1" x14ac:dyDescent="0.25"/>
    <row r="188" s="16" customFormat="1" x14ac:dyDescent="0.25"/>
    <row r="189" s="16" customFormat="1" x14ac:dyDescent="0.25"/>
    <row r="190" s="16" customFormat="1" x14ac:dyDescent="0.25"/>
    <row r="191" s="16" customFormat="1" x14ac:dyDescent="0.25"/>
    <row r="19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row r="363" s="16" customFormat="1" x14ac:dyDescent="0.25"/>
    <row r="364" s="16" customFormat="1" x14ac:dyDescent="0.25"/>
  </sheetData>
  <mergeCells count="6">
    <mergeCell ref="BV3:BZ3"/>
    <mergeCell ref="E3:P3"/>
    <mergeCell ref="R3:AC3"/>
    <mergeCell ref="AE3:AP3"/>
    <mergeCell ref="BJ3:BN3"/>
    <mergeCell ref="BP3:BT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P24"/>
  <sheetViews>
    <sheetView workbookViewId="0">
      <pane xSplit="2" ySplit="4" topLeftCell="AC19" activePane="bottomRight" state="frozen"/>
      <selection pane="topRight" activeCell="C1" sqref="C1"/>
      <selection pane="bottomLeft" activeCell="A5" sqref="A5"/>
      <selection pane="bottomRight" activeCell="AC22" sqref="AC22"/>
    </sheetView>
  </sheetViews>
  <sheetFormatPr defaultColWidth="10.25" defaultRowHeight="15.75" outlineLevelCol="1" x14ac:dyDescent="0.25"/>
  <cols>
    <col min="1" max="1" width="3.375" style="7" customWidth="1"/>
    <col min="2" max="2" width="20.625" style="7" customWidth="1"/>
    <col min="3" max="3" width="10.25" style="7"/>
    <col min="4" max="4" width="9.75" style="7" customWidth="1"/>
    <col min="5" max="6" width="10.25" style="7" customWidth="1" outlineLevel="1"/>
    <col min="7" max="7" width="10.25" style="7" customWidth="1"/>
    <col min="8" max="9" width="10.25" style="7" customWidth="1" outlineLevel="1"/>
    <col min="10" max="10" width="10.25" style="7" customWidth="1"/>
    <col min="11" max="12" width="10.25" style="7" customWidth="1" outlineLevel="1"/>
    <col min="13" max="13" width="10.25" style="7" customWidth="1"/>
    <col min="14" max="16" width="10.25" style="7" customWidth="1" outlineLevel="1"/>
    <col min="17" max="17" width="2" style="7" customWidth="1"/>
    <col min="18" max="19" width="10.25" style="7" outlineLevel="1"/>
    <col min="20" max="20" width="10.25" style="7"/>
    <col min="21" max="22" width="10.25" style="7" outlineLevel="1"/>
    <col min="23" max="23" width="10.25" style="7"/>
    <col min="24" max="25" width="10.25" style="7" outlineLevel="1"/>
    <col min="26" max="26" width="10.25" style="7"/>
    <col min="27" max="29" width="10.25" style="7" outlineLevel="1"/>
    <col min="30" max="30" width="1.625" style="7" customWidth="1"/>
    <col min="31" max="32" width="10.25" style="7" outlineLevel="1"/>
    <col min="33" max="33" width="10.25" style="7"/>
    <col min="34" max="35" width="10.25" style="7" outlineLevel="1"/>
    <col min="36" max="36" width="10.25" style="7"/>
    <col min="37" max="38" width="10.25" style="7" outlineLevel="1"/>
    <col min="39" max="39" width="10.25" style="7"/>
    <col min="40" max="40" width="10.25" style="7" outlineLevel="1"/>
    <col min="41" max="42" width="12" style="7" customWidth="1" outlineLevel="1"/>
    <col min="43" max="43" width="1.625" style="7" customWidth="1"/>
    <col min="44" max="16384" width="10.25" style="7"/>
  </cols>
  <sheetData>
    <row r="1" spans="1:42" customFormat="1" x14ac:dyDescent="0.25">
      <c r="B1" s="4" t="s">
        <v>36</v>
      </c>
    </row>
    <row r="2" spans="1:42" customFormat="1" x14ac:dyDescent="0.25">
      <c r="B2" s="4" t="s">
        <v>246</v>
      </c>
    </row>
    <row r="3" spans="1:42"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row>
    <row r="4" spans="1:42" customFormat="1" ht="16.5" thickBot="1" x14ac:dyDescent="0.3">
      <c r="A4" s="1"/>
      <c r="B4" s="3"/>
      <c r="C4" s="6"/>
      <c r="D4" s="6" t="s">
        <v>264</v>
      </c>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row>
    <row r="5" spans="1:42" x14ac:dyDescent="0.25">
      <c r="A5" s="7" t="s">
        <v>247</v>
      </c>
    </row>
    <row r="6" spans="1:42" x14ac:dyDescent="0.25">
      <c r="A6" s="15" t="s">
        <v>257</v>
      </c>
    </row>
    <row r="7" spans="1:42" x14ac:dyDescent="0.25">
      <c r="A7" s="15"/>
      <c r="B7" s="7" t="s">
        <v>275</v>
      </c>
      <c r="F7" s="7">
        <f>+E10</f>
        <v>0</v>
      </c>
      <c r="G7" s="7">
        <f t="shared" ref="G7:P7" si="0">+F10</f>
        <v>0</v>
      </c>
      <c r="H7" s="7">
        <f t="shared" si="0"/>
        <v>0</v>
      </c>
      <c r="I7" s="7">
        <f t="shared" si="0"/>
        <v>0</v>
      </c>
      <c r="J7" s="7">
        <f t="shared" si="0"/>
        <v>0</v>
      </c>
      <c r="K7" s="7">
        <f t="shared" si="0"/>
        <v>0</v>
      </c>
      <c r="L7" s="7">
        <f t="shared" si="0"/>
        <v>0</v>
      </c>
      <c r="M7" s="7">
        <f t="shared" si="0"/>
        <v>0</v>
      </c>
      <c r="N7" s="7">
        <f t="shared" si="0"/>
        <v>0</v>
      </c>
      <c r="O7" s="7">
        <f t="shared" si="0"/>
        <v>0</v>
      </c>
      <c r="P7" s="7">
        <f t="shared" si="0"/>
        <v>0</v>
      </c>
      <c r="R7" s="7">
        <f>+P10</f>
        <v>0</v>
      </c>
      <c r="S7" s="7">
        <f t="shared" ref="S7" si="1">+R10</f>
        <v>0</v>
      </c>
      <c r="T7" s="7">
        <f t="shared" ref="T7:AC7" si="2">+S10</f>
        <v>0</v>
      </c>
      <c r="U7" s="7">
        <f t="shared" si="2"/>
        <v>0</v>
      </c>
      <c r="V7" s="7">
        <f t="shared" si="2"/>
        <v>0</v>
      </c>
      <c r="W7" s="7">
        <f t="shared" si="2"/>
        <v>0</v>
      </c>
      <c r="X7" s="7">
        <f t="shared" si="2"/>
        <v>0</v>
      </c>
      <c r="Y7" s="7">
        <f t="shared" si="2"/>
        <v>420500.00000000012</v>
      </c>
      <c r="Z7" s="7">
        <f t="shared" si="2"/>
        <v>172900.00000000003</v>
      </c>
      <c r="AA7" s="7">
        <f t="shared" si="2"/>
        <v>172900.00000000003</v>
      </c>
      <c r="AB7" s="7">
        <f t="shared" si="2"/>
        <v>446200.00000000012</v>
      </c>
      <c r="AC7" s="7">
        <f t="shared" si="2"/>
        <v>198800.00000000006</v>
      </c>
      <c r="AE7" s="7">
        <f>+AC10</f>
        <v>198800.00000000006</v>
      </c>
      <c r="AF7" s="7">
        <f t="shared" ref="AF7:AP7" si="3">+AE10</f>
        <v>478170.00000000012</v>
      </c>
      <c r="AG7" s="7">
        <f t="shared" si="3"/>
        <v>247170.00000000006</v>
      </c>
      <c r="AH7" s="7">
        <f t="shared" si="3"/>
        <v>247170.00000000006</v>
      </c>
      <c r="AI7" s="7">
        <f t="shared" si="3"/>
        <v>506660.00000000023</v>
      </c>
      <c r="AJ7" s="7">
        <f t="shared" si="3"/>
        <v>275660.00000000012</v>
      </c>
      <c r="AK7" s="7">
        <f t="shared" si="3"/>
        <v>275660.00000000012</v>
      </c>
      <c r="AL7" s="7">
        <f t="shared" si="3"/>
        <v>1469318.6666666672</v>
      </c>
      <c r="AM7" s="7">
        <f t="shared" si="3"/>
        <v>781872.00000000023</v>
      </c>
      <c r="AN7" s="7">
        <f t="shared" si="3"/>
        <v>752983.00000000023</v>
      </c>
      <c r="AO7" s="7">
        <f t="shared" si="3"/>
        <v>1636670.6666666672</v>
      </c>
      <c r="AP7" s="7">
        <f t="shared" si="3"/>
        <v>976053.3333333336</v>
      </c>
    </row>
    <row r="8" spans="1:42" x14ac:dyDescent="0.25">
      <c r="A8" s="15"/>
      <c r="B8" s="7" t="s">
        <v>272</v>
      </c>
      <c r="E8" s="7">
        <f>+'P&amp;L'!E8</f>
        <v>0</v>
      </c>
      <c r="F8" s="7">
        <f>+'P&amp;L'!F8</f>
        <v>0</v>
      </c>
      <c r="G8" s="7">
        <f>+'P&amp;L'!G8</f>
        <v>0</v>
      </c>
      <c r="H8" s="7">
        <f>+'P&amp;L'!H8</f>
        <v>0</v>
      </c>
      <c r="I8" s="7">
        <f>+'P&amp;L'!I8</f>
        <v>0</v>
      </c>
      <c r="J8" s="7">
        <f>+'P&amp;L'!J8</f>
        <v>0</v>
      </c>
      <c r="K8" s="7">
        <f>+'P&amp;L'!K8</f>
        <v>0</v>
      </c>
      <c r="L8" s="7">
        <f>+'P&amp;L'!L8</f>
        <v>0</v>
      </c>
      <c r="M8" s="7">
        <f>+'P&amp;L'!M8</f>
        <v>0</v>
      </c>
      <c r="N8" s="7">
        <f>+'P&amp;L'!N8</f>
        <v>0</v>
      </c>
      <c r="O8" s="7">
        <f>+'P&amp;L'!O8</f>
        <v>0</v>
      </c>
      <c r="P8" s="7">
        <f>+'P&amp;L'!P8</f>
        <v>0</v>
      </c>
      <c r="R8" s="7">
        <f>+'P&amp;L'!R8</f>
        <v>0</v>
      </c>
      <c r="S8" s="7">
        <f>+'P&amp;L'!S8</f>
        <v>0</v>
      </c>
      <c r="T8" s="7">
        <f>+'P&amp;L'!T8</f>
        <v>0</v>
      </c>
      <c r="U8" s="7">
        <f>+'P&amp;L'!U8</f>
        <v>0</v>
      </c>
      <c r="V8" s="7">
        <f>+'P&amp;L'!V8</f>
        <v>0</v>
      </c>
      <c r="W8" s="7">
        <f>+'P&amp;L'!W8</f>
        <v>0</v>
      </c>
      <c r="X8" s="7">
        <f>+'P&amp;L'!X8</f>
        <v>420500.00000000012</v>
      </c>
      <c r="Y8" s="7">
        <f>+'P&amp;L'!Y8</f>
        <v>172900.00000000003</v>
      </c>
      <c r="Z8" s="7">
        <f>+'P&amp;L'!Z8</f>
        <v>172900.00000000003</v>
      </c>
      <c r="AA8" s="7">
        <f>+'P&amp;L'!AA8</f>
        <v>446200.00000000012</v>
      </c>
      <c r="AB8" s="7">
        <f>+'P&amp;L'!AB8</f>
        <v>198800.00000000006</v>
      </c>
      <c r="AC8" s="7">
        <f>+'P&amp;L'!AC8</f>
        <v>198800.00000000006</v>
      </c>
      <c r="AE8" s="7">
        <f>+'P&amp;L'!AE8</f>
        <v>478170.00000000012</v>
      </c>
      <c r="AF8" s="7">
        <f>+'P&amp;L'!AF8</f>
        <v>247170.00000000006</v>
      </c>
      <c r="AG8" s="7">
        <f>+'P&amp;L'!AG8</f>
        <v>247170.00000000006</v>
      </c>
      <c r="AH8" s="7">
        <f>+'P&amp;L'!AH8</f>
        <v>506660.00000000023</v>
      </c>
      <c r="AI8" s="7">
        <f>+'P&amp;L'!AI8</f>
        <v>275660.00000000012</v>
      </c>
      <c r="AJ8" s="7">
        <f>+'P&amp;L'!AJ8</f>
        <v>275660.00000000012</v>
      </c>
      <c r="AK8" s="7">
        <f>+'P&amp;L'!AK8</f>
        <v>1460130.0000000005</v>
      </c>
      <c r="AL8" s="7">
        <f>+'P&amp;L'!AL8</f>
        <v>684530.00000000023</v>
      </c>
      <c r="AM8" s="7">
        <f>+'P&amp;L'!AM8</f>
        <v>684530.00000000023</v>
      </c>
      <c r="AN8" s="7">
        <f>+'P&amp;L'!AN8</f>
        <v>1545400.0000000005</v>
      </c>
      <c r="AO8" s="7">
        <f>+'P&amp;L'!AO8</f>
        <v>770000.00000000023</v>
      </c>
      <c r="AP8" s="7">
        <f>+'P&amp;L'!AP8</f>
        <v>770000.00000000023</v>
      </c>
    </row>
    <row r="9" spans="1:42" x14ac:dyDescent="0.25">
      <c r="A9" s="15"/>
      <c r="B9" s="7" t="s">
        <v>273</v>
      </c>
      <c r="E9" s="7">
        <f>+E10-E8-E7</f>
        <v>0</v>
      </c>
      <c r="F9" s="7">
        <f>+F10-F8-F7</f>
        <v>0</v>
      </c>
      <c r="G9" s="7">
        <f t="shared" ref="G9:P9" si="4">+G10-G8-G7</f>
        <v>0</v>
      </c>
      <c r="H9" s="7">
        <f t="shared" si="4"/>
        <v>0</v>
      </c>
      <c r="I9" s="7">
        <f t="shared" si="4"/>
        <v>0</v>
      </c>
      <c r="J9" s="7">
        <f t="shared" si="4"/>
        <v>0</v>
      </c>
      <c r="K9" s="7">
        <f t="shared" si="4"/>
        <v>0</v>
      </c>
      <c r="L9" s="7">
        <f t="shared" si="4"/>
        <v>0</v>
      </c>
      <c r="M9" s="7">
        <f t="shared" si="4"/>
        <v>0</v>
      </c>
      <c r="N9" s="7">
        <f t="shared" si="4"/>
        <v>0</v>
      </c>
      <c r="O9" s="7">
        <f t="shared" si="4"/>
        <v>0</v>
      </c>
      <c r="P9" s="7">
        <f t="shared" si="4"/>
        <v>0</v>
      </c>
      <c r="R9" s="7">
        <f t="shared" ref="R9" si="5">+R10-R8-R7</f>
        <v>0</v>
      </c>
      <c r="S9" s="7">
        <f t="shared" ref="S9" si="6">+S10-S8-S7</f>
        <v>0</v>
      </c>
      <c r="T9" s="7">
        <f t="shared" ref="T9" si="7">+T10-T8-T7</f>
        <v>0</v>
      </c>
      <c r="U9" s="7">
        <f t="shared" ref="U9" si="8">+U10-U8-U7</f>
        <v>0</v>
      </c>
      <c r="V9" s="7">
        <f t="shared" ref="V9" si="9">+V10-V8-V7</f>
        <v>0</v>
      </c>
      <c r="W9" s="7">
        <f t="shared" ref="W9" si="10">+W10-W8-W7</f>
        <v>0</v>
      </c>
      <c r="X9" s="7">
        <f t="shared" ref="X9" si="11">+X10-X8-X7</f>
        <v>0</v>
      </c>
      <c r="Y9" s="7">
        <f t="shared" ref="Y9" si="12">+Y10-Y8-Y7</f>
        <v>-420500.00000000012</v>
      </c>
      <c r="Z9" s="7">
        <f t="shared" ref="Z9" si="13">+Z10-Z8-Z7</f>
        <v>-172900.00000000003</v>
      </c>
      <c r="AA9" s="7">
        <f t="shared" ref="AA9" si="14">+AA10-AA8-AA7</f>
        <v>-172900.00000000003</v>
      </c>
      <c r="AB9" s="7">
        <f t="shared" ref="AB9" si="15">+AB10-AB8-AB7</f>
        <v>-446200.00000000012</v>
      </c>
      <c r="AC9" s="7">
        <f t="shared" ref="AC9" si="16">+AC10-AC8-AC7</f>
        <v>-198800.00000000006</v>
      </c>
      <c r="AE9" s="7">
        <f t="shared" ref="AE9" si="17">+AE10-AE8-AE7</f>
        <v>-198800.00000000006</v>
      </c>
      <c r="AF9" s="7">
        <f t="shared" ref="AF9" si="18">+AF10-AF8-AF7</f>
        <v>-478170.00000000012</v>
      </c>
      <c r="AG9" s="7">
        <f t="shared" ref="AG9" si="19">+AG10-AG8-AG7</f>
        <v>-247170.00000000006</v>
      </c>
      <c r="AH9" s="7">
        <f t="shared" ref="AH9" si="20">+AH10-AH8-AH7</f>
        <v>-247170.00000000006</v>
      </c>
      <c r="AI9" s="7">
        <f t="shared" ref="AI9" si="21">+AI10-AI8-AI7</f>
        <v>-506660.00000000023</v>
      </c>
      <c r="AJ9" s="7">
        <f t="shared" ref="AJ9" si="22">+AJ10-AJ8-AJ7</f>
        <v>-275660.00000000012</v>
      </c>
      <c r="AK9" s="7">
        <f t="shared" ref="AK9" si="23">+AK10-AK8-AK7</f>
        <v>-266471.33333333337</v>
      </c>
      <c r="AL9" s="7">
        <f t="shared" ref="AL9" si="24">+AL10-AL8-AL7</f>
        <v>-1371976.6666666672</v>
      </c>
      <c r="AM9" s="7">
        <f t="shared" ref="AM9" si="25">+AM10-AM8-AM7</f>
        <v>-713419.00000000023</v>
      </c>
      <c r="AN9" s="7">
        <f t="shared" ref="AN9" si="26">+AN10-AN8-AN7</f>
        <v>-661712.33333333349</v>
      </c>
      <c r="AO9" s="7">
        <f t="shared" ref="AO9" si="27">+AO10-AO8-AO7</f>
        <v>-1430617.333333334</v>
      </c>
      <c r="AP9" s="7">
        <f t="shared" ref="AP9" si="28">+AP10-AP8-AP7</f>
        <v>-873386.66666666686</v>
      </c>
    </row>
    <row r="10" spans="1:42" x14ac:dyDescent="0.25">
      <c r="A10" s="15"/>
      <c r="B10" s="7" t="s">
        <v>276</v>
      </c>
      <c r="E10" s="8">
        <f>+E8/30*40</f>
        <v>0</v>
      </c>
      <c r="F10" s="8">
        <f>+F8/30*40</f>
        <v>0</v>
      </c>
      <c r="G10" s="8">
        <f t="shared" ref="G10" si="29">+G8/30*40</f>
        <v>0</v>
      </c>
      <c r="H10" s="8">
        <f>+H8/30*H11</f>
        <v>0</v>
      </c>
      <c r="I10" s="8">
        <f t="shared" ref="I10:J10" si="30">+I8/30*I11</f>
        <v>0</v>
      </c>
      <c r="J10" s="8">
        <f t="shared" si="30"/>
        <v>0</v>
      </c>
      <c r="K10" s="8">
        <f t="shared" ref="K10:P10" si="31">IF(K11&lt;=30,K8/30*K11,+K8+(J8/30*(K11-30)))</f>
        <v>0</v>
      </c>
      <c r="L10" s="8">
        <f t="shared" si="31"/>
        <v>0</v>
      </c>
      <c r="M10" s="8">
        <f t="shared" si="31"/>
        <v>0</v>
      </c>
      <c r="N10" s="8">
        <f t="shared" si="31"/>
        <v>0</v>
      </c>
      <c r="O10" s="8">
        <f t="shared" si="31"/>
        <v>0</v>
      </c>
      <c r="P10" s="8">
        <f t="shared" si="31"/>
        <v>0</v>
      </c>
      <c r="R10" s="8">
        <f t="shared" ref="R10:X10" si="32">IF(R11&lt;=30,R8/30*R11,+R8+(Q8/30*(R11-30)))</f>
        <v>0</v>
      </c>
      <c r="S10" s="8">
        <f t="shared" si="32"/>
        <v>0</v>
      </c>
      <c r="T10" s="8">
        <f t="shared" si="32"/>
        <v>0</v>
      </c>
      <c r="U10" s="8">
        <f t="shared" si="32"/>
        <v>0</v>
      </c>
      <c r="V10" s="8">
        <f t="shared" si="32"/>
        <v>0</v>
      </c>
      <c r="W10" s="8">
        <f t="shared" si="32"/>
        <v>0</v>
      </c>
      <c r="X10" s="8">
        <f t="shared" si="32"/>
        <v>420500.00000000012</v>
      </c>
      <c r="Y10" s="8">
        <f>IF(Y11&lt;=30,Y8/30*Y11,+Y8+(X8/30*(Y11-30)))</f>
        <v>172900.00000000003</v>
      </c>
      <c r="Z10" s="8">
        <f t="shared" ref="Z10:AC10" si="33">IF(Z11&lt;=30,Z8/30*Z11,+Z8+(Y8/30*(Z11-30)))</f>
        <v>172900.00000000003</v>
      </c>
      <c r="AA10" s="8">
        <f t="shared" si="33"/>
        <v>446200.00000000012</v>
      </c>
      <c r="AB10" s="8">
        <f t="shared" si="33"/>
        <v>198800.00000000006</v>
      </c>
      <c r="AC10" s="8">
        <f t="shared" si="33"/>
        <v>198800.00000000006</v>
      </c>
      <c r="AE10" s="8">
        <f t="shared" ref="AE10" si="34">IF(AE11&lt;=30,AE8/30*AE11,+AE8+(AD8/30*(AE11-30)))</f>
        <v>478170.00000000012</v>
      </c>
      <c r="AF10" s="8">
        <f t="shared" ref="AF10" si="35">IF(AF11&lt;=30,AF8/30*AF11,+AF8+(AE8/30*(AF11-30)))</f>
        <v>247170.00000000006</v>
      </c>
      <c r="AG10" s="8">
        <f t="shared" ref="AG10" si="36">IF(AG11&lt;=30,AG8/30*AG11,+AG8+(AF8/30*(AG11-30)))</f>
        <v>247170.00000000006</v>
      </c>
      <c r="AH10" s="8">
        <f t="shared" ref="AH10" si="37">IF(AH11&lt;=30,AH8/30*AH11,+AH8+(AG8/30*(AH11-30)))</f>
        <v>506660.00000000023</v>
      </c>
      <c r="AI10" s="8">
        <f t="shared" ref="AI10" si="38">IF(AI11&lt;=30,AI8/30*AI11,+AI8+(AH8/30*(AI11-30)))</f>
        <v>275660.00000000012</v>
      </c>
      <c r="AJ10" s="8">
        <f t="shared" ref="AJ10" si="39">IF(AJ11&lt;=30,AJ8/30*AJ11,+AJ8+(AI8/30*(AJ11-30)))</f>
        <v>275660.00000000012</v>
      </c>
      <c r="AK10" s="8">
        <f t="shared" ref="AK10" si="40">IF(AK11&lt;=30,AK8/30*AK11,+AK8+(AJ8/30*(AK11-30)))</f>
        <v>1469318.6666666672</v>
      </c>
      <c r="AL10" s="8">
        <f>IF(AL11&lt;=30,AL8/30*AL11,+AL8+(AK8/30*(AL11-30)))</f>
        <v>781872.00000000023</v>
      </c>
      <c r="AM10" s="8">
        <f t="shared" ref="AM10" si="41">IF(AM11&lt;=30,AM8/30*AM11,+AM8+(AL8/30*(AM11-30)))</f>
        <v>752983.00000000023</v>
      </c>
      <c r="AN10" s="8">
        <f t="shared" ref="AN10" si="42">IF(AN11&lt;=30,AN8/30*AN11,+AN8+(AM8/30*(AN11-30)))</f>
        <v>1636670.6666666672</v>
      </c>
      <c r="AO10" s="8">
        <f t="shared" ref="AO10" si="43">IF(AO11&lt;=30,AO8/30*AO11,+AO8+(AN8/30*(AO11-30)))</f>
        <v>976053.3333333336</v>
      </c>
      <c r="AP10" s="8">
        <f t="shared" ref="AP10" si="44">IF(AP11&lt;=30,AP8/30*AP11,+AP8+(AO8/30*(AP11-30)))</f>
        <v>872666.66666666698</v>
      </c>
    </row>
    <row r="11" spans="1:42" x14ac:dyDescent="0.25">
      <c r="A11" s="15"/>
      <c r="B11" s="7" t="s">
        <v>274</v>
      </c>
      <c r="E11" s="7">
        <v>40</v>
      </c>
      <c r="F11" s="7">
        <f>+E11</f>
        <v>40</v>
      </c>
      <c r="G11" s="7">
        <f t="shared" ref="G11:P11" si="45">+F11</f>
        <v>40</v>
      </c>
      <c r="H11" s="7">
        <f t="shared" si="45"/>
        <v>40</v>
      </c>
      <c r="I11" s="7">
        <f t="shared" si="45"/>
        <v>40</v>
      </c>
      <c r="J11" s="7">
        <f t="shared" si="45"/>
        <v>40</v>
      </c>
      <c r="K11" s="7">
        <f t="shared" si="45"/>
        <v>40</v>
      </c>
      <c r="L11" s="7">
        <f t="shared" si="45"/>
        <v>40</v>
      </c>
      <c r="M11" s="7">
        <f t="shared" si="45"/>
        <v>40</v>
      </c>
      <c r="N11" s="7">
        <f t="shared" si="45"/>
        <v>40</v>
      </c>
      <c r="O11" s="7">
        <f t="shared" si="45"/>
        <v>40</v>
      </c>
      <c r="P11" s="7">
        <f t="shared" si="45"/>
        <v>40</v>
      </c>
      <c r="R11" s="7">
        <f>+P11</f>
        <v>40</v>
      </c>
      <c r="S11" s="7">
        <f t="shared" ref="S11" si="46">+R11</f>
        <v>40</v>
      </c>
      <c r="T11" s="7">
        <f t="shared" ref="T11:W11" si="47">+S11</f>
        <v>40</v>
      </c>
      <c r="U11" s="7">
        <f t="shared" si="47"/>
        <v>40</v>
      </c>
      <c r="V11" s="7">
        <f t="shared" si="47"/>
        <v>40</v>
      </c>
      <c r="W11" s="7">
        <f t="shared" si="47"/>
        <v>40</v>
      </c>
      <c r="X11" s="7">
        <v>30</v>
      </c>
      <c r="Y11" s="7">
        <f>+X11</f>
        <v>30</v>
      </c>
      <c r="Z11" s="7">
        <f>+Y11</f>
        <v>30</v>
      </c>
      <c r="AA11" s="7">
        <f t="shared" ref="AA11:AC11" si="48">+Z11</f>
        <v>30</v>
      </c>
      <c r="AB11" s="7">
        <f t="shared" si="48"/>
        <v>30</v>
      </c>
      <c r="AC11" s="7">
        <f t="shared" si="48"/>
        <v>30</v>
      </c>
      <c r="AE11" s="7">
        <f>+AC11</f>
        <v>30</v>
      </c>
      <c r="AF11" s="7">
        <f t="shared" ref="AF11:AJ11" si="49">+AE11</f>
        <v>30</v>
      </c>
      <c r="AG11" s="7">
        <f t="shared" si="49"/>
        <v>30</v>
      </c>
      <c r="AH11" s="7">
        <f t="shared" si="49"/>
        <v>30</v>
      </c>
      <c r="AI11" s="7">
        <f t="shared" si="49"/>
        <v>30</v>
      </c>
      <c r="AJ11" s="7">
        <f t="shared" si="49"/>
        <v>30</v>
      </c>
      <c r="AK11" s="7">
        <v>31</v>
      </c>
      <c r="AL11" s="7">
        <v>32</v>
      </c>
      <c r="AM11" s="7">
        <v>33</v>
      </c>
      <c r="AN11" s="7">
        <v>34</v>
      </c>
      <c r="AO11" s="7">
        <f t="shared" ref="AO11:AP11" si="50">+AN11</f>
        <v>34</v>
      </c>
      <c r="AP11" s="7">
        <f t="shared" si="50"/>
        <v>34</v>
      </c>
    </row>
    <row r="12" spans="1:42" x14ac:dyDescent="0.25">
      <c r="A12" s="15"/>
    </row>
    <row r="13" spans="1:42" x14ac:dyDescent="0.25">
      <c r="A13" s="7" t="s">
        <v>254</v>
      </c>
    </row>
    <row r="14" spans="1:42" x14ac:dyDescent="0.25">
      <c r="A14" s="15" t="s">
        <v>255</v>
      </c>
    </row>
    <row r="15" spans="1:42" x14ac:dyDescent="0.25">
      <c r="B15" s="7" t="s">
        <v>55</v>
      </c>
      <c r="E15" s="7">
        <f>+'All Spend'!E75</f>
        <v>326583.41666666669</v>
      </c>
      <c r="F15" s="7">
        <f>+'All Spend'!F75</f>
        <v>152612.41666666669</v>
      </c>
      <c r="G15" s="7">
        <f>+'All Spend'!G75</f>
        <v>177612.41666666669</v>
      </c>
      <c r="H15" s="7">
        <f>+'All Spend'!H75</f>
        <v>192925.25252525252</v>
      </c>
      <c r="I15" s="7">
        <f>+'All Spend'!I75</f>
        <v>174537.25252525252</v>
      </c>
      <c r="J15" s="7">
        <f>+'All Spend'!J75</f>
        <v>206139.25252525252</v>
      </c>
      <c r="K15" s="7">
        <f>+'All Spend'!K75</f>
        <v>215238.00252525252</v>
      </c>
      <c r="L15" s="7">
        <f>+'All Spend'!L75</f>
        <v>226320.50252525252</v>
      </c>
      <c r="M15" s="7">
        <f>+'All Spend'!M75</f>
        <v>245928.00252525252</v>
      </c>
      <c r="N15" s="7">
        <f>+'All Spend'!N75</f>
        <v>165438.00252525252</v>
      </c>
      <c r="O15" s="7">
        <f>+'All Spend'!O75</f>
        <v>210728.00252525252</v>
      </c>
      <c r="P15" s="7">
        <f>+'All Spend'!P75</f>
        <v>232628.00252525252</v>
      </c>
      <c r="R15" s="7">
        <f>+'All Spend'!R75</f>
        <v>226283.69696969699</v>
      </c>
      <c r="S15" s="7">
        <f>+'All Spend'!S75</f>
        <v>196373.69696969699</v>
      </c>
      <c r="T15" s="7">
        <f>+'All Spend'!T75</f>
        <v>219657.86363636362</v>
      </c>
      <c r="U15" s="7">
        <f>+'All Spend'!U75</f>
        <v>245844.94696969696</v>
      </c>
      <c r="V15" s="7">
        <f>+'All Spend'!V75</f>
        <v>314401.61363636365</v>
      </c>
      <c r="W15" s="7">
        <f>+'All Spend'!W75</f>
        <v>362747.44696969696</v>
      </c>
      <c r="X15" s="7">
        <f>+'All Spend'!X75</f>
        <v>362954.11363636371</v>
      </c>
      <c r="Y15" s="7">
        <f>+'All Spend'!Y75</f>
        <v>374844.11363636371</v>
      </c>
      <c r="Z15" s="7">
        <f>+'All Spend'!Z75</f>
        <v>379944.11363636371</v>
      </c>
      <c r="AA15" s="7">
        <f>+'All Spend'!AA75</f>
        <v>360754.11363636371</v>
      </c>
      <c r="AB15" s="7">
        <f>+'All Spend'!AB75</f>
        <v>371144.11363636371</v>
      </c>
      <c r="AC15" s="7">
        <f>+'All Spend'!AC75</f>
        <v>362394.11363636371</v>
      </c>
      <c r="AE15" s="7">
        <f>+'All Spend'!AE75</f>
        <v>414248.28030303033</v>
      </c>
      <c r="AF15" s="7">
        <f>+'All Spend'!AF75</f>
        <v>393038.28030303033</v>
      </c>
      <c r="AG15" s="7">
        <f>+'All Spend'!AG75</f>
        <v>399038.28030303033</v>
      </c>
      <c r="AH15" s="7">
        <f>+'All Spend'!AH75</f>
        <v>268445.78030303027</v>
      </c>
      <c r="AI15" s="7">
        <f>+'All Spend'!AI75</f>
        <v>272485.78030303027</v>
      </c>
      <c r="AJ15" s="7">
        <f>+'All Spend'!AJ75</f>
        <v>289719.11363636359</v>
      </c>
      <c r="AK15" s="7">
        <f>+'All Spend'!AK75</f>
        <v>314469.11363636359</v>
      </c>
      <c r="AL15" s="7">
        <f>+'All Spend'!AL75</f>
        <v>309509.11363636359</v>
      </c>
      <c r="AM15" s="7">
        <f>+'All Spend'!AM75</f>
        <v>314509.11363636359</v>
      </c>
      <c r="AN15" s="7">
        <f>+'All Spend'!AN75</f>
        <v>310469.11363636359</v>
      </c>
      <c r="AO15" s="7">
        <f>+'All Spend'!AO75</f>
        <v>309509.11363636359</v>
      </c>
      <c r="AP15" s="7">
        <f>+'All Spend'!AP75</f>
        <v>330343.69696969696</v>
      </c>
    </row>
    <row r="16" spans="1:42" x14ac:dyDescent="0.25">
      <c r="B16" s="7" t="s">
        <v>318</v>
      </c>
      <c r="E16" s="7">
        <f>-'All Spend'!E18</f>
        <v>-119530.41666666667</v>
      </c>
      <c r="F16" s="7">
        <f>-'All Spend'!F18</f>
        <v>-119530.41666666667</v>
      </c>
      <c r="G16" s="7">
        <f>-'All Spend'!G18</f>
        <v>-119530.41666666667</v>
      </c>
      <c r="H16" s="7">
        <f>-'All Spend'!H18</f>
        <v>-126956.25000000001</v>
      </c>
      <c r="I16" s="7">
        <f>-'All Spend'!I18</f>
        <v>-126956.25000000001</v>
      </c>
      <c r="J16" s="7">
        <f>-'All Spend'!J18</f>
        <v>-126956.25000000001</v>
      </c>
      <c r="K16" s="7">
        <f>-'All Spend'!K18</f>
        <v>-131730</v>
      </c>
      <c r="L16" s="7">
        <f>-'All Spend'!L18</f>
        <v>-131730</v>
      </c>
      <c r="M16" s="7">
        <f>-'All Spend'!M18</f>
        <v>-131730</v>
      </c>
      <c r="N16" s="7">
        <f>-'All Spend'!N18</f>
        <v>-131730</v>
      </c>
      <c r="O16" s="7">
        <f>-'All Spend'!O18</f>
        <v>-131730</v>
      </c>
      <c r="P16" s="7">
        <f>-'All Spend'!P18</f>
        <v>-3266.666666666667</v>
      </c>
      <c r="R16" s="7">
        <f>-'All Spend'!R18</f>
        <v>-137564.58333333334</v>
      </c>
      <c r="S16" s="7">
        <f>-'All Spend'!S18</f>
        <v>-137564.58333333334</v>
      </c>
      <c r="T16" s="7">
        <f>-'All Spend'!T18</f>
        <v>-155598.74999999997</v>
      </c>
      <c r="U16" s="7">
        <f>-'All Spend'!U18</f>
        <v>-190075.83333333331</v>
      </c>
      <c r="V16" s="7">
        <f>-'All Spend'!V18</f>
        <v>-211292.49999999997</v>
      </c>
      <c r="W16" s="7">
        <f>-'All Spend'!W18</f>
        <v>-269638.33333333331</v>
      </c>
      <c r="X16" s="7">
        <f>-'All Spend'!X18</f>
        <v>-303585.00000000006</v>
      </c>
      <c r="Y16" s="7">
        <f>-'All Spend'!Y18</f>
        <v>-303585.00000000006</v>
      </c>
      <c r="Z16" s="7">
        <f>-'All Spend'!Z18</f>
        <v>-303585.00000000006</v>
      </c>
      <c r="AA16" s="7">
        <f>-'All Spend'!AA18</f>
        <v>-303585.00000000006</v>
      </c>
      <c r="AB16" s="7">
        <f>-'All Spend'!AB18</f>
        <v>-303585.00000000006</v>
      </c>
      <c r="AC16" s="7">
        <f>-'All Spend'!AC18</f>
        <v>-303585.00000000006</v>
      </c>
      <c r="AE16" s="7">
        <f>-'All Spend'!AE18</f>
        <v>-318436.66666666669</v>
      </c>
      <c r="AF16" s="7">
        <f>-'All Spend'!AF18</f>
        <v>-318436.66666666669</v>
      </c>
      <c r="AG16" s="7">
        <f>-'All Spend'!AG18</f>
        <v>-318436.66666666669</v>
      </c>
      <c r="AH16" s="7">
        <f>-'All Spend'!AH18</f>
        <v>-200684.16666666666</v>
      </c>
      <c r="AI16" s="7">
        <f>-'All Spend'!AI18</f>
        <v>-200684.16666666666</v>
      </c>
      <c r="AJ16" s="7">
        <f>-'All Spend'!AJ18</f>
        <v>-200684.16666666666</v>
      </c>
      <c r="AK16" s="7">
        <f>-'All Spend'!AK18</f>
        <v>-238874.16666666666</v>
      </c>
      <c r="AL16" s="7">
        <f>-'All Spend'!AL18</f>
        <v>-238874.16666666666</v>
      </c>
      <c r="AM16" s="7">
        <f>-'All Spend'!AM18</f>
        <v>-238874.16666666666</v>
      </c>
      <c r="AN16" s="7">
        <f>-'All Spend'!AN18</f>
        <v>-238874.16666666666</v>
      </c>
      <c r="AO16" s="7">
        <f>-'All Spend'!AO18</f>
        <v>-238874.16666666666</v>
      </c>
      <c r="AP16" s="7">
        <f>-'All Spend'!AP18</f>
        <v>-244708.74999999997</v>
      </c>
    </row>
    <row r="17" spans="2:42" x14ac:dyDescent="0.25">
      <c r="B17" s="7" t="s">
        <v>50</v>
      </c>
      <c r="E17" s="7">
        <f>-'All Spend'!E67</f>
        <v>-9000</v>
      </c>
      <c r="F17" s="7">
        <f>-'All Spend'!F67</f>
        <v>-9000</v>
      </c>
      <c r="G17" s="7">
        <f>-'All Spend'!G67</f>
        <v>-9000</v>
      </c>
      <c r="H17" s="7">
        <f>-'All Spend'!H67</f>
        <v>-9000</v>
      </c>
      <c r="I17" s="7">
        <f>-'All Spend'!I67</f>
        <v>-9000</v>
      </c>
      <c r="J17" s="7">
        <f>-'All Spend'!J67</f>
        <v>-9000</v>
      </c>
      <c r="K17" s="7">
        <f>-'All Spend'!K67</f>
        <v>-9000</v>
      </c>
      <c r="L17" s="7">
        <f>-'All Spend'!L67</f>
        <v>-9000</v>
      </c>
      <c r="M17" s="7">
        <f>-'All Spend'!M67</f>
        <v>-9000</v>
      </c>
      <c r="N17" s="7">
        <f>-'All Spend'!N67</f>
        <v>-9000</v>
      </c>
      <c r="O17" s="7">
        <f>-'All Spend'!O67</f>
        <v>-9000</v>
      </c>
      <c r="P17" s="7">
        <f>-'All Spend'!P67</f>
        <v>-9000</v>
      </c>
      <c r="R17" s="7">
        <f>-'All Spend'!R67</f>
        <v>-18000</v>
      </c>
      <c r="S17" s="7">
        <f>-'All Spend'!S67</f>
        <v>-18000</v>
      </c>
      <c r="T17" s="7">
        <f>-'All Spend'!T67</f>
        <v>-18000</v>
      </c>
      <c r="U17" s="7">
        <f>-'All Spend'!U67</f>
        <v>-18000</v>
      </c>
      <c r="V17" s="7">
        <f>-'All Spend'!V67</f>
        <v>-18000</v>
      </c>
      <c r="W17" s="7">
        <f>-'All Spend'!W67</f>
        <v>-18000</v>
      </c>
      <c r="X17" s="7">
        <f>-'All Spend'!X67</f>
        <v>-18000</v>
      </c>
      <c r="Y17" s="7">
        <f>-'All Spend'!Y67</f>
        <v>-18000</v>
      </c>
      <c r="Z17" s="7">
        <f>-'All Spend'!Z67</f>
        <v>-18000</v>
      </c>
      <c r="AA17" s="7">
        <f>-'All Spend'!AA67</f>
        <v>-18000</v>
      </c>
      <c r="AB17" s="7">
        <f>-'All Spend'!AB67</f>
        <v>-18000</v>
      </c>
      <c r="AC17" s="7">
        <f>-'All Spend'!AC67</f>
        <v>-18000</v>
      </c>
      <c r="AE17" s="7">
        <f>-'All Spend'!AE67</f>
        <v>-18540</v>
      </c>
      <c r="AF17" s="7">
        <f>-'All Spend'!AF67</f>
        <v>-18540</v>
      </c>
      <c r="AG17" s="7">
        <f>-'All Spend'!AG67</f>
        <v>-18540</v>
      </c>
      <c r="AH17" s="7">
        <f>-'All Spend'!AH67</f>
        <v>-18540</v>
      </c>
      <c r="AI17" s="7">
        <f>-'All Spend'!AI67</f>
        <v>-18540</v>
      </c>
      <c r="AJ17" s="7">
        <f>-'All Spend'!AJ67</f>
        <v>-18540</v>
      </c>
      <c r="AK17" s="7">
        <f>-'All Spend'!AK67</f>
        <v>-18540</v>
      </c>
      <c r="AL17" s="7">
        <f>-'All Spend'!AL67</f>
        <v>-18540</v>
      </c>
      <c r="AM17" s="7">
        <f>-'All Spend'!AM67</f>
        <v>-18540</v>
      </c>
      <c r="AN17" s="7">
        <f>-'All Spend'!AN67</f>
        <v>-18540</v>
      </c>
      <c r="AO17" s="7">
        <f>-'All Spend'!AO67</f>
        <v>-18540</v>
      </c>
      <c r="AP17" s="7">
        <f>-'All Spend'!AP67</f>
        <v>-18540</v>
      </c>
    </row>
    <row r="18" spans="2:42" x14ac:dyDescent="0.25">
      <c r="B18" s="7" t="s">
        <v>53</v>
      </c>
      <c r="E18" s="7">
        <f>-'All Spend'!E71</f>
        <v>-3799</v>
      </c>
      <c r="F18" s="7">
        <f>-'All Spend'!F71</f>
        <v>-3799</v>
      </c>
      <c r="G18" s="7">
        <f>-'All Spend'!G71</f>
        <v>-3799</v>
      </c>
      <c r="H18" s="7">
        <f>-'All Spend'!H71</f>
        <v>-5298.0025252525256</v>
      </c>
      <c r="I18" s="7">
        <f>-'All Spend'!I71</f>
        <v>-5298.0025252525256</v>
      </c>
      <c r="J18" s="7">
        <f>-'All Spend'!J71</f>
        <v>-5298.0025252525256</v>
      </c>
      <c r="K18" s="7">
        <f>-'All Spend'!K71</f>
        <v>-5298.0025252525256</v>
      </c>
      <c r="L18" s="7">
        <f>-'All Spend'!L71</f>
        <v>-5298.0025252525256</v>
      </c>
      <c r="M18" s="7">
        <f>-'All Spend'!M71</f>
        <v>-5298.0025252525256</v>
      </c>
      <c r="N18" s="7">
        <f>-'All Spend'!N71</f>
        <v>-5298.0025252525256</v>
      </c>
      <c r="O18" s="7">
        <f>-'All Spend'!O71</f>
        <v>-5298.0025252525256</v>
      </c>
      <c r="P18" s="7">
        <f>-'All Spend'!P71</f>
        <v>-5298.0025252525256</v>
      </c>
      <c r="R18" s="7">
        <f>-'All Spend'!R71</f>
        <v>-5459.1136363636369</v>
      </c>
      <c r="S18" s="7">
        <f>-'All Spend'!S71</f>
        <v>-5459.1136363636369</v>
      </c>
      <c r="T18" s="7">
        <f>-'All Spend'!T71</f>
        <v>-5459.1136363636369</v>
      </c>
      <c r="U18" s="7">
        <f>-'All Spend'!U71</f>
        <v>-5459.1136363636369</v>
      </c>
      <c r="V18" s="7">
        <f>-'All Spend'!V71</f>
        <v>-5459.1136363636369</v>
      </c>
      <c r="W18" s="7">
        <f>-'All Spend'!W71</f>
        <v>-5459.1136363636369</v>
      </c>
      <c r="X18" s="7">
        <f>-'All Spend'!X71</f>
        <v>-5459.1136363636369</v>
      </c>
      <c r="Y18" s="7">
        <f>-'All Spend'!Y71</f>
        <v>-5459.1136363636369</v>
      </c>
      <c r="Z18" s="7">
        <f>-'All Spend'!Z71</f>
        <v>-5459.1136363636369</v>
      </c>
      <c r="AA18" s="7">
        <f>-'All Spend'!AA71</f>
        <v>-5459.1136363636369</v>
      </c>
      <c r="AB18" s="7">
        <f>-'All Spend'!AB71</f>
        <v>-5459.1136363636369</v>
      </c>
      <c r="AC18" s="7">
        <f>-'All Spend'!AC71</f>
        <v>-5459.1136363636369</v>
      </c>
      <c r="AE18" s="7">
        <f>-'All Spend'!AE71</f>
        <v>-5459.1136363636369</v>
      </c>
      <c r="AF18" s="7">
        <f>-'All Spend'!AF71</f>
        <v>-5459.1136363636369</v>
      </c>
      <c r="AG18" s="7">
        <f>-'All Spend'!AG71</f>
        <v>-5459.1136363636369</v>
      </c>
      <c r="AH18" s="7">
        <f>-'All Spend'!AH71</f>
        <v>-5459.1136363636369</v>
      </c>
      <c r="AI18" s="7">
        <f>-'All Spend'!AI71</f>
        <v>-5459.1136363636369</v>
      </c>
      <c r="AJ18" s="7">
        <f>-'All Spend'!AJ71</f>
        <v>-11292.44696969697</v>
      </c>
      <c r="AK18" s="7">
        <f>-'All Spend'!AK71</f>
        <v>-11292.44696969697</v>
      </c>
      <c r="AL18" s="7">
        <f>-'All Spend'!AL71</f>
        <v>-11292.44696969697</v>
      </c>
      <c r="AM18" s="7">
        <f>-'All Spend'!AM71</f>
        <v>-11292.44696969697</v>
      </c>
      <c r="AN18" s="7">
        <f>-'All Spend'!AN71</f>
        <v>-11292.44696969697</v>
      </c>
      <c r="AO18" s="7">
        <f>-'All Spend'!AO71</f>
        <v>-11292.44696969697</v>
      </c>
      <c r="AP18" s="7">
        <f>-'All Spend'!AP71</f>
        <v>-11292.44696969697</v>
      </c>
    </row>
    <row r="20" spans="2:42" x14ac:dyDescent="0.25">
      <c r="B20" s="7" t="s">
        <v>319</v>
      </c>
      <c r="E20" s="14">
        <f>SUM(E15:E19)</f>
        <v>194254</v>
      </c>
      <c r="F20" s="14">
        <f t="shared" ref="F20:P20" si="51">SUM(F15:F19)</f>
        <v>20283.000000000015</v>
      </c>
      <c r="G20" s="14">
        <f t="shared" si="51"/>
        <v>45283.000000000015</v>
      </c>
      <c r="H20" s="14">
        <f t="shared" si="51"/>
        <v>51670.999999999985</v>
      </c>
      <c r="I20" s="14">
        <f t="shared" si="51"/>
        <v>33282.999999999985</v>
      </c>
      <c r="J20" s="14">
        <f t="shared" si="51"/>
        <v>64884.999999999985</v>
      </c>
      <c r="K20" s="14">
        <f t="shared" si="51"/>
        <v>69210</v>
      </c>
      <c r="L20" s="14">
        <f t="shared" si="51"/>
        <v>80292.5</v>
      </c>
      <c r="M20" s="14">
        <f t="shared" si="51"/>
        <v>99900</v>
      </c>
      <c r="N20" s="14">
        <f t="shared" si="51"/>
        <v>19409.999999999996</v>
      </c>
      <c r="O20" s="14">
        <f t="shared" si="51"/>
        <v>64700</v>
      </c>
      <c r="P20" s="14">
        <f t="shared" si="51"/>
        <v>215063.33333333334</v>
      </c>
      <c r="R20" s="14">
        <f t="shared" ref="R20:AC20" si="52">SUM(R15:R19)</f>
        <v>65260.000000000007</v>
      </c>
      <c r="S20" s="14">
        <f t="shared" si="52"/>
        <v>35350.000000000007</v>
      </c>
      <c r="T20" s="14">
        <f t="shared" si="52"/>
        <v>40600.000000000007</v>
      </c>
      <c r="U20" s="14">
        <f t="shared" si="52"/>
        <v>32310.000000000011</v>
      </c>
      <c r="V20" s="14">
        <f t="shared" si="52"/>
        <v>79650.000000000044</v>
      </c>
      <c r="W20" s="14">
        <f t="shared" si="52"/>
        <v>69650.000000000015</v>
      </c>
      <c r="X20" s="14">
        <f t="shared" si="52"/>
        <v>35910.000000000007</v>
      </c>
      <c r="Y20" s="14">
        <f t="shared" si="52"/>
        <v>47800.000000000007</v>
      </c>
      <c r="Z20" s="14">
        <f t="shared" si="52"/>
        <v>52900.000000000007</v>
      </c>
      <c r="AA20" s="14">
        <f t="shared" si="52"/>
        <v>33710.000000000007</v>
      </c>
      <c r="AB20" s="14">
        <f t="shared" si="52"/>
        <v>44100.000000000007</v>
      </c>
      <c r="AC20" s="14">
        <f t="shared" si="52"/>
        <v>35350.000000000007</v>
      </c>
      <c r="AE20" s="14">
        <f t="shared" ref="AE20:AP20" si="53">SUM(AE15:AE19)</f>
        <v>71812.500000000015</v>
      </c>
      <c r="AF20" s="14">
        <f t="shared" si="53"/>
        <v>50602.500000000007</v>
      </c>
      <c r="AG20" s="14">
        <f t="shared" si="53"/>
        <v>56602.500000000007</v>
      </c>
      <c r="AH20" s="14">
        <f t="shared" si="53"/>
        <v>43762.499999999978</v>
      </c>
      <c r="AI20" s="14">
        <f t="shared" si="53"/>
        <v>47802.499999999978</v>
      </c>
      <c r="AJ20" s="14">
        <f t="shared" si="53"/>
        <v>59202.499999999964</v>
      </c>
      <c r="AK20" s="14">
        <f t="shared" si="53"/>
        <v>45762.499999999964</v>
      </c>
      <c r="AL20" s="14">
        <f t="shared" si="53"/>
        <v>40802.499999999964</v>
      </c>
      <c r="AM20" s="14">
        <f t="shared" si="53"/>
        <v>45802.499999999964</v>
      </c>
      <c r="AN20" s="14">
        <f t="shared" si="53"/>
        <v>41762.499999999964</v>
      </c>
      <c r="AO20" s="14">
        <f t="shared" si="53"/>
        <v>40802.499999999964</v>
      </c>
      <c r="AP20" s="14">
        <f t="shared" si="53"/>
        <v>55802.500000000022</v>
      </c>
    </row>
    <row r="21" spans="2:42" x14ac:dyDescent="0.25">
      <c r="B21" s="7" t="s">
        <v>320</v>
      </c>
      <c r="E21" s="7">
        <f>+CAPEX!E48</f>
        <v>219940</v>
      </c>
      <c r="F21" s="7">
        <f>+CAPEX!F48</f>
        <v>0</v>
      </c>
      <c r="G21" s="7">
        <f>+CAPEX!G48</f>
        <v>0</v>
      </c>
      <c r="H21" s="7">
        <f>+CAPEX!H48</f>
        <v>80425</v>
      </c>
      <c r="I21" s="7">
        <f>+CAPEX!I48</f>
        <v>0</v>
      </c>
      <c r="J21" s="7">
        <f>+CAPEX!J48</f>
        <v>0</v>
      </c>
      <c r="K21" s="7">
        <f>+CAPEX!K48</f>
        <v>0</v>
      </c>
      <c r="L21" s="7">
        <f>+CAPEX!L48</f>
        <v>0</v>
      </c>
      <c r="M21" s="7">
        <f>+CAPEX!M48</f>
        <v>0</v>
      </c>
      <c r="N21" s="7">
        <f>+CAPEX!N48</f>
        <v>0</v>
      </c>
      <c r="O21" s="7">
        <f>+CAPEX!O48</f>
        <v>0</v>
      </c>
      <c r="P21" s="7">
        <f>+CAPEX!P48</f>
        <v>0</v>
      </c>
      <c r="R21" s="7">
        <f>+CAPEX!R48</f>
        <v>7000</v>
      </c>
      <c r="S21" s="7">
        <f>+CAPEX!S48</f>
        <v>0</v>
      </c>
      <c r="T21" s="7">
        <f>+CAPEX!T48</f>
        <v>0</v>
      </c>
      <c r="U21" s="7">
        <f>+CAPEX!U48</f>
        <v>0</v>
      </c>
      <c r="V21" s="7">
        <f>+CAPEX!V48</f>
        <v>0</v>
      </c>
      <c r="W21" s="7">
        <f>+CAPEX!W48</f>
        <v>0</v>
      </c>
      <c r="X21" s="7">
        <f>+CAPEX!X48</f>
        <v>0</v>
      </c>
      <c r="Y21" s="7">
        <f>+CAPEX!Y48</f>
        <v>0</v>
      </c>
      <c r="Z21" s="7">
        <f>+CAPEX!Z48</f>
        <v>0</v>
      </c>
      <c r="AA21" s="7">
        <f>+CAPEX!AA48</f>
        <v>0</v>
      </c>
      <c r="AB21" s="7">
        <f>+CAPEX!AB48</f>
        <v>0</v>
      </c>
      <c r="AC21" s="7">
        <f>+CAPEX!AC48</f>
        <v>0</v>
      </c>
      <c r="AE21" s="7">
        <f>+CAPEX!AE48</f>
        <v>0</v>
      </c>
      <c r="AF21" s="7">
        <f>+CAPEX!AF48</f>
        <v>0</v>
      </c>
      <c r="AG21" s="7">
        <f>+CAPEX!AG48</f>
        <v>0</v>
      </c>
      <c r="AH21" s="7">
        <f>+CAPEX!AH48</f>
        <v>0</v>
      </c>
      <c r="AI21" s="7">
        <f>+CAPEX!AI48</f>
        <v>0</v>
      </c>
      <c r="AJ21" s="7">
        <f>+CAPEX!AJ48</f>
        <v>350000</v>
      </c>
      <c r="AK21" s="7">
        <f>+CAPEX!AK48</f>
        <v>0</v>
      </c>
      <c r="AL21" s="7">
        <f>+CAPEX!AL48</f>
        <v>0</v>
      </c>
      <c r="AM21" s="7">
        <f>+CAPEX!AM48</f>
        <v>0</v>
      </c>
      <c r="AN21" s="7">
        <f>+CAPEX!AN48</f>
        <v>0</v>
      </c>
      <c r="AO21" s="7">
        <f>+CAPEX!AO48</f>
        <v>0</v>
      </c>
      <c r="AP21" s="7">
        <f>+CAPEX!AP48</f>
        <v>0</v>
      </c>
    </row>
    <row r="22" spans="2:42" x14ac:dyDescent="0.25">
      <c r="B22" s="7" t="s">
        <v>321</v>
      </c>
      <c r="E22" s="7">
        <f>+Production!E71+Production!E79</f>
        <v>0</v>
      </c>
      <c r="F22" s="7">
        <f>+Production!F71+Production!F79</f>
        <v>0</v>
      </c>
      <c r="G22" s="7">
        <f>+Production!G71+Production!G79</f>
        <v>0</v>
      </c>
      <c r="H22" s="7">
        <f>+Production!H71+Production!H79</f>
        <v>0</v>
      </c>
      <c r="I22" s="7">
        <f>+Production!I71+Production!I79</f>
        <v>0</v>
      </c>
      <c r="J22" s="7">
        <f>+Production!J71+Production!J79</f>
        <v>0</v>
      </c>
      <c r="K22" s="7">
        <f>+Production!K71+Production!K79</f>
        <v>0</v>
      </c>
      <c r="L22" s="7">
        <f>+Production!L71+Production!L79</f>
        <v>0</v>
      </c>
      <c r="M22" s="7">
        <f>+Production!M71+Production!M79</f>
        <v>0</v>
      </c>
      <c r="N22" s="7">
        <f>+Production!N71+Production!N79</f>
        <v>0</v>
      </c>
      <c r="O22" s="7">
        <f>+Production!O71+Production!O79</f>
        <v>0</v>
      </c>
      <c r="P22" s="7">
        <f>+Production!P71+Production!P79</f>
        <v>0</v>
      </c>
      <c r="R22" s="7">
        <f>+Production!R71+Production!R79</f>
        <v>0</v>
      </c>
      <c r="S22" s="7">
        <f>+Production!S71+Production!S79</f>
        <v>0</v>
      </c>
      <c r="T22" s="7">
        <f>+Production!T71+Production!T79</f>
        <v>21770</v>
      </c>
      <c r="U22" s="7">
        <f>+Production!U71+Production!U79</f>
        <v>36283.333333333343</v>
      </c>
      <c r="V22" s="7">
        <f>+Production!V71+Production!V79</f>
        <v>89666.666666666686</v>
      </c>
      <c r="W22" s="7">
        <f>+Production!W71+Production!W79</f>
        <v>269867.55010273983</v>
      </c>
      <c r="X22" s="7">
        <f>+Production!X71+Production!X79</f>
        <v>76092.697101051803</v>
      </c>
      <c r="Y22" s="7">
        <f>+Production!Y71+Production!Y79</f>
        <v>276045.17708968685</v>
      </c>
      <c r="Z22" s="7">
        <f>+Production!Z71+Production!Z79</f>
        <v>51511.886499033004</v>
      </c>
      <c r="AA22" s="7">
        <f>+Production!AA71+Production!AA79</f>
        <v>96304.059101595616</v>
      </c>
      <c r="AB22" s="7">
        <f>+Production!AB71+Production!AB79</f>
        <v>266723.69215904747</v>
      </c>
      <c r="AC22" s="7">
        <f>+Production!AC71+Production!AC79</f>
        <v>83651.669149994254</v>
      </c>
      <c r="AE22" s="7">
        <f>+Production!AE71+Production!AE79+IF(Production!AE25="NO",0,Production!AE17)</f>
        <v>88989.032912639101</v>
      </c>
      <c r="AF22" s="7">
        <f>+Production!AF71+Production!AF79+IF(Production!AF25="NO",0,Production!AF17)</f>
        <v>266005.93588421249</v>
      </c>
      <c r="AG22" s="7">
        <f>+Production!AG71+Production!AG79+IF(Production!AG25="NO",0,Production!AG17)</f>
        <v>0</v>
      </c>
      <c r="AH22" s="7">
        <f>+Production!AH71+Production!AH79+IF(Production!AH25="NO",0,Production!AH17)</f>
        <v>159863.00000000006</v>
      </c>
      <c r="AI22" s="7">
        <f>+Production!AI71+Production!AI79+IF(Production!AI25="NO",0,Production!AI17)</f>
        <v>741563.00000000023</v>
      </c>
      <c r="AJ22" s="7">
        <f>+Production!AJ71+Production!AJ79+IF(Production!AJ25="NO",0,Production!AJ17)</f>
        <v>159863.00000000012</v>
      </c>
      <c r="AK22" s="7">
        <f>+Production!AK71+Production!AK79+IF(Production!AK25="NO",0,Production!AK17)</f>
        <v>181225.00000000006</v>
      </c>
      <c r="AL22" s="7">
        <f>+Production!AL71+Production!AL79+IF(Production!AL25="NO",0,Production!AL17)</f>
        <v>768581.16666666698</v>
      </c>
      <c r="AM22" s="7">
        <f>+Production!AM71+Production!AM79+IF(Production!AM25="NO",0,Production!AM17)</f>
        <v>187031.16666666674</v>
      </c>
      <c r="AN22" s="7">
        <f>+Production!AN71+Production!AN79+IF(Production!AN25="NO",0,Production!AN17)</f>
        <v>176586.66666666669</v>
      </c>
      <c r="AO22" s="7">
        <f>+Production!AO71+Production!AO79+IF(Production!AO25="NO",0,Production!AO17)</f>
        <v>189200.00000000006</v>
      </c>
      <c r="AP22" s="7">
        <f>+Production!AP71+Production!AP79</f>
        <v>381150.00000000023</v>
      </c>
    </row>
    <row r="24" spans="2:42" x14ac:dyDescent="0.25">
      <c r="B24" s="7" t="s">
        <v>322</v>
      </c>
      <c r="E24" s="14">
        <f>SUM(E20:E23)</f>
        <v>414194</v>
      </c>
      <c r="F24" s="14">
        <f t="shared" ref="F24:P24" si="54">SUM(F20:F23)</f>
        <v>20283.000000000015</v>
      </c>
      <c r="G24" s="14">
        <f t="shared" si="54"/>
        <v>45283.000000000015</v>
      </c>
      <c r="H24" s="14">
        <f t="shared" si="54"/>
        <v>132096</v>
      </c>
      <c r="I24" s="14">
        <f t="shared" si="54"/>
        <v>33282.999999999985</v>
      </c>
      <c r="J24" s="14">
        <f t="shared" si="54"/>
        <v>64884.999999999985</v>
      </c>
      <c r="K24" s="14">
        <f t="shared" si="54"/>
        <v>69210</v>
      </c>
      <c r="L24" s="14">
        <f t="shared" si="54"/>
        <v>80292.5</v>
      </c>
      <c r="M24" s="14">
        <f t="shared" si="54"/>
        <v>99900</v>
      </c>
      <c r="N24" s="14">
        <f t="shared" si="54"/>
        <v>19409.999999999996</v>
      </c>
      <c r="O24" s="14">
        <f t="shared" si="54"/>
        <v>64700</v>
      </c>
      <c r="P24" s="14">
        <f t="shared" si="54"/>
        <v>215063.33333333334</v>
      </c>
      <c r="R24" s="14">
        <f t="shared" ref="R24:AC24" si="55">SUM(R20:R23)</f>
        <v>72260</v>
      </c>
      <c r="S24" s="14">
        <f t="shared" si="55"/>
        <v>35350.000000000007</v>
      </c>
      <c r="T24" s="14">
        <f t="shared" si="55"/>
        <v>62370.000000000007</v>
      </c>
      <c r="U24" s="14">
        <f t="shared" si="55"/>
        <v>68593.333333333358</v>
      </c>
      <c r="V24" s="14">
        <f t="shared" si="55"/>
        <v>169316.66666666674</v>
      </c>
      <c r="W24" s="14">
        <f t="shared" si="55"/>
        <v>339517.55010273983</v>
      </c>
      <c r="X24" s="14">
        <f t="shared" si="55"/>
        <v>112002.6971010518</v>
      </c>
      <c r="Y24" s="14">
        <f t="shared" si="55"/>
        <v>323845.17708968685</v>
      </c>
      <c r="Z24" s="14">
        <f t="shared" si="55"/>
        <v>104411.88649903302</v>
      </c>
      <c r="AA24" s="14">
        <f t="shared" si="55"/>
        <v>130014.05910159563</v>
      </c>
      <c r="AB24" s="14">
        <f t="shared" si="55"/>
        <v>310823.69215904747</v>
      </c>
      <c r="AC24" s="14">
        <f t="shared" si="55"/>
        <v>119001.66914999427</v>
      </c>
      <c r="AE24" s="14">
        <f t="shared" ref="AE24:AP24" si="56">SUM(AE20:AE23)</f>
        <v>160801.53291263912</v>
      </c>
      <c r="AF24" s="14">
        <f t="shared" si="56"/>
        <v>316608.43588421249</v>
      </c>
      <c r="AG24" s="14">
        <f t="shared" si="56"/>
        <v>56602.500000000007</v>
      </c>
      <c r="AH24" s="14">
        <f t="shared" si="56"/>
        <v>203625.50000000003</v>
      </c>
      <c r="AI24" s="14">
        <f t="shared" si="56"/>
        <v>789365.50000000023</v>
      </c>
      <c r="AJ24" s="14">
        <f t="shared" si="56"/>
        <v>569065.5</v>
      </c>
      <c r="AK24" s="14">
        <f t="shared" si="56"/>
        <v>226987.50000000003</v>
      </c>
      <c r="AL24" s="14">
        <f t="shared" si="56"/>
        <v>809383.66666666698</v>
      </c>
      <c r="AM24" s="14">
        <f t="shared" si="56"/>
        <v>232833.66666666672</v>
      </c>
      <c r="AN24" s="14">
        <f t="shared" si="56"/>
        <v>218349.16666666666</v>
      </c>
      <c r="AO24" s="14">
        <f t="shared" si="56"/>
        <v>230002.50000000003</v>
      </c>
      <c r="AP24" s="14">
        <f t="shared" si="56"/>
        <v>436952.50000000023</v>
      </c>
    </row>
  </sheetData>
  <mergeCells count="3">
    <mergeCell ref="E3:P3"/>
    <mergeCell ref="R3:AC3"/>
    <mergeCell ref="AE3:AP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2"/>
  <sheetViews>
    <sheetView topLeftCell="M1" workbookViewId="0">
      <selection activeCell="R19" sqref="R19"/>
    </sheetView>
  </sheetViews>
  <sheetFormatPr defaultColWidth="10.25" defaultRowHeight="15.75" x14ac:dyDescent="0.25"/>
  <cols>
    <col min="1" max="1" width="3.375" customWidth="1"/>
    <col min="2" max="2" width="17.875" customWidth="1"/>
    <col min="3" max="3" width="8.75" customWidth="1"/>
    <col min="4" max="4" width="1.625" customWidth="1"/>
    <col min="5" max="5" width="16.875" customWidth="1"/>
    <col min="8" max="8" width="1.625" customWidth="1"/>
    <col min="9" max="9" width="20" customWidth="1"/>
    <col min="10" max="10" width="10.25" customWidth="1"/>
    <col min="11" max="11" width="1.625" customWidth="1"/>
    <col min="12" max="12" width="20" customWidth="1"/>
    <col min="14" max="14" width="1.25" customWidth="1"/>
    <col min="15" max="15" width="20.125" customWidth="1"/>
    <col min="17" max="17" width="2.25" customWidth="1"/>
    <col min="18" max="18" width="18.5" customWidth="1"/>
    <col min="19" max="19" width="18.5" style="243" customWidth="1"/>
  </cols>
  <sheetData>
    <row r="1" spans="1:27" x14ac:dyDescent="0.25">
      <c r="B1" s="4"/>
    </row>
    <row r="2" spans="1:27" x14ac:dyDescent="0.25">
      <c r="B2" s="4"/>
    </row>
    <row r="3" spans="1:27" x14ac:dyDescent="0.25">
      <c r="B3" s="422" t="s">
        <v>354</v>
      </c>
      <c r="C3" s="424"/>
      <c r="D3" s="2"/>
      <c r="E3" s="422" t="s">
        <v>358</v>
      </c>
      <c r="F3" s="423"/>
      <c r="G3" s="424"/>
      <c r="H3" s="2"/>
      <c r="I3" s="422" t="s">
        <v>359</v>
      </c>
      <c r="J3" s="424"/>
      <c r="K3" s="2"/>
      <c r="L3" s="422" t="s">
        <v>360</v>
      </c>
      <c r="M3" s="424"/>
      <c r="N3" s="2"/>
      <c r="O3" s="422" t="s">
        <v>361</v>
      </c>
      <c r="P3" s="424"/>
      <c r="R3" s="422" t="s">
        <v>641</v>
      </c>
      <c r="S3" s="423"/>
      <c r="T3" s="423"/>
      <c r="U3" s="423"/>
      <c r="V3" s="423"/>
      <c r="W3" s="423"/>
      <c r="X3" s="423"/>
      <c r="Y3" s="423"/>
      <c r="Z3" s="423"/>
      <c r="AA3" s="424"/>
    </row>
    <row r="4" spans="1:27" ht="24" customHeight="1" thickBot="1" x14ac:dyDescent="0.3">
      <c r="A4" s="1"/>
      <c r="B4" s="52" t="s">
        <v>355</v>
      </c>
      <c r="C4" s="53" t="s">
        <v>353</v>
      </c>
      <c r="D4" s="3"/>
      <c r="E4" s="52" t="s">
        <v>355</v>
      </c>
      <c r="F4" s="3" t="s">
        <v>356</v>
      </c>
      <c r="G4" s="53" t="s">
        <v>357</v>
      </c>
      <c r="H4" s="3"/>
      <c r="I4" s="52" t="s">
        <v>355</v>
      </c>
      <c r="J4" s="53" t="s">
        <v>353</v>
      </c>
      <c r="K4" s="3"/>
      <c r="L4" s="52" t="s">
        <v>355</v>
      </c>
      <c r="M4" s="53" t="s">
        <v>353</v>
      </c>
      <c r="N4" s="3"/>
      <c r="O4" s="52" t="s">
        <v>355</v>
      </c>
      <c r="P4" s="53" t="s">
        <v>353</v>
      </c>
      <c r="R4" s="262" t="s">
        <v>640</v>
      </c>
      <c r="S4" s="3"/>
      <c r="T4" s="255" t="s">
        <v>637</v>
      </c>
      <c r="U4" s="255" t="s">
        <v>359</v>
      </c>
      <c r="V4" s="255" t="s">
        <v>638</v>
      </c>
      <c r="W4" s="255" t="s">
        <v>627</v>
      </c>
      <c r="X4" s="255" t="s">
        <v>639</v>
      </c>
      <c r="Y4" s="255" t="s">
        <v>361</v>
      </c>
      <c r="Z4" s="255" t="s">
        <v>634</v>
      </c>
      <c r="AA4" s="256" t="s">
        <v>167</v>
      </c>
    </row>
    <row r="5" spans="1:27" x14ac:dyDescent="0.25">
      <c r="B5" s="54">
        <v>0</v>
      </c>
      <c r="C5" s="55">
        <v>0.35</v>
      </c>
      <c r="E5" s="54">
        <v>0</v>
      </c>
      <c r="F5" s="58">
        <v>500</v>
      </c>
      <c r="G5" s="59">
        <v>0.5</v>
      </c>
      <c r="I5" s="54">
        <v>0</v>
      </c>
      <c r="J5" s="62">
        <v>0.34</v>
      </c>
      <c r="L5" s="54">
        <v>0</v>
      </c>
      <c r="M5" s="62">
        <v>0.05</v>
      </c>
      <c r="O5" s="54">
        <v>0</v>
      </c>
      <c r="P5" s="62">
        <v>0.05</v>
      </c>
      <c r="R5" s="244">
        <v>0</v>
      </c>
      <c r="S5" s="257"/>
      <c r="T5" s="28">
        <f>+'Sales Projections'!$R$2</f>
        <v>0.4</v>
      </c>
      <c r="U5" s="28">
        <f>+'Sales Projections'!$R$3</f>
        <v>0.34</v>
      </c>
      <c r="V5" s="28">
        <f>+'Sales Projections'!$R$4</f>
        <v>0.19500000000000001</v>
      </c>
      <c r="W5" s="28">
        <f>+'Sales Projections'!$R$5</f>
        <v>0.17</v>
      </c>
      <c r="X5" s="28">
        <f>+'Sales Projections'!$R$6</f>
        <v>0.05</v>
      </c>
      <c r="Y5" s="28">
        <f>+'Sales Projections'!$R$7</f>
        <v>0.05</v>
      </c>
      <c r="Z5" s="28">
        <f>+'Sales Projections'!$R$8</f>
        <v>0.05</v>
      </c>
      <c r="AA5" s="258">
        <f>SUM(T5:Z5)</f>
        <v>1.2550000000000001</v>
      </c>
    </row>
    <row r="6" spans="1:27" x14ac:dyDescent="0.25">
      <c r="B6" s="54">
        <v>600</v>
      </c>
      <c r="C6" s="55">
        <v>0.13</v>
      </c>
      <c r="E6" s="54">
        <v>5000</v>
      </c>
      <c r="F6" s="58">
        <f>+F5</f>
        <v>500</v>
      </c>
      <c r="G6" s="59">
        <f t="shared" ref="G6:G12" si="0">+G5</f>
        <v>0.5</v>
      </c>
      <c r="I6" s="54">
        <v>5000</v>
      </c>
      <c r="J6" s="62">
        <f>+J5</f>
        <v>0.34</v>
      </c>
      <c r="L6" s="54">
        <v>5000</v>
      </c>
      <c r="M6" s="62">
        <f>+M5</f>
        <v>0.05</v>
      </c>
      <c r="O6" s="54">
        <v>5000</v>
      </c>
      <c r="P6" s="62">
        <f>+P5</f>
        <v>0.05</v>
      </c>
      <c r="R6" s="54">
        <v>100000</v>
      </c>
      <c r="S6" s="257"/>
      <c r="T6" s="28">
        <f>+'Sales Projections'!$R$2</f>
        <v>0.4</v>
      </c>
      <c r="U6" s="28">
        <f>+'Sales Projections'!$R$3</f>
        <v>0.34</v>
      </c>
      <c r="V6" s="28">
        <f>+'Sales Projections'!$R$4</f>
        <v>0.19500000000000001</v>
      </c>
      <c r="W6" s="28">
        <f>+'Sales Projections'!$R$5</f>
        <v>0.17</v>
      </c>
      <c r="X6" s="28">
        <f>+'Sales Projections'!$R$6</f>
        <v>0.05</v>
      </c>
      <c r="Y6" s="28">
        <f>+'Sales Projections'!$R$7</f>
        <v>0.05</v>
      </c>
      <c r="Z6" s="28">
        <f>+'Sales Projections'!$R$8</f>
        <v>0.05</v>
      </c>
      <c r="AA6" s="258">
        <f>SUM(T6:Z6)</f>
        <v>1.2550000000000001</v>
      </c>
    </row>
    <row r="7" spans="1:27" x14ac:dyDescent="0.25">
      <c r="B7" s="54">
        <v>2000</v>
      </c>
      <c r="C7" s="55">
        <v>0.08</v>
      </c>
      <c r="E7" s="54">
        <v>10000</v>
      </c>
      <c r="F7" s="58">
        <f t="shared" ref="F7:F12" si="1">+F6</f>
        <v>500</v>
      </c>
      <c r="G7" s="59">
        <f t="shared" si="0"/>
        <v>0.5</v>
      </c>
      <c r="I7" s="54">
        <v>10000</v>
      </c>
      <c r="J7" s="62">
        <f t="shared" ref="J7:J12" si="2">+J6</f>
        <v>0.34</v>
      </c>
      <c r="L7" s="54">
        <v>10000</v>
      </c>
      <c r="M7" s="62">
        <f t="shared" ref="M7:M12" si="3">+M6</f>
        <v>0.05</v>
      </c>
      <c r="O7" s="54">
        <v>10000</v>
      </c>
      <c r="P7" s="62">
        <f t="shared" ref="P7:P12" si="4">+P6</f>
        <v>0.05</v>
      </c>
      <c r="R7" s="54">
        <v>500000</v>
      </c>
      <c r="S7" s="257"/>
      <c r="T7" s="28">
        <f>+'Sales Projections'!$S$2</f>
        <v>0.4</v>
      </c>
      <c r="U7" s="28">
        <f>+'Sales Projections'!$S$3</f>
        <v>0.34</v>
      </c>
      <c r="V7" s="28">
        <f>+'Sales Projections'!$S$4</f>
        <v>0.14100000000000001</v>
      </c>
      <c r="W7" s="28">
        <f>+'Sales Projections'!$S$5</f>
        <v>0.17</v>
      </c>
      <c r="X7" s="28">
        <f>+'Sales Projections'!$S$6</f>
        <v>0.05</v>
      </c>
      <c r="Y7" s="28">
        <f>+'Sales Projections'!$S$7</f>
        <v>0.05</v>
      </c>
      <c r="Z7" s="28">
        <f>+'Sales Projections'!$S$8</f>
        <v>0.05</v>
      </c>
      <c r="AA7" s="258">
        <f t="shared" ref="AA7:AA10" si="5">SUM(T7:Z7)</f>
        <v>1.2010000000000001</v>
      </c>
    </row>
    <row r="8" spans="1:27" x14ac:dyDescent="0.25">
      <c r="B8" s="54">
        <v>5000</v>
      </c>
      <c r="C8" s="55">
        <v>0.05</v>
      </c>
      <c r="E8" s="54">
        <v>20000</v>
      </c>
      <c r="F8" s="58">
        <f t="shared" si="1"/>
        <v>500</v>
      </c>
      <c r="G8" s="59">
        <f t="shared" si="0"/>
        <v>0.5</v>
      </c>
      <c r="I8" s="54">
        <v>20000</v>
      </c>
      <c r="J8" s="62">
        <f t="shared" si="2"/>
        <v>0.34</v>
      </c>
      <c r="L8" s="54">
        <v>20000</v>
      </c>
      <c r="M8" s="62">
        <f t="shared" si="3"/>
        <v>0.05</v>
      </c>
      <c r="O8" s="54">
        <v>20000</v>
      </c>
      <c r="P8" s="62">
        <f t="shared" si="4"/>
        <v>0.05</v>
      </c>
      <c r="R8" s="54">
        <v>1000000</v>
      </c>
      <c r="S8" s="257"/>
      <c r="T8" s="28">
        <f>+'Sales Projections'!$T$2</f>
        <v>0.4</v>
      </c>
      <c r="U8" s="28">
        <f>+'Sales Projections'!$T$3</f>
        <v>0.34</v>
      </c>
      <c r="V8" s="28">
        <f>+'Sales Projections'!$T$4</f>
        <v>0.13800000000000001</v>
      </c>
      <c r="W8" s="28">
        <f>+'Sales Projections'!$T$5</f>
        <v>0.17</v>
      </c>
      <c r="X8" s="28">
        <f>+'Sales Projections'!$T$6</f>
        <v>0.05</v>
      </c>
      <c r="Y8" s="28">
        <f>+'Sales Projections'!$T$7</f>
        <v>0.05</v>
      </c>
      <c r="Z8" s="28">
        <f>+'Sales Projections'!$T$8</f>
        <v>0.05</v>
      </c>
      <c r="AA8" s="258">
        <f t="shared" si="5"/>
        <v>1.1980000000000002</v>
      </c>
    </row>
    <row r="9" spans="1:27" x14ac:dyDescent="0.25">
      <c r="B9" s="54">
        <v>10000</v>
      </c>
      <c r="C9" s="55">
        <f>+C8</f>
        <v>0.05</v>
      </c>
      <c r="E9" s="54">
        <v>30000</v>
      </c>
      <c r="F9" s="58">
        <f t="shared" si="1"/>
        <v>500</v>
      </c>
      <c r="G9" s="59">
        <f t="shared" si="0"/>
        <v>0.5</v>
      </c>
      <c r="I9" s="54">
        <v>30000</v>
      </c>
      <c r="J9" s="62">
        <f t="shared" si="2"/>
        <v>0.34</v>
      </c>
      <c r="L9" s="54">
        <v>30000</v>
      </c>
      <c r="M9" s="62">
        <f t="shared" si="3"/>
        <v>0.05</v>
      </c>
      <c r="O9" s="54">
        <v>30000</v>
      </c>
      <c r="P9" s="62">
        <f t="shared" si="4"/>
        <v>0.05</v>
      </c>
      <c r="R9" s="54">
        <v>5000000</v>
      </c>
      <c r="S9" s="257"/>
      <c r="T9" s="28">
        <f>+'Sales Projections'!$U$2</f>
        <v>0.4</v>
      </c>
      <c r="U9" s="28">
        <f>+'Sales Projections'!$U$3</f>
        <v>0.34</v>
      </c>
      <c r="V9" s="28">
        <f>+'Sales Projections'!$U$4</f>
        <v>0.13350000000000001</v>
      </c>
      <c r="W9" s="28">
        <f>+'Sales Projections'!$U$5</f>
        <v>0.17</v>
      </c>
      <c r="X9" s="28">
        <f>+'Sales Projections'!$U$6</f>
        <v>0.05</v>
      </c>
      <c r="Y9" s="28">
        <f>+'Sales Projections'!$U$7</f>
        <v>0.05</v>
      </c>
      <c r="Z9" s="28">
        <f>+'Sales Projections'!$U$8</f>
        <v>0.05</v>
      </c>
      <c r="AA9" s="258">
        <f t="shared" si="5"/>
        <v>1.1935</v>
      </c>
    </row>
    <row r="10" spans="1:27" x14ac:dyDescent="0.25">
      <c r="B10" s="54">
        <v>15000</v>
      </c>
      <c r="C10" s="55">
        <f t="shared" ref="C10:C11" si="6">+C9</f>
        <v>0.05</v>
      </c>
      <c r="E10" s="54">
        <v>40000</v>
      </c>
      <c r="F10" s="58">
        <f t="shared" si="1"/>
        <v>500</v>
      </c>
      <c r="G10" s="59">
        <f t="shared" si="0"/>
        <v>0.5</v>
      </c>
      <c r="I10" s="54">
        <v>40000</v>
      </c>
      <c r="J10" s="62">
        <f t="shared" si="2"/>
        <v>0.34</v>
      </c>
      <c r="L10" s="54">
        <v>40000</v>
      </c>
      <c r="M10" s="62">
        <f t="shared" si="3"/>
        <v>0.05</v>
      </c>
      <c r="O10" s="54">
        <v>40000</v>
      </c>
      <c r="P10" s="62">
        <f t="shared" si="4"/>
        <v>0.05</v>
      </c>
      <c r="R10" s="54">
        <v>10000000</v>
      </c>
      <c r="S10" s="257"/>
      <c r="T10" s="28">
        <f>+'Sales Projections'!$V$2</f>
        <v>0.4</v>
      </c>
      <c r="U10" s="28">
        <f>+'Sales Projections'!$V$3</f>
        <v>0.34</v>
      </c>
      <c r="V10" s="28">
        <f>+'Sales Projections'!$V$4</f>
        <v>0.11699999999999999</v>
      </c>
      <c r="W10" s="28">
        <f>+'Sales Projections'!$V$5</f>
        <v>0.17</v>
      </c>
      <c r="X10" s="28">
        <f>+'Sales Projections'!$V$6</f>
        <v>0.05</v>
      </c>
      <c r="Y10" s="28">
        <f>+'Sales Projections'!$V$7</f>
        <v>0.05</v>
      </c>
      <c r="Z10" s="28">
        <f>+'Sales Projections'!$V$8</f>
        <v>0.05</v>
      </c>
      <c r="AA10" s="258">
        <f t="shared" si="5"/>
        <v>1.177</v>
      </c>
    </row>
    <row r="11" spans="1:27" x14ac:dyDescent="0.25">
      <c r="B11" s="54">
        <v>50000</v>
      </c>
      <c r="C11" s="55">
        <f t="shared" si="6"/>
        <v>0.05</v>
      </c>
      <c r="E11" s="54">
        <v>50000</v>
      </c>
      <c r="F11" s="58">
        <f t="shared" si="1"/>
        <v>500</v>
      </c>
      <c r="G11" s="59">
        <f t="shared" si="0"/>
        <v>0.5</v>
      </c>
      <c r="I11" s="54">
        <v>50000</v>
      </c>
      <c r="J11" s="62">
        <f t="shared" si="2"/>
        <v>0.34</v>
      </c>
      <c r="L11" s="54">
        <v>50000</v>
      </c>
      <c r="M11" s="62">
        <f t="shared" si="3"/>
        <v>0.05</v>
      </c>
      <c r="O11" s="54">
        <v>50000</v>
      </c>
      <c r="P11" s="62">
        <f t="shared" si="4"/>
        <v>0.05</v>
      </c>
      <c r="R11" s="54">
        <v>30000000</v>
      </c>
      <c r="S11" s="257"/>
      <c r="T11" s="28">
        <v>999</v>
      </c>
      <c r="U11" s="28">
        <v>999</v>
      </c>
      <c r="V11" s="28">
        <v>999</v>
      </c>
      <c r="W11" s="28">
        <v>999</v>
      </c>
      <c r="X11" s="28">
        <v>999</v>
      </c>
      <c r="Y11" s="28">
        <v>999</v>
      </c>
      <c r="Z11" s="28">
        <v>999</v>
      </c>
      <c r="AA11" s="258">
        <f t="shared" ref="AA11:AA12" si="7">SUM(T11:Z11)</f>
        <v>6993</v>
      </c>
    </row>
    <row r="12" spans="1:27" x14ac:dyDescent="0.25">
      <c r="B12" s="56">
        <v>9999999999</v>
      </c>
      <c r="C12" s="57">
        <v>99999</v>
      </c>
      <c r="E12" s="56">
        <v>9999999999</v>
      </c>
      <c r="F12" s="60">
        <f t="shared" si="1"/>
        <v>500</v>
      </c>
      <c r="G12" s="61">
        <f t="shared" si="0"/>
        <v>0.5</v>
      </c>
      <c r="I12" s="56">
        <v>9999999999</v>
      </c>
      <c r="J12" s="63">
        <f t="shared" si="2"/>
        <v>0.34</v>
      </c>
      <c r="L12" s="56">
        <v>9999999999</v>
      </c>
      <c r="M12" s="63">
        <f t="shared" si="3"/>
        <v>0.05</v>
      </c>
      <c r="O12" s="56">
        <v>9999999999</v>
      </c>
      <c r="P12" s="63">
        <f t="shared" si="4"/>
        <v>0.05</v>
      </c>
      <c r="R12" s="56">
        <v>99999999999</v>
      </c>
      <c r="S12" s="259"/>
      <c r="T12" s="48">
        <v>999</v>
      </c>
      <c r="U12" s="48">
        <v>999</v>
      </c>
      <c r="V12" s="48">
        <v>999</v>
      </c>
      <c r="W12" s="48">
        <v>999</v>
      </c>
      <c r="X12" s="48">
        <v>999</v>
      </c>
      <c r="Y12" s="48">
        <v>999</v>
      </c>
      <c r="Z12" s="48">
        <v>999</v>
      </c>
      <c r="AA12" s="260">
        <f t="shared" si="7"/>
        <v>6993</v>
      </c>
    </row>
  </sheetData>
  <mergeCells count="6">
    <mergeCell ref="R3:AA3"/>
    <mergeCell ref="B3:C3"/>
    <mergeCell ref="E3:G3"/>
    <mergeCell ref="I3:J3"/>
    <mergeCell ref="L3:M3"/>
    <mergeCell ref="O3:P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8"/>
  <sheetViews>
    <sheetView topLeftCell="A98" workbookViewId="0">
      <selection activeCell="D108" sqref="D108"/>
    </sheetView>
  </sheetViews>
  <sheetFormatPr defaultColWidth="10.25" defaultRowHeight="15.75" x14ac:dyDescent="0.25"/>
  <cols>
    <col min="1" max="1" width="10.875" style="83" customWidth="1"/>
    <col min="2" max="2" width="9.625" style="85" customWidth="1"/>
    <col min="3" max="3" width="16.875" style="231" bestFit="1" customWidth="1"/>
    <col min="4" max="4" width="123.375" style="85" bestFit="1" customWidth="1"/>
    <col min="5" max="16384" width="10.25" style="85"/>
  </cols>
  <sheetData>
    <row r="1" spans="1:11" x14ac:dyDescent="0.25">
      <c r="A1" s="83" t="s">
        <v>405</v>
      </c>
      <c r="B1" s="84"/>
    </row>
    <row r="2" spans="1:11" x14ac:dyDescent="0.25">
      <c r="B2" s="84"/>
    </row>
    <row r="3" spans="1:11" x14ac:dyDescent="0.25">
      <c r="B3" s="86"/>
      <c r="C3" s="229"/>
      <c r="D3" s="86"/>
      <c r="E3" s="86"/>
      <c r="F3" s="86"/>
      <c r="G3" s="86"/>
      <c r="H3" s="86"/>
      <c r="I3" s="86"/>
      <c r="J3" s="86"/>
      <c r="K3" s="86"/>
    </row>
    <row r="4" spans="1:11" ht="16.5" thickBot="1" x14ac:dyDescent="0.3">
      <c r="A4" s="87" t="s">
        <v>391</v>
      </c>
      <c r="B4" s="88" t="s">
        <v>394</v>
      </c>
      <c r="C4" s="230" t="s">
        <v>392</v>
      </c>
      <c r="D4" s="88" t="s">
        <v>393</v>
      </c>
      <c r="E4" s="88"/>
      <c r="F4" s="88"/>
      <c r="G4" s="88"/>
      <c r="H4" s="88"/>
      <c r="I4" s="88"/>
      <c r="J4" s="88"/>
      <c r="K4" s="88"/>
    </row>
    <row r="5" spans="1:11" x14ac:dyDescent="0.25">
      <c r="A5" s="89">
        <v>41798</v>
      </c>
      <c r="B5" s="90" t="s">
        <v>395</v>
      </c>
      <c r="C5" s="231" t="s">
        <v>278</v>
      </c>
      <c r="D5" s="85" t="s">
        <v>396</v>
      </c>
    </row>
    <row r="6" spans="1:11" x14ac:dyDescent="0.25">
      <c r="B6" s="90"/>
      <c r="D6" s="85" t="s">
        <v>397</v>
      </c>
    </row>
    <row r="7" spans="1:11" x14ac:dyDescent="0.25">
      <c r="B7" s="90"/>
      <c r="D7" s="85" t="s">
        <v>398</v>
      </c>
    </row>
    <row r="8" spans="1:11" x14ac:dyDescent="0.25">
      <c r="B8" s="90"/>
      <c r="D8" s="85" t="s">
        <v>399</v>
      </c>
    </row>
    <row r="9" spans="1:11" x14ac:dyDescent="0.25">
      <c r="B9" s="90"/>
      <c r="D9" s="85" t="s">
        <v>400</v>
      </c>
    </row>
    <row r="10" spans="1:11" x14ac:dyDescent="0.25">
      <c r="B10" s="90"/>
      <c r="C10" s="231" t="s">
        <v>201</v>
      </c>
      <c r="D10" s="85" t="s">
        <v>401</v>
      </c>
    </row>
    <row r="11" spans="1:11" x14ac:dyDescent="0.25">
      <c r="B11" s="90"/>
      <c r="D11" s="91" t="s">
        <v>402</v>
      </c>
    </row>
    <row r="12" spans="1:11" x14ac:dyDescent="0.25">
      <c r="B12" s="90"/>
      <c r="D12" s="85" t="s">
        <v>403</v>
      </c>
    </row>
    <row r="13" spans="1:11" x14ac:dyDescent="0.25">
      <c r="B13" s="90"/>
      <c r="C13" s="231" t="s">
        <v>111</v>
      </c>
      <c r="D13" s="85" t="s">
        <v>404</v>
      </c>
    </row>
    <row r="14" spans="1:11" x14ac:dyDescent="0.25">
      <c r="B14" s="90"/>
      <c r="C14" s="231" t="s">
        <v>242</v>
      </c>
      <c r="D14" s="85" t="s">
        <v>407</v>
      </c>
    </row>
    <row r="15" spans="1:11" x14ac:dyDescent="0.25">
      <c r="B15" s="90"/>
      <c r="D15" s="85" t="s">
        <v>406</v>
      </c>
    </row>
    <row r="16" spans="1:11" x14ac:dyDescent="0.25">
      <c r="B16" s="90"/>
      <c r="C16" s="231" t="s">
        <v>408</v>
      </c>
      <c r="D16" s="85" t="s">
        <v>409</v>
      </c>
    </row>
    <row r="17" spans="1:4" x14ac:dyDescent="0.25">
      <c r="B17" s="90"/>
      <c r="C17" s="231" t="s">
        <v>410</v>
      </c>
      <c r="D17" s="85" t="s">
        <v>409</v>
      </c>
    </row>
    <row r="18" spans="1:4" x14ac:dyDescent="0.25">
      <c r="B18" s="90"/>
    </row>
    <row r="19" spans="1:4" x14ac:dyDescent="0.25">
      <c r="A19" s="89">
        <v>41800</v>
      </c>
      <c r="B19" s="227" t="s">
        <v>550</v>
      </c>
      <c r="C19" s="232" t="s">
        <v>201</v>
      </c>
      <c r="D19" s="91" t="s">
        <v>570</v>
      </c>
    </row>
    <row r="20" spans="1:4" x14ac:dyDescent="0.25">
      <c r="A20" s="89" t="s">
        <v>563</v>
      </c>
      <c r="B20" s="90"/>
      <c r="C20" s="232" t="s">
        <v>551</v>
      </c>
      <c r="D20" s="91" t="s">
        <v>571</v>
      </c>
    </row>
    <row r="21" spans="1:4" x14ac:dyDescent="0.25">
      <c r="A21" s="233" t="s">
        <v>564</v>
      </c>
      <c r="B21" s="90"/>
      <c r="C21" s="232" t="s">
        <v>552</v>
      </c>
      <c r="D21" s="91" t="s">
        <v>568</v>
      </c>
    </row>
    <row r="22" spans="1:4" x14ac:dyDescent="0.25">
      <c r="A22" s="233" t="s">
        <v>565</v>
      </c>
      <c r="B22" s="90"/>
      <c r="D22" s="91" t="s">
        <v>569</v>
      </c>
    </row>
    <row r="23" spans="1:4" x14ac:dyDescent="0.25">
      <c r="A23" s="233" t="s">
        <v>566</v>
      </c>
      <c r="B23" s="90"/>
      <c r="C23" s="232" t="s">
        <v>278</v>
      </c>
      <c r="D23" s="91" t="s">
        <v>560</v>
      </c>
    </row>
    <row r="24" spans="1:4" x14ac:dyDescent="0.25">
      <c r="B24" s="90"/>
      <c r="C24" s="232"/>
      <c r="D24" s="91" t="s">
        <v>567</v>
      </c>
    </row>
    <row r="25" spans="1:4" ht="34.5" customHeight="1" x14ac:dyDescent="0.25">
      <c r="C25" s="232" t="s">
        <v>553</v>
      </c>
      <c r="D25" s="228" t="s">
        <v>561</v>
      </c>
    </row>
    <row r="26" spans="1:4" x14ac:dyDescent="0.25">
      <c r="D26" s="91" t="s">
        <v>562</v>
      </c>
    </row>
    <row r="28" spans="1:4" ht="15.75" customHeight="1" x14ac:dyDescent="0.25">
      <c r="A28" s="233" t="s">
        <v>615</v>
      </c>
      <c r="C28" s="232" t="s">
        <v>552</v>
      </c>
      <c r="D28" s="91" t="s">
        <v>616</v>
      </c>
    </row>
    <row r="29" spans="1:4" x14ac:dyDescent="0.25">
      <c r="C29" s="232" t="s">
        <v>278</v>
      </c>
      <c r="D29" s="91" t="s">
        <v>618</v>
      </c>
    </row>
    <row r="30" spans="1:4" x14ac:dyDescent="0.25">
      <c r="C30" s="232" t="s">
        <v>199</v>
      </c>
      <c r="D30" s="91" t="s">
        <v>617</v>
      </c>
    </row>
    <row r="31" spans="1:4" x14ac:dyDescent="0.25">
      <c r="C31" s="232" t="s">
        <v>201</v>
      </c>
      <c r="D31" s="91" t="s">
        <v>619</v>
      </c>
    </row>
    <row r="33" spans="1:6" x14ac:dyDescent="0.25">
      <c r="A33" s="233" t="s">
        <v>564</v>
      </c>
      <c r="C33" s="232" t="s">
        <v>553</v>
      </c>
      <c r="D33" s="91" t="s">
        <v>633</v>
      </c>
    </row>
    <row r="34" spans="1:6" x14ac:dyDescent="0.25">
      <c r="A34" s="233" t="s">
        <v>632</v>
      </c>
    </row>
    <row r="35" spans="1:6" x14ac:dyDescent="0.25">
      <c r="A35" s="83">
        <v>41802</v>
      </c>
      <c r="C35" s="232" t="s">
        <v>242</v>
      </c>
      <c r="D35" s="91" t="s">
        <v>654</v>
      </c>
    </row>
    <row r="36" spans="1:6" x14ac:dyDescent="0.25">
      <c r="C36" s="232" t="s">
        <v>655</v>
      </c>
      <c r="D36" s="91" t="s">
        <v>656</v>
      </c>
      <c r="E36" s="437" t="s">
        <v>670</v>
      </c>
      <c r="F36" s="438"/>
    </row>
    <row r="37" spans="1:6" x14ac:dyDescent="0.25">
      <c r="C37" s="232" t="s">
        <v>201</v>
      </c>
      <c r="D37" s="91" t="s">
        <v>657</v>
      </c>
      <c r="E37" s="439" t="s">
        <v>671</v>
      </c>
      <c r="F37" s="440"/>
    </row>
    <row r="38" spans="1:6" x14ac:dyDescent="0.25">
      <c r="C38" s="232" t="s">
        <v>658</v>
      </c>
      <c r="D38" s="91" t="s">
        <v>659</v>
      </c>
    </row>
    <row r="40" spans="1:6" x14ac:dyDescent="0.25">
      <c r="A40" s="83">
        <v>41803</v>
      </c>
      <c r="C40" s="232" t="s">
        <v>278</v>
      </c>
      <c r="D40" s="91" t="s">
        <v>662</v>
      </c>
    </row>
    <row r="41" spans="1:6" x14ac:dyDescent="0.25">
      <c r="A41" s="233" t="s">
        <v>632</v>
      </c>
      <c r="C41" s="232" t="s">
        <v>278</v>
      </c>
      <c r="D41" s="91" t="s">
        <v>663</v>
      </c>
    </row>
    <row r="42" spans="1:6" x14ac:dyDescent="0.25">
      <c r="C42" s="232" t="s">
        <v>278</v>
      </c>
      <c r="D42" s="91" t="s">
        <v>664</v>
      </c>
    </row>
    <row r="43" spans="1:6" x14ac:dyDescent="0.25">
      <c r="C43" s="232" t="s">
        <v>201</v>
      </c>
      <c r="D43" s="91" t="s">
        <v>665</v>
      </c>
    </row>
    <row r="44" spans="1:6" x14ac:dyDescent="0.25">
      <c r="C44" s="232" t="s">
        <v>278</v>
      </c>
      <c r="D44" s="91" t="s">
        <v>666</v>
      </c>
    </row>
    <row r="45" spans="1:6" x14ac:dyDescent="0.25">
      <c r="C45" s="232" t="s">
        <v>278</v>
      </c>
      <c r="D45" s="91" t="s">
        <v>667</v>
      </c>
    </row>
    <row r="46" spans="1:6" x14ac:dyDescent="0.25">
      <c r="C46" s="232" t="s">
        <v>668</v>
      </c>
      <c r="D46" s="91" t="s">
        <v>669</v>
      </c>
    </row>
    <row r="47" spans="1:6" x14ac:dyDescent="0.25">
      <c r="C47" s="232"/>
      <c r="D47" s="91"/>
    </row>
    <row r="48" spans="1:6" x14ac:dyDescent="0.25">
      <c r="A48" s="83">
        <v>41803</v>
      </c>
      <c r="C48" s="232" t="s">
        <v>553</v>
      </c>
      <c r="D48" s="91" t="s">
        <v>688</v>
      </c>
    </row>
    <row r="49" spans="1:4" x14ac:dyDescent="0.25">
      <c r="A49" s="233" t="s">
        <v>564</v>
      </c>
      <c r="D49" s="91" t="s">
        <v>689</v>
      </c>
    </row>
    <row r="50" spans="1:4" x14ac:dyDescent="0.25">
      <c r="D50" s="91" t="s">
        <v>692</v>
      </c>
    </row>
    <row r="51" spans="1:4" x14ac:dyDescent="0.25">
      <c r="C51" s="232" t="s">
        <v>690</v>
      </c>
      <c r="D51" s="91" t="s">
        <v>691</v>
      </c>
    </row>
    <row r="53" spans="1:4" x14ac:dyDescent="0.25">
      <c r="A53" s="83">
        <v>41803</v>
      </c>
      <c r="C53" s="232" t="s">
        <v>199</v>
      </c>
      <c r="D53" s="91" t="s">
        <v>693</v>
      </c>
    </row>
    <row r="54" spans="1:4" x14ac:dyDescent="0.25">
      <c r="A54" s="233" t="s">
        <v>632</v>
      </c>
      <c r="C54" s="232" t="s">
        <v>199</v>
      </c>
      <c r="D54" s="91" t="s">
        <v>694</v>
      </c>
    </row>
    <row r="55" spans="1:4" x14ac:dyDescent="0.25">
      <c r="A55" s="233" t="s">
        <v>564</v>
      </c>
      <c r="C55" s="232" t="s">
        <v>199</v>
      </c>
      <c r="D55" s="91" t="s">
        <v>839</v>
      </c>
    </row>
    <row r="56" spans="1:4" x14ac:dyDescent="0.25">
      <c r="A56" s="233" t="s">
        <v>566</v>
      </c>
      <c r="C56" s="232" t="s">
        <v>199</v>
      </c>
      <c r="D56" s="91" t="s">
        <v>842</v>
      </c>
    </row>
    <row r="57" spans="1:4" x14ac:dyDescent="0.25">
      <c r="C57" s="232" t="s">
        <v>863</v>
      </c>
      <c r="D57" s="91" t="s">
        <v>845</v>
      </c>
    </row>
    <row r="58" spans="1:4" x14ac:dyDescent="0.25">
      <c r="C58" s="232" t="s">
        <v>111</v>
      </c>
      <c r="D58" s="91" t="s">
        <v>849</v>
      </c>
    </row>
    <row r="59" spans="1:4" x14ac:dyDescent="0.25">
      <c r="C59" s="232" t="s">
        <v>862</v>
      </c>
      <c r="D59" s="91" t="s">
        <v>858</v>
      </c>
    </row>
    <row r="60" spans="1:4" x14ac:dyDescent="0.25">
      <c r="D60" s="91" t="s">
        <v>859</v>
      </c>
    </row>
    <row r="61" spans="1:4" x14ac:dyDescent="0.25">
      <c r="C61" s="232" t="s">
        <v>111</v>
      </c>
      <c r="D61" s="91" t="s">
        <v>864</v>
      </c>
    </row>
    <row r="62" spans="1:4" x14ac:dyDescent="0.25">
      <c r="C62" s="232" t="s">
        <v>111</v>
      </c>
      <c r="D62" s="91" t="s">
        <v>896</v>
      </c>
    </row>
    <row r="64" spans="1:4" x14ac:dyDescent="0.25">
      <c r="A64" s="83">
        <v>41804</v>
      </c>
      <c r="C64" s="232" t="s">
        <v>553</v>
      </c>
      <c r="D64" s="374" t="s">
        <v>875</v>
      </c>
    </row>
    <row r="65" spans="1:4" x14ac:dyDescent="0.25">
      <c r="A65" s="233" t="s">
        <v>564</v>
      </c>
      <c r="C65" s="232" t="s">
        <v>553</v>
      </c>
      <c r="D65" s="374" t="s">
        <v>879</v>
      </c>
    </row>
    <row r="66" spans="1:4" x14ac:dyDescent="0.25">
      <c r="C66" s="232"/>
      <c r="D66" s="91"/>
    </row>
    <row r="67" spans="1:4" x14ac:dyDescent="0.25">
      <c r="A67" s="83">
        <v>41806</v>
      </c>
      <c r="C67" s="232" t="s">
        <v>553</v>
      </c>
      <c r="D67" s="91" t="s">
        <v>881</v>
      </c>
    </row>
    <row r="68" spans="1:4" x14ac:dyDescent="0.25">
      <c r="A68" s="233" t="s">
        <v>564</v>
      </c>
      <c r="C68" s="232" t="s">
        <v>242</v>
      </c>
      <c r="D68" s="374" t="s">
        <v>883</v>
      </c>
    </row>
    <row r="69" spans="1:4" x14ac:dyDescent="0.25">
      <c r="A69" s="233"/>
      <c r="C69" s="232"/>
      <c r="D69" s="375" t="s">
        <v>897</v>
      </c>
    </row>
    <row r="70" spans="1:4" x14ac:dyDescent="0.25">
      <c r="C70" s="232" t="s">
        <v>408</v>
      </c>
      <c r="D70" s="91" t="s">
        <v>887</v>
      </c>
    </row>
    <row r="71" spans="1:4" x14ac:dyDescent="0.25">
      <c r="D71" s="91" t="s">
        <v>884</v>
      </c>
    </row>
    <row r="72" spans="1:4" x14ac:dyDescent="0.25">
      <c r="D72" s="91" t="s">
        <v>891</v>
      </c>
    </row>
    <row r="73" spans="1:4" x14ac:dyDescent="0.25">
      <c r="D73" s="91"/>
    </row>
    <row r="74" spans="1:4" x14ac:dyDescent="0.25">
      <c r="A74" s="83">
        <v>41807</v>
      </c>
      <c r="C74" s="232" t="s">
        <v>553</v>
      </c>
      <c r="D74" s="91" t="s">
        <v>892</v>
      </c>
    </row>
    <row r="75" spans="1:4" x14ac:dyDescent="0.25">
      <c r="A75" s="233" t="s">
        <v>632</v>
      </c>
      <c r="C75" s="232" t="s">
        <v>552</v>
      </c>
      <c r="D75" s="91" t="s">
        <v>893</v>
      </c>
    </row>
    <row r="76" spans="1:4" x14ac:dyDescent="0.25">
      <c r="A76" s="233" t="s">
        <v>564</v>
      </c>
      <c r="C76" s="232" t="s">
        <v>408</v>
      </c>
      <c r="D76" s="91" t="s">
        <v>895</v>
      </c>
    </row>
    <row r="77" spans="1:4" x14ac:dyDescent="0.25">
      <c r="D77" s="91" t="s">
        <v>894</v>
      </c>
    </row>
    <row r="78" spans="1:4" x14ac:dyDescent="0.25">
      <c r="D78" s="91" t="s">
        <v>891</v>
      </c>
    </row>
    <row r="80" spans="1:4" x14ac:dyDescent="0.25">
      <c r="A80" s="83">
        <v>41809</v>
      </c>
      <c r="C80" s="232" t="s">
        <v>111</v>
      </c>
      <c r="D80" s="91" t="s">
        <v>1068</v>
      </c>
    </row>
    <row r="81" spans="1:4" x14ac:dyDescent="0.25">
      <c r="A81" s="233" t="s">
        <v>564</v>
      </c>
      <c r="D81" s="91" t="s">
        <v>1069</v>
      </c>
    </row>
    <row r="82" spans="1:4" x14ac:dyDescent="0.25">
      <c r="D82" s="91" t="s">
        <v>1070</v>
      </c>
    </row>
    <row r="84" spans="1:4" x14ac:dyDescent="0.25">
      <c r="A84" s="83">
        <v>41819</v>
      </c>
      <c r="C84" s="232" t="s">
        <v>1071</v>
      </c>
      <c r="D84" s="91" t="s">
        <v>1072</v>
      </c>
    </row>
    <row r="86" spans="1:4" x14ac:dyDescent="0.25">
      <c r="A86" s="83">
        <v>41820</v>
      </c>
      <c r="C86" s="232" t="s">
        <v>201</v>
      </c>
      <c r="D86" s="91" t="s">
        <v>1073</v>
      </c>
    </row>
    <row r="87" spans="1:4" x14ac:dyDescent="0.25">
      <c r="A87" s="233" t="s">
        <v>632</v>
      </c>
      <c r="C87" s="232" t="s">
        <v>278</v>
      </c>
      <c r="D87" s="91" t="s">
        <v>1074</v>
      </c>
    </row>
    <row r="89" spans="1:4" x14ac:dyDescent="0.25">
      <c r="A89" s="83">
        <v>41820</v>
      </c>
      <c r="C89" s="232" t="s">
        <v>553</v>
      </c>
      <c r="D89" s="91" t="s">
        <v>1089</v>
      </c>
    </row>
    <row r="90" spans="1:4" x14ac:dyDescent="0.25">
      <c r="A90" s="233" t="s">
        <v>564</v>
      </c>
      <c r="C90" s="232" t="s">
        <v>410</v>
      </c>
      <c r="D90" s="91" t="s">
        <v>1090</v>
      </c>
    </row>
    <row r="92" spans="1:4" x14ac:dyDescent="0.25">
      <c r="A92" s="83">
        <v>41820</v>
      </c>
      <c r="C92" s="232" t="s">
        <v>278</v>
      </c>
      <c r="D92" s="91" t="s">
        <v>1116</v>
      </c>
    </row>
    <row r="93" spans="1:4" x14ac:dyDescent="0.25">
      <c r="A93" s="233" t="s">
        <v>632</v>
      </c>
      <c r="D93" s="91" t="s">
        <v>1117</v>
      </c>
    </row>
    <row r="94" spans="1:4" x14ac:dyDescent="0.25">
      <c r="C94" s="232" t="s">
        <v>201</v>
      </c>
      <c r="D94" s="91" t="s">
        <v>1118</v>
      </c>
    </row>
    <row r="96" spans="1:4" x14ac:dyDescent="0.25">
      <c r="A96" s="83">
        <v>41821</v>
      </c>
      <c r="C96" s="232" t="s">
        <v>408</v>
      </c>
      <c r="D96" s="91" t="s">
        <v>1120</v>
      </c>
    </row>
    <row r="97" spans="1:4" x14ac:dyDescent="0.25">
      <c r="A97" s="233" t="s">
        <v>564</v>
      </c>
      <c r="C97" s="232" t="s">
        <v>410</v>
      </c>
      <c r="D97" s="91" t="s">
        <v>1121</v>
      </c>
    </row>
    <row r="99" spans="1:4" x14ac:dyDescent="0.25">
      <c r="A99" s="83">
        <v>41844</v>
      </c>
      <c r="C99" s="232" t="s">
        <v>1124</v>
      </c>
      <c r="D99" s="91" t="s">
        <v>1125</v>
      </c>
    </row>
    <row r="101" spans="1:4" x14ac:dyDescent="0.25">
      <c r="A101" s="83">
        <v>41888</v>
      </c>
      <c r="C101" s="232" t="s">
        <v>111</v>
      </c>
      <c r="D101" s="91" t="s">
        <v>1132</v>
      </c>
    </row>
    <row r="102" spans="1:4" x14ac:dyDescent="0.25">
      <c r="C102" s="232" t="s">
        <v>408</v>
      </c>
      <c r="D102" s="91" t="s">
        <v>1133</v>
      </c>
    </row>
    <row r="104" spans="1:4" x14ac:dyDescent="0.25">
      <c r="A104" s="83">
        <v>41890</v>
      </c>
      <c r="C104" s="232" t="s">
        <v>111</v>
      </c>
      <c r="D104" s="91" t="s">
        <v>1134</v>
      </c>
    </row>
    <row r="105" spans="1:4" x14ac:dyDescent="0.25">
      <c r="C105" s="232" t="s">
        <v>408</v>
      </c>
      <c r="D105" s="91" t="s">
        <v>1135</v>
      </c>
    </row>
    <row r="107" spans="1:4" x14ac:dyDescent="0.25">
      <c r="A107" s="83">
        <v>41895</v>
      </c>
      <c r="C107" s="232" t="s">
        <v>111</v>
      </c>
      <c r="D107" s="91" t="s">
        <v>1139</v>
      </c>
    </row>
    <row r="108" spans="1:4" x14ac:dyDescent="0.25">
      <c r="D108" s="91" t="s">
        <v>1137</v>
      </c>
    </row>
  </sheetData>
  <mergeCells count="2">
    <mergeCell ref="E36:F36"/>
    <mergeCell ref="E37:F37"/>
  </mergeCells>
  <printOptions horizontalCentered="1"/>
  <pageMargins left="0.25" right="0.25" top="0.5" bottom="0.5" header="0.25" footer="0"/>
  <pageSetup scale="79" orientation="landscape" verticalDpi="0" r:id="rId1"/>
  <headerFooter alignWithMargins="0">
    <oddHeader>&amp;L&amp;9&amp;F&amp;C&amp;9&amp;A&amp;R&amp;9&amp;D  &amp;T</oddHeader>
    <oddFooter>&amp;C&amp;P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F64"/>
  <sheetViews>
    <sheetView workbookViewId="0">
      <selection activeCell="AE16" sqref="AE16"/>
    </sheetView>
  </sheetViews>
  <sheetFormatPr defaultRowHeight="15.75" x14ac:dyDescent="0.25"/>
  <cols>
    <col min="1" max="1" width="44.875" style="92" customWidth="1"/>
    <col min="2" max="2" width="11.5" style="94" bestFit="1" customWidth="1"/>
    <col min="3" max="5" width="12.125" style="94" bestFit="1" customWidth="1"/>
    <col min="6" max="6" width="12.625" style="93" customWidth="1"/>
    <col min="7" max="7" width="9.5" style="100" customWidth="1"/>
    <col min="8" max="8" width="23.625" style="94" bestFit="1" customWidth="1"/>
    <col min="9" max="9" width="9" style="93"/>
    <col min="10" max="10" width="10.25" style="93" bestFit="1" customWidth="1"/>
    <col min="11" max="12" width="9" style="93"/>
    <col min="13" max="13" width="10.25" style="93" bestFit="1" customWidth="1"/>
    <col min="14" max="15" width="9" style="93"/>
    <col min="16" max="16" width="13.25" style="93" customWidth="1"/>
    <col min="17" max="17" width="57.25" style="100" bestFit="1" customWidth="1"/>
    <col min="18" max="18" width="10.375" style="93" customWidth="1"/>
    <col min="19" max="19" width="11.25" style="93" bestFit="1" customWidth="1"/>
    <col min="20" max="22" width="9.125" style="93" bestFit="1" customWidth="1"/>
    <col min="23" max="23" width="9" style="93"/>
    <col min="24" max="26" width="9" style="100"/>
    <col min="27" max="27" width="9" style="93"/>
    <col min="28" max="28" width="10.125" style="93" bestFit="1" customWidth="1"/>
    <col min="29" max="29" width="9" style="389"/>
    <col min="30" max="30" width="10.125" style="100" bestFit="1" customWidth="1"/>
    <col min="31" max="32" width="9" style="100"/>
    <col min="33" max="16384" width="9" style="93"/>
  </cols>
  <sheetData>
    <row r="1" spans="1:32" ht="16.5" customHeight="1" thickBot="1" x14ac:dyDescent="0.3">
      <c r="A1" s="163"/>
      <c r="B1" s="152" t="s">
        <v>13</v>
      </c>
      <c r="C1" s="152" t="s">
        <v>166</v>
      </c>
      <c r="D1" s="152" t="s">
        <v>383</v>
      </c>
      <c r="E1" s="152" t="s">
        <v>388</v>
      </c>
      <c r="F1" s="153" t="s">
        <v>389</v>
      </c>
      <c r="G1" s="93" t="s">
        <v>821</v>
      </c>
      <c r="H1" s="151" t="s">
        <v>867</v>
      </c>
      <c r="I1" s="96">
        <v>3000000</v>
      </c>
      <c r="J1" s="464" t="s">
        <v>868</v>
      </c>
      <c r="K1" s="465"/>
      <c r="L1" s="465"/>
      <c r="M1" s="465"/>
      <c r="N1" s="465"/>
      <c r="O1" s="465"/>
      <c r="P1" s="466"/>
      <c r="Q1" s="237" t="s">
        <v>630</v>
      </c>
      <c r="R1" s="236" t="s">
        <v>620</v>
      </c>
      <c r="S1" s="236" t="s">
        <v>621</v>
      </c>
      <c r="T1" s="236" t="s">
        <v>622</v>
      </c>
      <c r="U1" s="236" t="s">
        <v>623</v>
      </c>
      <c r="V1" s="237" t="s">
        <v>624</v>
      </c>
      <c r="X1" s="100">
        <v>2007</v>
      </c>
      <c r="Y1" s="100" t="s">
        <v>676</v>
      </c>
      <c r="Z1" s="100" t="s">
        <v>677</v>
      </c>
      <c r="AC1" s="403" t="s">
        <v>1126</v>
      </c>
      <c r="AD1" s="404" t="s">
        <v>1127</v>
      </c>
      <c r="AE1" s="405" t="s">
        <v>1128</v>
      </c>
      <c r="AF1" s="406" t="s">
        <v>1129</v>
      </c>
    </row>
    <row r="2" spans="1:32" ht="15.75" customHeight="1" x14ac:dyDescent="0.25">
      <c r="A2" s="161" t="s">
        <v>412</v>
      </c>
      <c r="B2" s="110" t="s">
        <v>415</v>
      </c>
      <c r="C2" s="110" t="s">
        <v>415</v>
      </c>
      <c r="D2" s="110" t="s">
        <v>413</v>
      </c>
      <c r="E2" s="110" t="s">
        <v>414</v>
      </c>
      <c r="F2" s="121" t="s">
        <v>415</v>
      </c>
      <c r="G2" s="93" t="s">
        <v>822</v>
      </c>
      <c r="H2" s="151" t="s">
        <v>681</v>
      </c>
      <c r="I2" s="96">
        <v>13.4</v>
      </c>
      <c r="J2" s="467"/>
      <c r="K2" s="468"/>
      <c r="L2" s="468"/>
      <c r="M2" s="468"/>
      <c r="N2" s="468"/>
      <c r="O2" s="468"/>
      <c r="P2" s="469"/>
      <c r="Q2" s="398" t="s">
        <v>625</v>
      </c>
      <c r="R2" s="238">
        <v>0.4</v>
      </c>
      <c r="S2" s="238">
        <v>0.4</v>
      </c>
      <c r="T2" s="238">
        <v>0.4</v>
      </c>
      <c r="U2" s="238">
        <v>0.4</v>
      </c>
      <c r="V2" s="239">
        <v>0.4</v>
      </c>
      <c r="X2" s="100" t="s">
        <v>675</v>
      </c>
      <c r="Y2" s="100">
        <v>550000</v>
      </c>
      <c r="Z2" s="267">
        <v>0.17199999999999999</v>
      </c>
      <c r="AA2" s="93" t="s">
        <v>678</v>
      </c>
      <c r="AC2" s="407">
        <v>2016</v>
      </c>
      <c r="AD2" s="408">
        <f>0.5*$AB$9*(1+$AB$10)^2 + AE2</f>
        <v>1186.2123189937338</v>
      </c>
      <c r="AE2" s="409">
        <f>B21</f>
        <v>491.28431899373356</v>
      </c>
      <c r="AF2" s="410">
        <f>B16/1000000</f>
        <v>1.6101000000000005</v>
      </c>
    </row>
    <row r="3" spans="1:32" x14ac:dyDescent="0.25">
      <c r="A3" s="161" t="s">
        <v>416</v>
      </c>
      <c r="B3" s="110">
        <v>0</v>
      </c>
      <c r="C3" s="110">
        <f>SUM(B3:B4)</f>
        <v>37.5</v>
      </c>
      <c r="D3" s="110">
        <f>SUM(C3:C4)</f>
        <v>112.5</v>
      </c>
      <c r="E3" s="110">
        <f>SUM(D3:D4)</f>
        <v>225.27499999999998</v>
      </c>
      <c r="F3" s="121">
        <f>SUM(E3:E4)</f>
        <v>377.77499999999998</v>
      </c>
      <c r="G3" s="93"/>
      <c r="H3" s="151" t="s">
        <v>672</v>
      </c>
      <c r="I3" s="96">
        <v>1500</v>
      </c>
      <c r="J3" s="467"/>
      <c r="K3" s="468"/>
      <c r="L3" s="468"/>
      <c r="M3" s="468"/>
      <c r="N3" s="468"/>
      <c r="O3" s="468"/>
      <c r="P3" s="469"/>
      <c r="Q3" s="398" t="s">
        <v>626</v>
      </c>
      <c r="R3" s="238">
        <v>0.34</v>
      </c>
      <c r="S3" s="238">
        <v>0.34</v>
      </c>
      <c r="T3" s="238">
        <v>0.34</v>
      </c>
      <c r="U3" s="238">
        <v>0.34</v>
      </c>
      <c r="V3" s="239">
        <v>0.34</v>
      </c>
      <c r="X3" s="100" t="s">
        <v>679</v>
      </c>
      <c r="Y3" s="100">
        <v>650000</v>
      </c>
      <c r="Z3" s="267">
        <v>0.14299999999999999</v>
      </c>
      <c r="AA3" s="93" t="s">
        <v>680</v>
      </c>
      <c r="AC3" s="146">
        <v>2017</v>
      </c>
      <c r="AD3" s="411">
        <f>0.5*$AB$9*(1+$AB$10)^3 + AE3</f>
        <v>1250.8557629182637</v>
      </c>
      <c r="AE3" s="412">
        <f>C21</f>
        <v>528.13064291826367</v>
      </c>
      <c r="AF3" s="413">
        <f>C16/1000000</f>
        <v>7.9450800000000035</v>
      </c>
    </row>
    <row r="4" spans="1:32" x14ac:dyDescent="0.25">
      <c r="A4" s="161" t="s">
        <v>554</v>
      </c>
      <c r="B4" s="154">
        <f>(0.05/2)*I3</f>
        <v>37.5</v>
      </c>
      <c r="C4" s="154">
        <f>0.05*I3</f>
        <v>75</v>
      </c>
      <c r="D4" s="154">
        <f>0.05*I3+(0.05/2/2)*I4+(0.05/2)*I5</f>
        <v>112.77499999999999</v>
      </c>
      <c r="E4" s="154">
        <f>0.05*I3+(0.05/2)*I4+(0.05)*I5+(0.05/3/2)*I6</f>
        <v>152.5</v>
      </c>
      <c r="F4" s="99">
        <f>0.05*I3+(0.05/2)*I4+(0.05)*I5+(0.05/3)*I6</f>
        <v>154.45000000000002</v>
      </c>
      <c r="G4" s="93"/>
      <c r="H4" s="151" t="s">
        <v>673</v>
      </c>
      <c r="I4" s="96">
        <f>ROUND(I3*(8.44*I1/9.75)/I1,0)</f>
        <v>1298</v>
      </c>
      <c r="J4" s="467"/>
      <c r="K4" s="468"/>
      <c r="L4" s="468"/>
      <c r="M4" s="468"/>
      <c r="N4" s="468"/>
      <c r="O4" s="468"/>
      <c r="P4" s="469"/>
      <c r="Q4" s="398" t="s">
        <v>631</v>
      </c>
      <c r="R4" s="240">
        <f>0.13*1.5</f>
        <v>0.19500000000000001</v>
      </c>
      <c r="S4" s="241">
        <f>0.094*1.5</f>
        <v>0.14100000000000001</v>
      </c>
      <c r="T4" s="241">
        <f>0.092*1.5</f>
        <v>0.13800000000000001</v>
      </c>
      <c r="U4" s="241">
        <f>0.089*1.5</f>
        <v>0.13350000000000001</v>
      </c>
      <c r="V4" s="242">
        <f>0.078*1.5</f>
        <v>0.11699999999999999</v>
      </c>
      <c r="AC4" s="146">
        <v>2018</v>
      </c>
      <c r="AD4" s="411">
        <f>0.5*$AB$9*(1+$AB$10)^4 + AE4</f>
        <v>1319.3745659371334</v>
      </c>
      <c r="AE4" s="412">
        <f>D21</f>
        <v>567.74044113713342</v>
      </c>
      <c r="AF4" s="413">
        <f>D16/1000000</f>
        <v>21.102408954000005</v>
      </c>
    </row>
    <row r="5" spans="1:32" x14ac:dyDescent="0.25">
      <c r="A5" s="161" t="s">
        <v>555</v>
      </c>
      <c r="B5" s="155">
        <f>B4*5</f>
        <v>187.5</v>
      </c>
      <c r="C5" s="155">
        <f t="shared" ref="C5:F5" si="0">C4*5</f>
        <v>375</v>
      </c>
      <c r="D5" s="155">
        <f t="shared" si="0"/>
        <v>563.875</v>
      </c>
      <c r="E5" s="155">
        <f t="shared" si="0"/>
        <v>762.5</v>
      </c>
      <c r="F5" s="156">
        <f t="shared" si="0"/>
        <v>772.25000000000011</v>
      </c>
      <c r="G5" s="93"/>
      <c r="H5" s="151" t="s">
        <v>674</v>
      </c>
      <c r="I5" s="96">
        <f>ROUND(I3*(5.6*I1/9.75)/I1,0)</f>
        <v>862</v>
      </c>
      <c r="J5" s="467"/>
      <c r="K5" s="468"/>
      <c r="L5" s="468"/>
      <c r="M5" s="468"/>
      <c r="N5" s="468"/>
      <c r="O5" s="468"/>
      <c r="P5" s="469"/>
      <c r="Q5" s="398" t="s">
        <v>627</v>
      </c>
      <c r="R5" s="238">
        <v>0.17</v>
      </c>
      <c r="S5" s="238">
        <v>0.17</v>
      </c>
      <c r="T5" s="238">
        <v>0.17</v>
      </c>
      <c r="U5" s="238">
        <v>0.17</v>
      </c>
      <c r="V5" s="239">
        <v>0.17</v>
      </c>
      <c r="AC5" s="146">
        <v>2019</v>
      </c>
      <c r="AD5" s="411">
        <f>0.5*$AB$9*(1+$AB$10)^5 + AE5</f>
        <v>1392.0204640144186</v>
      </c>
      <c r="AE5" s="412">
        <f>E21</f>
        <v>610.32097422241839</v>
      </c>
      <c r="AF5" s="413">
        <f>E16/1000000</f>
        <v>42.619541584400025</v>
      </c>
    </row>
    <row r="6" spans="1:32" ht="15.75" customHeight="1" thickBot="1" x14ac:dyDescent="0.3">
      <c r="A6" s="161" t="s">
        <v>430</v>
      </c>
      <c r="B6" s="155">
        <f>(B3+B4)*I7</f>
        <v>21000.000000000004</v>
      </c>
      <c r="C6" s="155">
        <f xml:space="preserve"> ( (C3+C4)*I7 ) * (1+I8/100)</f>
        <v>69300.000000000015</v>
      </c>
      <c r="D6" s="155">
        <f xml:space="preserve"> ( (D3+D4)*I7 ) * ((1+I8/100)^2)</f>
        <v>152646.34000000005</v>
      </c>
      <c r="E6" s="155">
        <f>( (E3+E4)*I7) * ((1+I8/100)^3)</f>
        <v>281578.37400000013</v>
      </c>
      <c r="F6" s="156">
        <f xml:space="preserve"> ( (F3+F4)*I7 ) * ((1+I8/100)^4)</f>
        <v>436369.14860000019</v>
      </c>
      <c r="G6" s="93"/>
      <c r="H6" s="151" t="s">
        <v>682</v>
      </c>
      <c r="I6" s="96">
        <f>ROUND(I3*(1.52*I1/9.75)/I1,0)</f>
        <v>234</v>
      </c>
      <c r="J6" s="467"/>
      <c r="K6" s="468"/>
      <c r="L6" s="468"/>
      <c r="M6" s="468"/>
      <c r="N6" s="468"/>
      <c r="O6" s="468"/>
      <c r="P6" s="469"/>
      <c r="Q6" s="111" t="s">
        <v>360</v>
      </c>
      <c r="R6" s="247">
        <f>'Raw Material Pricing'!$M$11</f>
        <v>0.05</v>
      </c>
      <c r="S6" s="248">
        <f>'Raw Material Pricing'!$M$11</f>
        <v>0.05</v>
      </c>
      <c r="T6" s="248">
        <f>'Raw Material Pricing'!$M$11</f>
        <v>0.05</v>
      </c>
      <c r="U6" s="248">
        <f>'Raw Material Pricing'!$M$11</f>
        <v>0.05</v>
      </c>
      <c r="V6" s="249">
        <f>'Raw Material Pricing'!$M$11</f>
        <v>0.05</v>
      </c>
      <c r="AC6" s="414">
        <v>2020</v>
      </c>
      <c r="AD6" s="415">
        <f>0.5*$AB$9*(1+$AB$10)^6 + AE6</f>
        <v>1469.06251667278</v>
      </c>
      <c r="AE6" s="416">
        <f>F21</f>
        <v>656.09504728909963</v>
      </c>
      <c r="AF6" s="417">
        <f>F16/1000000</f>
        <v>72.431494008500039</v>
      </c>
    </row>
    <row r="7" spans="1:32" ht="16.5" thickBot="1" x14ac:dyDescent="0.3">
      <c r="A7" s="161" t="s">
        <v>544</v>
      </c>
      <c r="B7" s="157">
        <f>100*B6/(I1*0.28)</f>
        <v>2.5</v>
      </c>
      <c r="C7" s="157">
        <f>100*C6/(I1*0.28*(1+I2/100))</f>
        <v>7.2751322751322771</v>
      </c>
      <c r="D7" s="157">
        <f>100*D6/(I1*0.28*(1+I2/100)^2)</f>
        <v>14.131263692796129</v>
      </c>
      <c r="E7" s="157">
        <f>100*E6/(I1*0.28*(1+I2/100)^3)</f>
        <v>22.986923314383986</v>
      </c>
      <c r="F7" s="158">
        <f>100*F6/(I1*0.28*(1+I2/100)^4)</f>
        <v>31.413948975343349</v>
      </c>
      <c r="G7" s="93"/>
      <c r="H7" s="151" t="s">
        <v>464</v>
      </c>
      <c r="I7" s="96">
        <f>I1*0.28/I3</f>
        <v>560.00000000000011</v>
      </c>
      <c r="J7" s="467"/>
      <c r="K7" s="468"/>
      <c r="L7" s="468"/>
      <c r="M7" s="468"/>
      <c r="N7" s="468"/>
      <c r="O7" s="468"/>
      <c r="P7" s="469"/>
      <c r="Q7" s="111" t="s">
        <v>361</v>
      </c>
      <c r="R7" s="247">
        <f>'Raw Material Pricing'!$P$11</f>
        <v>0.05</v>
      </c>
      <c r="S7" s="248">
        <f>'Raw Material Pricing'!$P$11</f>
        <v>0.05</v>
      </c>
      <c r="T7" s="248">
        <f>'Raw Material Pricing'!$P$11</f>
        <v>0.05</v>
      </c>
      <c r="U7" s="248">
        <f>'Raw Material Pricing'!$P$11</f>
        <v>0.05</v>
      </c>
      <c r="V7" s="249">
        <f>'Raw Material Pricing'!$P$11</f>
        <v>0.05</v>
      </c>
    </row>
    <row r="8" spans="1:32" x14ac:dyDescent="0.25">
      <c r="A8" s="161" t="s">
        <v>182</v>
      </c>
      <c r="B8" s="155">
        <f xml:space="preserve"> B4*I11 + B4*I7*(I10*(1+1))</f>
        <v>2475.0000000000005</v>
      </c>
      <c r="C8" s="155">
        <f xml:space="preserve"> ( B4*I7*(I10*(4)) + C4*I11 + C4*I7*(I10*(1+1)) ) * (1+I8/100)</f>
        <v>10065.000000000004</v>
      </c>
      <c r="D8" s="155">
        <f xml:space="preserve"> ( B4*I7*(I10*(2)) + C4*I7*(I10*(4)) + D4*I11 + D4*I7*(I10*(1+1)) ) * ((1+I8/100)^2)</f>
        <v>21711.211500000005</v>
      </c>
      <c r="E8" s="155">
        <f xml:space="preserve"> ( C4*I7*(I10*(2)) + D4*I7*(I10*(4)) + E4*I11 + E4*I7*(I10*(1+1)) ) * ((1+I8/100)^3)</f>
        <v>35798.309800000017</v>
      </c>
      <c r="F8" s="156">
        <f xml:space="preserve"> ( D4*I7*(I10*(2)) + E4*I7*(I10*(4)) + F4*I11 + F4*I7*(I10*(1+1)) ) * ((1+I8/100)^4)</f>
        <v>49177.801310000024</v>
      </c>
      <c r="G8" s="93"/>
      <c r="H8" s="95" t="s">
        <v>865</v>
      </c>
      <c r="I8" s="96">
        <v>10</v>
      </c>
      <c r="J8" s="467"/>
      <c r="K8" s="468"/>
      <c r="L8" s="468"/>
      <c r="M8" s="468"/>
      <c r="N8" s="468"/>
      <c r="O8" s="468"/>
      <c r="P8" s="469"/>
      <c r="Q8" s="111" t="s">
        <v>634</v>
      </c>
      <c r="R8" s="247">
        <f>'Raw Material Pricing'!$C$11</f>
        <v>0.05</v>
      </c>
      <c r="S8" s="248">
        <f>'Raw Material Pricing'!$C$11</f>
        <v>0.05</v>
      </c>
      <c r="T8" s="248">
        <f>'Raw Material Pricing'!$C$11</f>
        <v>0.05</v>
      </c>
      <c r="U8" s="248">
        <f>'Raw Material Pricing'!$C$11</f>
        <v>0.05</v>
      </c>
      <c r="V8" s="249">
        <f>'Raw Material Pricing'!$C$11</f>
        <v>0.05</v>
      </c>
      <c r="AB8" s="418">
        <v>2014</v>
      </c>
      <c r="AC8" s="455" t="s">
        <v>1130</v>
      </c>
      <c r="AD8" s="455"/>
      <c r="AE8" s="455"/>
      <c r="AF8" s="456"/>
    </row>
    <row r="9" spans="1:32" ht="17.25" customHeight="1" x14ac:dyDescent="0.25">
      <c r="A9" s="161" t="s">
        <v>1122</v>
      </c>
      <c r="B9" s="110">
        <f xml:space="preserve"> ( B4*I12*I7*(1-I10) + B4*I12*I7*(1-(2*I10)) +  B4*I7*(I10*(1+2))*(6*3 + 1) ) + ( (500+100+100) + (200 + 200) )*3</f>
        <v>296250.00000000006</v>
      </c>
      <c r="C9" s="110">
        <f xml:space="preserve"> ( B4*I12*I7*(4-(3+4+5+6)*I10) + B4*I7*(I10*(3+4+5+6))*(6*3 + 1) + ( C4*I12*I7*(1-I10) + C4*I12*I7*(1-(2*I10)) +  C4*I7*(I10*(1+2))*(6*3 + 1) ) ) *(1+I8/100) + ( (500+100+100) + (200 + 200) )*6</f>
        <v>1475760.0000000007</v>
      </c>
      <c r="D9" s="110">
        <f xml:space="preserve"> ( B4*I12*I7*(4-(7+8+8+8)*I10) + B4*I7*(I10*(7+8+8+8))*(6*3 + 1) + C4*I12*I7*(4-(3+4+5+6)*I10) + C4*I7*(I10*(3+4+5+6))*(6*3 + 1) + ( D4*I12*I7*(1-I10) + D4*I12*I7*(1-(2*I10)) +  D4*I7*(I10*(1+2))*(6*3 + 1) ) ) * ((1+I8/100)^2) + ( (500+100+100) + (200 + 200) )*6</f>
        <v>4008733.4430000014</v>
      </c>
      <c r="E9" s="110">
        <f xml:space="preserve"> ( B4*I12*I7*(4-(8+8+8+8)*I10) + B4*I7*(I10*(8+8+8+8))*(6*3 + 1) + C4*I12*I7*(4-(7+8+8+8)*I10) + C4*I7*(I10*(7+8+8+8))*(6*3 + 1) + D4*I12*I7*(4-(3+4+5+6)*I10) + D4*I7*(I10*(3+4+5+6))*(6*3 + 1) + ( E4*I12*I7*(1-I10) + E4*I12*I7*(1-(2*I10)) +  E4*I7*(I10*(1+2))*(6*3 + 1) )) * ((1+I8/100)^3) + ( (500+100+100) + (200 + 200) )*6</f>
        <v>8313408.0018000044</v>
      </c>
      <c r="F9" s="121">
        <f xml:space="preserve"> ( B4*I12*I7*(4-(8+8+8+8)*I10) + B4*I7*(I10*(8+8+8+8))*(6*3 + 1) + C4*I12*I7*(4-(8+8+8+8)*I10) + C4*I7*(I10*(8+8+8+8))*(6*3 + 1) + D4*I12*I7*(4-(7+8+8+8)*I10) + D4*I7*(I10*(7+8+8+8))*(6*3 + 1) + E4*I12*I7*(4-(3+4+5+6)*I10) + E4*I7*(I10*(3+4+5+6))*(6*3 + 1) + ( F4*I12*I7*(1-I10) + F4*I12*I7*(1-(2*I10)) +  F4*I7*(I10*(1+2))*(6*3 + 1) )) * ((1+I8/100)^4) + ( (500+100+100) + (200 + 200) )*6</f>
        <v>14451399.619250007</v>
      </c>
      <c r="G9" s="93"/>
      <c r="H9" s="97" t="s">
        <v>556</v>
      </c>
      <c r="I9" s="98">
        <v>0.4</v>
      </c>
      <c r="J9" s="467"/>
      <c r="K9" s="468"/>
      <c r="L9" s="468"/>
      <c r="M9" s="468"/>
      <c r="N9" s="468"/>
      <c r="O9" s="468"/>
      <c r="P9" s="469"/>
      <c r="Q9" s="449" t="s">
        <v>628</v>
      </c>
      <c r="R9" s="443" t="s">
        <v>629</v>
      </c>
      <c r="S9" s="444"/>
      <c r="T9" s="444"/>
      <c r="U9" s="444"/>
      <c r="V9" s="445"/>
      <c r="AB9" s="419">
        <v>1285</v>
      </c>
      <c r="AC9" s="457"/>
      <c r="AD9" s="457"/>
      <c r="AE9" s="457"/>
      <c r="AF9" s="458"/>
    </row>
    <row r="10" spans="1:32" ht="16.5" thickBot="1" x14ac:dyDescent="0.3">
      <c r="A10" s="161" t="s">
        <v>885</v>
      </c>
      <c r="B10" s="110">
        <f>B4*I12*I7*(1-I10) + B4*I12*I7*(1-(2*I10))</f>
        <v>233100.00000000006</v>
      </c>
      <c r="C10" s="110">
        <f xml:space="preserve"> ( B4*I12*I7*(4-(3+4+5+6)*I10) +  C4*I12*I7*(1-I10) + C4*I12*I7*(1-(2*I10)) )*(1 + I8/100)</f>
        <v>942480.00000000035</v>
      </c>
      <c r="D10" s="110">
        <f xml:space="preserve"> ( B4*I12*I7*(4-(7+8+8+8)*I10) + C4*I12*I7*(4-(3+4+5+6)*I10) + D4*I12*I7*(1-I10) + D4*I12*I7*(1-(2*I10)) ) * ((1+I8/100)^2)</f>
        <v>2167000.3740000012</v>
      </c>
      <c r="E10" s="110">
        <f xml:space="preserve"> ( B4*I12*I7*(4-(8+8+8+8)*I10) + C4*I12*I7*(4-(7+8+8+8)*I10) + D4*I12*I7*(4-(3+4+5+6)*I10)+ E4*I12*I7*(1-I10) + E4*I12*I7*(1-(2*I10)) )* ((1+I8/100)^3)</f>
        <v>4049440.2564000017</v>
      </c>
      <c r="F10" s="121">
        <f xml:space="preserve"> ( B4*I12*I7*(4-(8+8+8+8)*I10) + C4*I12*I7*(4-(8+8+8+8)*I10) + D4*I12*I7*(4-(7+8+8+8)*I10) + E4*I12*I7*(4-(3+4+5+6)*I10) + F4*I12*I7*(1-I10) + F4*I12*I7*(1-(2*I10)) )*((1+I8/100)^4)</f>
        <v>6418709.5665000034</v>
      </c>
      <c r="G10" s="93"/>
      <c r="H10" s="97" t="s">
        <v>546</v>
      </c>
      <c r="I10" s="226">
        <f>I9/8</f>
        <v>0.05</v>
      </c>
      <c r="J10" s="467"/>
      <c r="K10" s="468"/>
      <c r="L10" s="468"/>
      <c r="M10" s="468"/>
      <c r="N10" s="468"/>
      <c r="O10" s="468"/>
      <c r="P10" s="469"/>
      <c r="Q10" s="449"/>
      <c r="R10" s="443"/>
      <c r="S10" s="444"/>
      <c r="T10" s="444"/>
      <c r="U10" s="444"/>
      <c r="V10" s="445"/>
      <c r="AB10" s="420">
        <v>0.04</v>
      </c>
      <c r="AC10" s="459"/>
      <c r="AD10" s="459"/>
      <c r="AE10" s="459"/>
      <c r="AF10" s="460"/>
    </row>
    <row r="11" spans="1:32" x14ac:dyDescent="0.25">
      <c r="A11" s="161" t="s">
        <v>886</v>
      </c>
      <c r="B11" s="110">
        <f>B9-B10 - ( (500+100+100) + (200 + 200) )*3</f>
        <v>59850</v>
      </c>
      <c r="C11" s="110">
        <f>C9-C10 - ( (500+100+100) + (200 + 200) )*6</f>
        <v>526680.00000000035</v>
      </c>
      <c r="D11" s="110">
        <f t="shared" ref="D11:F11" si="1">D9-D10 - ( (500+100+100) + (200 + 200) )*6</f>
        <v>1835133.0690000001</v>
      </c>
      <c r="E11" s="110">
        <f t="shared" si="1"/>
        <v>4257367.7454000022</v>
      </c>
      <c r="F11" s="121">
        <f t="shared" si="1"/>
        <v>8026090.0527500035</v>
      </c>
      <c r="H11" s="95" t="s">
        <v>547</v>
      </c>
      <c r="I11" s="96">
        <v>10</v>
      </c>
      <c r="J11" s="467"/>
      <c r="K11" s="468"/>
      <c r="L11" s="468"/>
      <c r="M11" s="468"/>
      <c r="N11" s="468"/>
      <c r="O11" s="468"/>
      <c r="P11" s="469"/>
      <c r="Q11" s="449"/>
      <c r="R11" s="443"/>
      <c r="S11" s="444"/>
      <c r="T11" s="444"/>
      <c r="U11" s="444"/>
      <c r="V11" s="445"/>
      <c r="AE11" s="389"/>
    </row>
    <row r="12" spans="1:32" x14ac:dyDescent="0.25">
      <c r="A12" s="161" t="s">
        <v>418</v>
      </c>
      <c r="B12" s="154">
        <v>1</v>
      </c>
      <c r="C12" s="154">
        <v>1</v>
      </c>
      <c r="D12" s="154">
        <f>C12+2</f>
        <v>3</v>
      </c>
      <c r="E12" s="154">
        <v>4</v>
      </c>
      <c r="F12" s="99">
        <v>5</v>
      </c>
      <c r="H12" s="95" t="s">
        <v>548</v>
      </c>
      <c r="I12" s="96">
        <v>6</v>
      </c>
      <c r="J12" s="467"/>
      <c r="K12" s="468"/>
      <c r="L12" s="468"/>
      <c r="M12" s="468"/>
      <c r="N12" s="468"/>
      <c r="O12" s="468"/>
      <c r="P12" s="469"/>
      <c r="Q12" s="450"/>
      <c r="R12" s="446"/>
      <c r="S12" s="447"/>
      <c r="T12" s="447"/>
      <c r="U12" s="447"/>
      <c r="V12" s="448"/>
    </row>
    <row r="13" spans="1:32" ht="16.5" customHeight="1" x14ac:dyDescent="0.25">
      <c r="A13" s="161" t="s">
        <v>545</v>
      </c>
      <c r="B13" s="154">
        <f>ROUND(B16/1000000,0)</f>
        <v>2</v>
      </c>
      <c r="C13" s="154">
        <f t="shared" ref="C13:E13" si="2">ROUND(C16/1000000,0)</f>
        <v>8</v>
      </c>
      <c r="D13" s="154">
        <f t="shared" si="2"/>
        <v>21</v>
      </c>
      <c r="E13" s="154">
        <f t="shared" si="2"/>
        <v>43</v>
      </c>
      <c r="F13" s="99">
        <f xml:space="preserve"> E13 + ROUND(F17/1000000,0)</f>
        <v>53</v>
      </c>
      <c r="G13" s="93" t="s">
        <v>823</v>
      </c>
      <c r="H13" s="97" t="s">
        <v>417</v>
      </c>
      <c r="I13" s="273">
        <v>200</v>
      </c>
      <c r="J13" s="467"/>
      <c r="K13" s="468"/>
      <c r="L13" s="468"/>
      <c r="M13" s="468"/>
      <c r="N13" s="468"/>
      <c r="O13" s="468"/>
      <c r="P13" s="469"/>
      <c r="Q13" s="100" t="s">
        <v>635</v>
      </c>
      <c r="R13" s="251">
        <f>100000/12</f>
        <v>8333.3333333333339</v>
      </c>
      <c r="S13" s="251">
        <f>500000/12</f>
        <v>41666.666666666664</v>
      </c>
      <c r="T13" s="251">
        <f>1000000/12</f>
        <v>83333.333333333328</v>
      </c>
      <c r="U13" s="251">
        <f>5000000/12</f>
        <v>416666.66666666669</v>
      </c>
      <c r="V13" s="251">
        <f>10000000/12</f>
        <v>833333.33333333337</v>
      </c>
      <c r="AE13" s="389"/>
    </row>
    <row r="14" spans="1:32" x14ac:dyDescent="0.25">
      <c r="A14" s="161" t="s">
        <v>425</v>
      </c>
      <c r="B14" s="154">
        <v>1</v>
      </c>
      <c r="C14" s="154">
        <v>1</v>
      </c>
      <c r="D14" s="154">
        <f>C14+2</f>
        <v>3</v>
      </c>
      <c r="E14" s="154">
        <v>4</v>
      </c>
      <c r="F14" s="99">
        <v>5</v>
      </c>
      <c r="G14" s="93" t="s">
        <v>838</v>
      </c>
      <c r="H14" s="97" t="s">
        <v>888</v>
      </c>
      <c r="I14" s="273">
        <v>3.5</v>
      </c>
      <c r="J14" s="467"/>
      <c r="K14" s="468"/>
      <c r="L14" s="468"/>
      <c r="M14" s="468"/>
      <c r="N14" s="468"/>
      <c r="O14" s="468"/>
      <c r="P14" s="469"/>
      <c r="Q14" s="100" t="s">
        <v>636</v>
      </c>
      <c r="R14" s="250">
        <f>SUM(R2:R8)</f>
        <v>1.2550000000000001</v>
      </c>
      <c r="S14" s="250">
        <f t="shared" ref="S14:V14" si="3">SUM(S2:S8)</f>
        <v>1.2010000000000001</v>
      </c>
      <c r="T14" s="250">
        <f t="shared" si="3"/>
        <v>1.1980000000000002</v>
      </c>
      <c r="U14" s="250">
        <f t="shared" si="3"/>
        <v>1.1935</v>
      </c>
      <c r="V14" s="250">
        <f t="shared" si="3"/>
        <v>1.177</v>
      </c>
    </row>
    <row r="15" spans="1:32" x14ac:dyDescent="0.25">
      <c r="A15" s="161" t="s">
        <v>426</v>
      </c>
      <c r="B15" s="154"/>
      <c r="C15" s="154"/>
      <c r="D15" s="154"/>
      <c r="E15" s="154"/>
      <c r="F15" s="99"/>
      <c r="H15" s="382" t="s">
        <v>889</v>
      </c>
      <c r="I15" s="274">
        <v>5</v>
      </c>
      <c r="J15" s="467"/>
      <c r="K15" s="468"/>
      <c r="L15" s="468"/>
      <c r="M15" s="468"/>
      <c r="N15" s="468"/>
      <c r="O15" s="468"/>
      <c r="P15" s="469"/>
      <c r="Q15" s="246"/>
      <c r="R15" s="252">
        <v>350000</v>
      </c>
      <c r="S15" s="252"/>
      <c r="T15" s="252"/>
      <c r="U15" s="252">
        <v>700000</v>
      </c>
      <c r="V15" s="251">
        <v>700000</v>
      </c>
    </row>
    <row r="16" spans="1:32" s="107" customFormat="1" ht="15.75" customHeight="1" x14ac:dyDescent="0.25">
      <c r="A16" s="162" t="s">
        <v>876</v>
      </c>
      <c r="B16" s="159">
        <f>$I13*B8+$I14*B10+$I15*B11</f>
        <v>1610100.0000000005</v>
      </c>
      <c r="C16" s="159">
        <f t="shared" ref="C16:F16" si="4">$I13*C8+$I14*C10+$I15*C11</f>
        <v>7945080.0000000037</v>
      </c>
      <c r="D16" s="159">
        <f t="shared" si="4"/>
        <v>21102408.954000004</v>
      </c>
      <c r="E16" s="159">
        <f t="shared" si="4"/>
        <v>42619541.584400028</v>
      </c>
      <c r="F16" s="160">
        <f t="shared" si="4"/>
        <v>72431494.00850004</v>
      </c>
      <c r="G16" s="111"/>
      <c r="H16" s="463" t="s">
        <v>866</v>
      </c>
      <c r="I16" s="449"/>
      <c r="J16" s="470"/>
      <c r="K16" s="468"/>
      <c r="L16" s="468"/>
      <c r="M16" s="468"/>
      <c r="N16" s="468"/>
      <c r="O16" s="468"/>
      <c r="P16" s="469"/>
      <c r="Q16" s="476" t="s">
        <v>1123</v>
      </c>
      <c r="R16" s="245"/>
      <c r="S16" s="252"/>
      <c r="T16" s="252"/>
      <c r="U16" s="252"/>
      <c r="V16" s="252"/>
      <c r="W16" s="253"/>
      <c r="X16" s="402"/>
      <c r="Y16" s="111"/>
      <c r="Z16" s="111"/>
      <c r="AA16" s="111"/>
      <c r="AB16" s="402"/>
      <c r="AC16" s="123"/>
      <c r="AD16" s="111"/>
      <c r="AE16" s="111"/>
      <c r="AF16" s="111"/>
    </row>
    <row r="17" spans="1:32" x14ac:dyDescent="0.25">
      <c r="A17" s="269" t="s">
        <v>877</v>
      </c>
      <c r="B17" s="270">
        <f>B16</f>
        <v>1610100.0000000005</v>
      </c>
      <c r="C17" s="270">
        <f>I13*((C4*I11+C4*I7*(I10*(1+1)))*(1+I8/100)) + I14*(C4*I12*I7*(1-I10)+C4*I12*I7*(1-(2*I10)))*(1+I8/100) + I15*(C4*I7*(I10*(1+2))*(6*3+1))*(1+I8/100)</f>
        <v>3542220.0000000009</v>
      </c>
      <c r="D17" s="270">
        <f>I13*((D4*I11 + D4*I7*(I10*(1+1)) ) * ((1+I8/100)^2)) + I14*(D4*I12*I7*(1-I10) + D4*I12*I7*(1-(2*I10))) * ((1+I8/100)^2) + I15*(D4*I7*(I10*(1+2))*(6*3 + 1)) * ((1+I8/100)^2)</f>
        <v>5858949.9540000018</v>
      </c>
      <c r="E17" s="270">
        <f>I13*(E4*I11 + E4*I7*(I10*(1+1)) ) * ((1+I8/100)^3) + I14*( E4*I12*I7*(1-I10) + E4*I12*I7*(1-(2*I10))) * ((1+I8/100)^3) + I15*(E4*I7*(I10*(1+2))*(6*3 + 1) ) * ((1+I8/100)^3)</f>
        <v>8715041.9400000051</v>
      </c>
      <c r="F17" s="271">
        <f>I13*(F4*I11 + F4*I7*(I10*(1+1)) ) * ((1+I8/100)^4) + I14*( F4*I12*I7*(1-I10) + F4*I12*I7*(1-(2*I10))) * ((1+I8/100)^4) + I15*(F4*I7*(I10*(1+2))*(6*3 + 1) ) * ((1+I8/100)^4)</f>
        <v>9709128.1993200053</v>
      </c>
      <c r="H17" s="97" t="s">
        <v>1075</v>
      </c>
      <c r="I17" s="383">
        <v>321</v>
      </c>
      <c r="J17" s="399">
        <v>0.14099999999999999</v>
      </c>
      <c r="K17" s="471" t="s">
        <v>1076</v>
      </c>
      <c r="L17" s="471"/>
      <c r="M17" s="471"/>
      <c r="N17" s="471"/>
      <c r="O17" s="471"/>
      <c r="P17" s="472"/>
      <c r="Q17" s="476"/>
      <c r="R17" s="245"/>
      <c r="S17" s="252"/>
      <c r="T17" s="252"/>
      <c r="U17" s="252"/>
      <c r="V17" s="252"/>
      <c r="W17" s="251"/>
      <c r="X17" s="93"/>
      <c r="AA17" s="100"/>
    </row>
    <row r="18" spans="1:32" x14ac:dyDescent="0.25">
      <c r="A18" s="269" t="s">
        <v>878</v>
      </c>
      <c r="B18" s="270">
        <f>B16-B17</f>
        <v>0</v>
      </c>
      <c r="C18" s="270">
        <f t="shared" ref="C18:F18" si="5">C16-C17</f>
        <v>4402860.0000000028</v>
      </c>
      <c r="D18" s="270">
        <f t="shared" si="5"/>
        <v>15243459.000000002</v>
      </c>
      <c r="E18" s="270">
        <f t="shared" si="5"/>
        <v>33904499.644400023</v>
      </c>
      <c r="F18" s="271">
        <f t="shared" si="5"/>
        <v>62722365.809180036</v>
      </c>
      <c r="H18" s="97" t="s">
        <v>1077</v>
      </c>
      <c r="I18" s="384">
        <v>116.8</v>
      </c>
      <c r="J18" s="399">
        <v>6.5000000000000002E-2</v>
      </c>
      <c r="K18" s="473" t="s">
        <v>1078</v>
      </c>
      <c r="L18" s="473"/>
      <c r="M18" s="473"/>
      <c r="N18" s="473"/>
      <c r="O18" s="473"/>
      <c r="P18" s="474"/>
      <c r="Q18" s="476"/>
      <c r="R18" s="245"/>
      <c r="S18" s="252"/>
      <c r="T18" s="252"/>
      <c r="U18" s="252"/>
      <c r="V18" s="252"/>
      <c r="W18" s="251"/>
      <c r="X18" s="93"/>
      <c r="AA18" s="100"/>
    </row>
    <row r="19" spans="1:32" s="94" customFormat="1" x14ac:dyDescent="0.25">
      <c r="A19" s="451" t="s">
        <v>465</v>
      </c>
      <c r="B19" s="453" t="s">
        <v>467</v>
      </c>
      <c r="C19" s="453" t="s">
        <v>467</v>
      </c>
      <c r="D19" s="453" t="s">
        <v>467</v>
      </c>
      <c r="E19" s="453" t="s">
        <v>466</v>
      </c>
      <c r="F19" s="461" t="s">
        <v>468</v>
      </c>
      <c r="G19" s="100"/>
      <c r="H19" s="97" t="s">
        <v>1079</v>
      </c>
      <c r="I19" s="384">
        <v>64.3</v>
      </c>
      <c r="J19" s="399">
        <v>8.3000000000000004E-2</v>
      </c>
      <c r="K19" s="473" t="s">
        <v>1080</v>
      </c>
      <c r="L19" s="473"/>
      <c r="M19" s="473"/>
      <c r="N19" s="473"/>
      <c r="O19" s="473"/>
      <c r="P19" s="474"/>
      <c r="Q19" s="476"/>
      <c r="R19" s="100"/>
      <c r="S19" s="251"/>
      <c r="T19" s="251"/>
      <c r="U19" s="254"/>
      <c r="V19" s="254"/>
      <c r="W19" s="254"/>
      <c r="Y19" s="100"/>
      <c r="Z19" s="100"/>
      <c r="AA19" s="100"/>
      <c r="AC19" s="389"/>
      <c r="AD19" s="100"/>
      <c r="AE19" s="100"/>
      <c r="AF19" s="100"/>
    </row>
    <row r="20" spans="1:32" s="94" customFormat="1" x14ac:dyDescent="0.25">
      <c r="A20" s="452"/>
      <c r="B20" s="454"/>
      <c r="C20" s="454"/>
      <c r="D20" s="454"/>
      <c r="E20" s="454"/>
      <c r="F20" s="462"/>
      <c r="G20" s="100"/>
      <c r="H20" s="97" t="s">
        <v>1081</v>
      </c>
      <c r="I20" s="240">
        <v>5</v>
      </c>
      <c r="J20" s="396">
        <v>0.108</v>
      </c>
      <c r="K20" s="475" t="s">
        <v>1082</v>
      </c>
      <c r="L20" s="473"/>
      <c r="M20" s="473"/>
      <c r="N20" s="473"/>
      <c r="O20" s="473"/>
      <c r="P20" s="474"/>
      <c r="Q20" s="476"/>
      <c r="R20" s="251"/>
      <c r="S20" s="254"/>
      <c r="T20" s="254"/>
      <c r="U20" s="254"/>
      <c r="V20" s="254"/>
      <c r="X20" s="100"/>
      <c r="Y20" s="100"/>
      <c r="Z20" s="100"/>
      <c r="AC20" s="389"/>
      <c r="AD20" s="100"/>
      <c r="AE20" s="100"/>
      <c r="AF20" s="100"/>
    </row>
    <row r="21" spans="1:32" x14ac:dyDescent="0.25">
      <c r="A21" s="385" t="s">
        <v>1083</v>
      </c>
      <c r="B21" s="386">
        <f>$I22*((1+$J22)^6) + (2/3) * ( $I21*((1+$J21)^6) - $I22*((1+$J22)^6) )</f>
        <v>491.28431899373356</v>
      </c>
      <c r="C21" s="387">
        <f>$I22*((1+$J22)^7) + (2/3) * ( $I21*((1+$J21)^7) - $I22*((1+$J22)^7) )</f>
        <v>528.13064291826367</v>
      </c>
      <c r="D21" s="387">
        <f>$I22*((1+$J22)^8) + (2/3) * ( $I21*((1+$J21)^8) - $I22*((1+$J22)^8) )</f>
        <v>567.74044113713342</v>
      </c>
      <c r="E21" s="387">
        <f>$I22*((1+$J22)^9) + (2/3) * ( $I21*((1+$J21)^9) - $I22*((1+$J22)^9) )</f>
        <v>610.32097422241839</v>
      </c>
      <c r="F21" s="388">
        <f>$I22*((1+$J22)^10) + (2/3) * ( $I21*((1+$J21)^10) - $I22*((1+$J22)^10) )</f>
        <v>656.09504728909963</v>
      </c>
      <c r="G21" s="389"/>
      <c r="H21" s="97" t="s">
        <v>1084</v>
      </c>
      <c r="I21" s="240">
        <v>372</v>
      </c>
      <c r="J21" s="396">
        <v>7.4999999999999997E-2</v>
      </c>
      <c r="K21" s="473" t="s">
        <v>1085</v>
      </c>
      <c r="L21" s="473"/>
      <c r="M21" s="473"/>
      <c r="N21" s="473"/>
      <c r="O21" s="473"/>
      <c r="P21" s="474"/>
      <c r="Q21" s="476"/>
      <c r="R21" s="251"/>
      <c r="S21" s="254"/>
      <c r="T21" s="251"/>
      <c r="U21" s="251"/>
      <c r="V21" s="251"/>
    </row>
    <row r="22" spans="1:32" x14ac:dyDescent="0.25">
      <c r="A22" s="381" t="s">
        <v>1086</v>
      </c>
      <c r="B22" s="390">
        <f>B16/(B21*1000000)</f>
        <v>3.2773282959608113E-3</v>
      </c>
      <c r="C22" s="390">
        <f>C16/(C21*1000000)</f>
        <v>1.5043777721546877E-2</v>
      </c>
      <c r="D22" s="390">
        <f>D16/(D21*1000000)</f>
        <v>3.7169113603628033E-2</v>
      </c>
      <c r="E22" s="390">
        <f>E16/(E21*1000000)</f>
        <v>6.9831356588555063E-2</v>
      </c>
      <c r="F22" s="391">
        <f>F16/(F21*1000000)</f>
        <v>0.11039786736354384</v>
      </c>
      <c r="H22" s="382" t="s">
        <v>1087</v>
      </c>
      <c r="I22" s="392">
        <v>211</v>
      </c>
      <c r="J22" s="400">
        <v>7.4999999999999997E-2</v>
      </c>
      <c r="K22" s="441" t="s">
        <v>1088</v>
      </c>
      <c r="L22" s="441"/>
      <c r="M22" s="441"/>
      <c r="N22" s="441"/>
      <c r="O22" s="441"/>
      <c r="P22" s="442"/>
      <c r="Q22" s="397"/>
      <c r="R22" s="251"/>
      <c r="S22" s="251"/>
      <c r="T22" s="251"/>
      <c r="U22" s="251"/>
      <c r="V22" s="251"/>
    </row>
    <row r="23" spans="1:32" s="94" customFormat="1" ht="15.75" customHeight="1" x14ac:dyDescent="0.25">
      <c r="A23" s="164"/>
      <c r="B23" s="393"/>
      <c r="C23" s="393"/>
      <c r="D23" s="393"/>
      <c r="E23" s="393"/>
      <c r="F23" s="393"/>
      <c r="G23" s="100"/>
      <c r="H23" s="100"/>
      <c r="J23" s="93"/>
      <c r="K23" s="97" t="s">
        <v>419</v>
      </c>
      <c r="L23" s="401" t="s">
        <v>420</v>
      </c>
      <c r="M23" s="111" t="s">
        <v>421</v>
      </c>
      <c r="N23" s="111" t="s">
        <v>422</v>
      </c>
      <c r="O23" s="111" t="s">
        <v>423</v>
      </c>
      <c r="P23" s="398" t="s">
        <v>424</v>
      </c>
      <c r="Q23" s="100"/>
      <c r="R23" s="251"/>
      <c r="S23" s="251"/>
      <c r="T23" s="254"/>
      <c r="U23" s="254"/>
      <c r="V23" s="254"/>
      <c r="X23" s="100"/>
      <c r="Y23" s="100"/>
      <c r="Z23" s="100"/>
      <c r="AC23" s="389"/>
      <c r="AD23" s="100"/>
      <c r="AE23" s="100"/>
      <c r="AF23" s="100"/>
    </row>
    <row r="24" spans="1:32" s="94" customFormat="1" x14ac:dyDescent="0.25">
      <c r="A24" s="164"/>
      <c r="B24" s="110"/>
      <c r="C24" s="110"/>
      <c r="D24" s="110"/>
      <c r="E24" s="110"/>
      <c r="F24" s="107"/>
      <c r="G24" s="100"/>
      <c r="H24" s="100"/>
      <c r="J24" s="93"/>
      <c r="K24" s="394">
        <v>2015</v>
      </c>
      <c r="L24" s="102">
        <f>K24+1</f>
        <v>2016</v>
      </c>
      <c r="M24" s="103">
        <f t="shared" ref="M24:P24" si="6">L24+1</f>
        <v>2017</v>
      </c>
      <c r="N24" s="103">
        <f t="shared" si="6"/>
        <v>2018</v>
      </c>
      <c r="O24" s="103">
        <f t="shared" si="6"/>
        <v>2019</v>
      </c>
      <c r="P24" s="104">
        <f t="shared" si="6"/>
        <v>2020</v>
      </c>
      <c r="Q24" s="100"/>
      <c r="R24" s="251"/>
      <c r="S24" s="251"/>
      <c r="T24" s="254"/>
      <c r="U24" s="254"/>
      <c r="V24" s="254"/>
      <c r="X24" s="100"/>
      <c r="Y24" s="100"/>
      <c r="Z24" s="100"/>
      <c r="AC24" s="389"/>
      <c r="AD24" s="100"/>
      <c r="AE24" s="100"/>
      <c r="AF24" s="100"/>
    </row>
    <row r="25" spans="1:32" ht="32.25" thickBot="1" x14ac:dyDescent="0.3">
      <c r="H25" s="100"/>
      <c r="I25" s="94"/>
      <c r="L25" s="395" t="s">
        <v>427</v>
      </c>
      <c r="R25" s="251"/>
      <c r="S25" s="251"/>
      <c r="T25" s="251"/>
      <c r="U25" s="251"/>
      <c r="V25" s="251"/>
    </row>
    <row r="26" spans="1:32" ht="16.5" thickBot="1" x14ac:dyDescent="0.3">
      <c r="H26" s="105" t="s">
        <v>428</v>
      </c>
      <c r="I26" s="94"/>
      <c r="O26" s="94"/>
      <c r="P26" s="94"/>
    </row>
    <row r="27" spans="1:32" s="94" customFormat="1" x14ac:dyDescent="0.25">
      <c r="A27" s="92"/>
      <c r="F27" s="93"/>
      <c r="G27" s="100"/>
      <c r="H27" s="100"/>
      <c r="J27" s="93"/>
      <c r="K27" s="93"/>
      <c r="L27" s="93"/>
      <c r="M27" s="93"/>
      <c r="N27" s="93"/>
      <c r="Q27" s="100"/>
      <c r="R27" s="93"/>
      <c r="S27" s="93"/>
      <c r="X27" s="100"/>
      <c r="Y27" s="100"/>
      <c r="Z27" s="100"/>
      <c r="AC27" s="389"/>
      <c r="AD27" s="100"/>
      <c r="AE27" s="100"/>
      <c r="AF27" s="100"/>
    </row>
    <row r="28" spans="1:32" s="94" customFormat="1" x14ac:dyDescent="0.25">
      <c r="A28" s="92"/>
      <c r="F28" s="93"/>
      <c r="G28" s="100"/>
      <c r="H28" s="100"/>
      <c r="J28" s="93"/>
      <c r="K28" s="93"/>
      <c r="L28" s="93"/>
      <c r="M28" s="93"/>
      <c r="N28" s="93"/>
      <c r="O28" s="93"/>
      <c r="P28" s="93"/>
      <c r="Q28" s="100"/>
      <c r="R28" s="93"/>
      <c r="S28" s="93"/>
      <c r="X28" s="100"/>
      <c r="Y28" s="100"/>
      <c r="Z28" s="100"/>
      <c r="AC28" s="389"/>
      <c r="AD28" s="100"/>
      <c r="AE28" s="100"/>
      <c r="AF28" s="100"/>
    </row>
    <row r="30" spans="1:32" x14ac:dyDescent="0.25">
      <c r="H30" s="110"/>
      <c r="I30" s="107"/>
      <c r="O30" s="94"/>
      <c r="P30" s="94"/>
    </row>
    <row r="31" spans="1:32" x14ac:dyDescent="0.25">
      <c r="O31" s="94"/>
      <c r="P31" s="94"/>
    </row>
    <row r="39" spans="1:1" ht="16.5" thickBot="1" x14ac:dyDescent="0.3">
      <c r="A39" s="106" t="s">
        <v>429</v>
      </c>
    </row>
    <row r="40" spans="1:1" ht="50.25" customHeight="1" x14ac:dyDescent="0.25">
      <c r="A40" s="92" t="s">
        <v>557</v>
      </c>
    </row>
    <row r="41" spans="1:1" ht="47.25" x14ac:dyDescent="0.25">
      <c r="A41" s="92" t="s">
        <v>870</v>
      </c>
    </row>
    <row r="42" spans="1:1" ht="141.75" x14ac:dyDescent="0.25">
      <c r="A42" s="92" t="s">
        <v>558</v>
      </c>
    </row>
    <row r="43" spans="1:1" ht="63" x14ac:dyDescent="0.25">
      <c r="A43" s="92" t="s">
        <v>559</v>
      </c>
    </row>
    <row r="44" spans="1:1" ht="47.25" x14ac:dyDescent="0.25">
      <c r="A44" s="92" t="s">
        <v>871</v>
      </c>
    </row>
    <row r="45" spans="1:1" ht="47.25" x14ac:dyDescent="0.25">
      <c r="A45" s="92" t="s">
        <v>872</v>
      </c>
    </row>
    <row r="46" spans="1:1" ht="173.25" x14ac:dyDescent="0.25">
      <c r="A46" s="92" t="s">
        <v>882</v>
      </c>
    </row>
    <row r="47" spans="1:1" ht="63" x14ac:dyDescent="0.25">
      <c r="A47" s="92" t="s">
        <v>869</v>
      </c>
    </row>
    <row r="48" spans="1:1" ht="52.5" customHeight="1" x14ac:dyDescent="0.25">
      <c r="A48" s="92" t="s">
        <v>874</v>
      </c>
    </row>
    <row r="49" spans="1:1" ht="31.5" x14ac:dyDescent="0.25">
      <c r="A49" s="92" t="s">
        <v>873</v>
      </c>
    </row>
    <row r="50" spans="1:1" ht="31.5" x14ac:dyDescent="0.25">
      <c r="A50" s="92" t="s">
        <v>685</v>
      </c>
    </row>
    <row r="51" spans="1:1" x14ac:dyDescent="0.25">
      <c r="A51" s="92" t="s">
        <v>683</v>
      </c>
    </row>
    <row r="52" spans="1:1" x14ac:dyDescent="0.25">
      <c r="A52" s="92" t="s">
        <v>684</v>
      </c>
    </row>
    <row r="53" spans="1:1" x14ac:dyDescent="0.25">
      <c r="A53" s="92" t="s">
        <v>686</v>
      </c>
    </row>
    <row r="54" spans="1:1" ht="63" x14ac:dyDescent="0.25">
      <c r="A54" s="92" t="s">
        <v>687</v>
      </c>
    </row>
    <row r="55" spans="1:1" ht="63" x14ac:dyDescent="0.25">
      <c r="A55" s="92" t="s">
        <v>880</v>
      </c>
    </row>
    <row r="64" spans="1:1" ht="16.5" customHeight="1" x14ac:dyDescent="0.25"/>
  </sheetData>
  <mergeCells count="18">
    <mergeCell ref="AC8:AF10"/>
    <mergeCell ref="F19:F20"/>
    <mergeCell ref="H16:I16"/>
    <mergeCell ref="J1:P16"/>
    <mergeCell ref="K17:P17"/>
    <mergeCell ref="K18:P18"/>
    <mergeCell ref="K19:P19"/>
    <mergeCell ref="K20:P20"/>
    <mergeCell ref="Q16:Q21"/>
    <mergeCell ref="K21:P21"/>
    <mergeCell ref="K22:P22"/>
    <mergeCell ref="R9:V12"/>
    <mergeCell ref="Q9:Q12"/>
    <mergeCell ref="A19:A20"/>
    <mergeCell ref="B19:B20"/>
    <mergeCell ref="C19:C20"/>
    <mergeCell ref="D19:D20"/>
    <mergeCell ref="E19:E20"/>
  </mergeCells>
  <hyperlinks>
    <hyperlink ref="K20" r:id="rId1"/>
  </hyperlinks>
  <pageMargins left="0.7" right="0.7" top="0.75" bottom="0.75" header="0.3" footer="0.3"/>
  <pageSetup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2"/>
  <sheetViews>
    <sheetView zoomScaleNormal="100" workbookViewId="0">
      <pane ySplit="29" topLeftCell="A30" activePane="bottomLeft" state="frozen"/>
      <selection sqref="A1:C1"/>
      <selection pane="bottomLeft" activeCell="C7" sqref="C7"/>
    </sheetView>
  </sheetViews>
  <sheetFormatPr defaultRowHeight="15" x14ac:dyDescent="0.25"/>
  <cols>
    <col min="1" max="1" width="14" style="275" bestFit="1" customWidth="1"/>
    <col min="2" max="2" width="10.125" style="275" bestFit="1" customWidth="1"/>
    <col min="3" max="3" width="13.75" style="275" customWidth="1"/>
    <col min="4" max="4" width="10.625" style="275" bestFit="1" customWidth="1"/>
    <col min="5" max="7" width="10.375" style="275" bestFit="1" customWidth="1"/>
    <col min="8" max="256" width="9" style="275"/>
    <col min="257" max="257" width="14" style="275" bestFit="1" customWidth="1"/>
    <col min="258" max="258" width="10.125" style="275" bestFit="1" customWidth="1"/>
    <col min="259" max="259" width="13.125" style="275" bestFit="1" customWidth="1"/>
    <col min="260" max="260" width="10.625" style="275" bestFit="1" customWidth="1"/>
    <col min="261" max="263" width="10.375" style="275" bestFit="1" customWidth="1"/>
    <col min="264" max="512" width="9" style="275"/>
    <col min="513" max="513" width="14" style="275" bestFit="1" customWidth="1"/>
    <col min="514" max="514" width="10.125" style="275" bestFit="1" customWidth="1"/>
    <col min="515" max="515" width="13.125" style="275" bestFit="1" customWidth="1"/>
    <col min="516" max="516" width="10.625" style="275" bestFit="1" customWidth="1"/>
    <col min="517" max="519" width="10.375" style="275" bestFit="1" customWidth="1"/>
    <col min="520" max="768" width="9" style="275"/>
    <col min="769" max="769" width="14" style="275" bestFit="1" customWidth="1"/>
    <col min="770" max="770" width="10.125" style="275" bestFit="1" customWidth="1"/>
    <col min="771" max="771" width="13.125" style="275" bestFit="1" customWidth="1"/>
    <col min="772" max="772" width="10.625" style="275" bestFit="1" customWidth="1"/>
    <col min="773" max="775" width="10.375" style="275" bestFit="1" customWidth="1"/>
    <col min="776" max="1024" width="9" style="275"/>
    <col min="1025" max="1025" width="14" style="275" bestFit="1" customWidth="1"/>
    <col min="1026" max="1026" width="10.125" style="275" bestFit="1" customWidth="1"/>
    <col min="1027" max="1027" width="13.125" style="275" bestFit="1" customWidth="1"/>
    <col min="1028" max="1028" width="10.625" style="275" bestFit="1" customWidth="1"/>
    <col min="1029" max="1031" width="10.375" style="275" bestFit="1" customWidth="1"/>
    <col min="1032" max="1280" width="9" style="275"/>
    <col min="1281" max="1281" width="14" style="275" bestFit="1" customWidth="1"/>
    <col min="1282" max="1282" width="10.125" style="275" bestFit="1" customWidth="1"/>
    <col min="1283" max="1283" width="13.125" style="275" bestFit="1" customWidth="1"/>
    <col min="1284" max="1284" width="10.625" style="275" bestFit="1" customWidth="1"/>
    <col min="1285" max="1287" width="10.375" style="275" bestFit="1" customWidth="1"/>
    <col min="1288" max="1536" width="9" style="275"/>
    <col min="1537" max="1537" width="14" style="275" bestFit="1" customWidth="1"/>
    <col min="1538" max="1538" width="10.125" style="275" bestFit="1" customWidth="1"/>
    <col min="1539" max="1539" width="13.125" style="275" bestFit="1" customWidth="1"/>
    <col min="1540" max="1540" width="10.625" style="275" bestFit="1" customWidth="1"/>
    <col min="1541" max="1543" width="10.375" style="275" bestFit="1" customWidth="1"/>
    <col min="1544" max="1792" width="9" style="275"/>
    <col min="1793" max="1793" width="14" style="275" bestFit="1" customWidth="1"/>
    <col min="1794" max="1794" width="10.125" style="275" bestFit="1" customWidth="1"/>
    <col min="1795" max="1795" width="13.125" style="275" bestFit="1" customWidth="1"/>
    <col min="1796" max="1796" width="10.625" style="275" bestFit="1" customWidth="1"/>
    <col min="1797" max="1799" width="10.375" style="275" bestFit="1" customWidth="1"/>
    <col min="1800" max="2048" width="9" style="275"/>
    <col min="2049" max="2049" width="14" style="275" bestFit="1" customWidth="1"/>
    <col min="2050" max="2050" width="10.125" style="275" bestFit="1" customWidth="1"/>
    <col min="2051" max="2051" width="13.125" style="275" bestFit="1" customWidth="1"/>
    <col min="2052" max="2052" width="10.625" style="275" bestFit="1" customWidth="1"/>
    <col min="2053" max="2055" width="10.375" style="275" bestFit="1" customWidth="1"/>
    <col min="2056" max="2304" width="9" style="275"/>
    <col min="2305" max="2305" width="14" style="275" bestFit="1" customWidth="1"/>
    <col min="2306" max="2306" width="10.125" style="275" bestFit="1" customWidth="1"/>
    <col min="2307" max="2307" width="13.125" style="275" bestFit="1" customWidth="1"/>
    <col min="2308" max="2308" width="10.625" style="275" bestFit="1" customWidth="1"/>
    <col min="2309" max="2311" width="10.375" style="275" bestFit="1" customWidth="1"/>
    <col min="2312" max="2560" width="9" style="275"/>
    <col min="2561" max="2561" width="14" style="275" bestFit="1" customWidth="1"/>
    <col min="2562" max="2562" width="10.125" style="275" bestFit="1" customWidth="1"/>
    <col min="2563" max="2563" width="13.125" style="275" bestFit="1" customWidth="1"/>
    <col min="2564" max="2564" width="10.625" style="275" bestFit="1" customWidth="1"/>
    <col min="2565" max="2567" width="10.375" style="275" bestFit="1" customWidth="1"/>
    <col min="2568" max="2816" width="9" style="275"/>
    <col min="2817" max="2817" width="14" style="275" bestFit="1" customWidth="1"/>
    <col min="2818" max="2818" width="10.125" style="275" bestFit="1" customWidth="1"/>
    <col min="2819" max="2819" width="13.125" style="275" bestFit="1" customWidth="1"/>
    <col min="2820" max="2820" width="10.625" style="275" bestFit="1" customWidth="1"/>
    <col min="2821" max="2823" width="10.375" style="275" bestFit="1" customWidth="1"/>
    <col min="2824" max="3072" width="9" style="275"/>
    <col min="3073" max="3073" width="14" style="275" bestFit="1" customWidth="1"/>
    <col min="3074" max="3074" width="10.125" style="275" bestFit="1" customWidth="1"/>
    <col min="3075" max="3075" width="13.125" style="275" bestFit="1" customWidth="1"/>
    <col min="3076" max="3076" width="10.625" style="275" bestFit="1" customWidth="1"/>
    <col min="3077" max="3079" width="10.375" style="275" bestFit="1" customWidth="1"/>
    <col min="3080" max="3328" width="9" style="275"/>
    <col min="3329" max="3329" width="14" style="275" bestFit="1" customWidth="1"/>
    <col min="3330" max="3330" width="10.125" style="275" bestFit="1" customWidth="1"/>
    <col min="3331" max="3331" width="13.125" style="275" bestFit="1" customWidth="1"/>
    <col min="3332" max="3332" width="10.625" style="275" bestFit="1" customWidth="1"/>
    <col min="3333" max="3335" width="10.375" style="275" bestFit="1" customWidth="1"/>
    <col min="3336" max="3584" width="9" style="275"/>
    <col min="3585" max="3585" width="14" style="275" bestFit="1" customWidth="1"/>
    <col min="3586" max="3586" width="10.125" style="275" bestFit="1" customWidth="1"/>
    <col min="3587" max="3587" width="13.125" style="275" bestFit="1" customWidth="1"/>
    <col min="3588" max="3588" width="10.625" style="275" bestFit="1" customWidth="1"/>
    <col min="3589" max="3591" width="10.375" style="275" bestFit="1" customWidth="1"/>
    <col min="3592" max="3840" width="9" style="275"/>
    <col min="3841" max="3841" width="14" style="275" bestFit="1" customWidth="1"/>
    <col min="3842" max="3842" width="10.125" style="275" bestFit="1" customWidth="1"/>
    <col min="3843" max="3843" width="13.125" style="275" bestFit="1" customWidth="1"/>
    <col min="3844" max="3844" width="10.625" style="275" bestFit="1" customWidth="1"/>
    <col min="3845" max="3847" width="10.375" style="275" bestFit="1" customWidth="1"/>
    <col min="3848" max="4096" width="9" style="275"/>
    <col min="4097" max="4097" width="14" style="275" bestFit="1" customWidth="1"/>
    <col min="4098" max="4098" width="10.125" style="275" bestFit="1" customWidth="1"/>
    <col min="4099" max="4099" width="13.125" style="275" bestFit="1" customWidth="1"/>
    <col min="4100" max="4100" width="10.625" style="275" bestFit="1" customWidth="1"/>
    <col min="4101" max="4103" width="10.375" style="275" bestFit="1" customWidth="1"/>
    <col min="4104" max="4352" width="9" style="275"/>
    <col min="4353" max="4353" width="14" style="275" bestFit="1" customWidth="1"/>
    <col min="4354" max="4354" width="10.125" style="275" bestFit="1" customWidth="1"/>
    <col min="4355" max="4355" width="13.125" style="275" bestFit="1" customWidth="1"/>
    <col min="4356" max="4356" width="10.625" style="275" bestFit="1" customWidth="1"/>
    <col min="4357" max="4359" width="10.375" style="275" bestFit="1" customWidth="1"/>
    <col min="4360" max="4608" width="9" style="275"/>
    <col min="4609" max="4609" width="14" style="275" bestFit="1" customWidth="1"/>
    <col min="4610" max="4610" width="10.125" style="275" bestFit="1" customWidth="1"/>
    <col min="4611" max="4611" width="13.125" style="275" bestFit="1" customWidth="1"/>
    <col min="4612" max="4612" width="10.625" style="275" bestFit="1" customWidth="1"/>
    <col min="4613" max="4615" width="10.375" style="275" bestFit="1" customWidth="1"/>
    <col min="4616" max="4864" width="9" style="275"/>
    <col min="4865" max="4865" width="14" style="275" bestFit="1" customWidth="1"/>
    <col min="4866" max="4866" width="10.125" style="275" bestFit="1" customWidth="1"/>
    <col min="4867" max="4867" width="13.125" style="275" bestFit="1" customWidth="1"/>
    <col min="4868" max="4868" width="10.625" style="275" bestFit="1" customWidth="1"/>
    <col min="4869" max="4871" width="10.375" style="275" bestFit="1" customWidth="1"/>
    <col min="4872" max="5120" width="9" style="275"/>
    <col min="5121" max="5121" width="14" style="275" bestFit="1" customWidth="1"/>
    <col min="5122" max="5122" width="10.125" style="275" bestFit="1" customWidth="1"/>
    <col min="5123" max="5123" width="13.125" style="275" bestFit="1" customWidth="1"/>
    <col min="5124" max="5124" width="10.625" style="275" bestFit="1" customWidth="1"/>
    <col min="5125" max="5127" width="10.375" style="275" bestFit="1" customWidth="1"/>
    <col min="5128" max="5376" width="9" style="275"/>
    <col min="5377" max="5377" width="14" style="275" bestFit="1" customWidth="1"/>
    <col min="5378" max="5378" width="10.125" style="275" bestFit="1" customWidth="1"/>
    <col min="5379" max="5379" width="13.125" style="275" bestFit="1" customWidth="1"/>
    <col min="5380" max="5380" width="10.625" style="275" bestFit="1" customWidth="1"/>
    <col min="5381" max="5383" width="10.375" style="275" bestFit="1" customWidth="1"/>
    <col min="5384" max="5632" width="9" style="275"/>
    <col min="5633" max="5633" width="14" style="275" bestFit="1" customWidth="1"/>
    <col min="5634" max="5634" width="10.125" style="275" bestFit="1" customWidth="1"/>
    <col min="5635" max="5635" width="13.125" style="275" bestFit="1" customWidth="1"/>
    <col min="5636" max="5636" width="10.625" style="275" bestFit="1" customWidth="1"/>
    <col min="5637" max="5639" width="10.375" style="275" bestFit="1" customWidth="1"/>
    <col min="5640" max="5888" width="9" style="275"/>
    <col min="5889" max="5889" width="14" style="275" bestFit="1" customWidth="1"/>
    <col min="5890" max="5890" width="10.125" style="275" bestFit="1" customWidth="1"/>
    <col min="5891" max="5891" width="13.125" style="275" bestFit="1" customWidth="1"/>
    <col min="5892" max="5892" width="10.625" style="275" bestFit="1" customWidth="1"/>
    <col min="5893" max="5895" width="10.375" style="275" bestFit="1" customWidth="1"/>
    <col min="5896" max="6144" width="9" style="275"/>
    <col min="6145" max="6145" width="14" style="275" bestFit="1" customWidth="1"/>
    <col min="6146" max="6146" width="10.125" style="275" bestFit="1" customWidth="1"/>
    <col min="6147" max="6147" width="13.125" style="275" bestFit="1" customWidth="1"/>
    <col min="6148" max="6148" width="10.625" style="275" bestFit="1" customWidth="1"/>
    <col min="6149" max="6151" width="10.375" style="275" bestFit="1" customWidth="1"/>
    <col min="6152" max="6400" width="9" style="275"/>
    <col min="6401" max="6401" width="14" style="275" bestFit="1" customWidth="1"/>
    <col min="6402" max="6402" width="10.125" style="275" bestFit="1" customWidth="1"/>
    <col min="6403" max="6403" width="13.125" style="275" bestFit="1" customWidth="1"/>
    <col min="6404" max="6404" width="10.625" style="275" bestFit="1" customWidth="1"/>
    <col min="6405" max="6407" width="10.375" style="275" bestFit="1" customWidth="1"/>
    <col min="6408" max="6656" width="9" style="275"/>
    <col min="6657" max="6657" width="14" style="275" bestFit="1" customWidth="1"/>
    <col min="6658" max="6658" width="10.125" style="275" bestFit="1" customWidth="1"/>
    <col min="6659" max="6659" width="13.125" style="275" bestFit="1" customWidth="1"/>
    <col min="6660" max="6660" width="10.625" style="275" bestFit="1" customWidth="1"/>
    <col min="6661" max="6663" width="10.375" style="275" bestFit="1" customWidth="1"/>
    <col min="6664" max="6912" width="9" style="275"/>
    <col min="6913" max="6913" width="14" style="275" bestFit="1" customWidth="1"/>
    <col min="6914" max="6914" width="10.125" style="275" bestFit="1" customWidth="1"/>
    <col min="6915" max="6915" width="13.125" style="275" bestFit="1" customWidth="1"/>
    <col min="6916" max="6916" width="10.625" style="275" bestFit="1" customWidth="1"/>
    <col min="6917" max="6919" width="10.375" style="275" bestFit="1" customWidth="1"/>
    <col min="6920" max="7168" width="9" style="275"/>
    <col min="7169" max="7169" width="14" style="275" bestFit="1" customWidth="1"/>
    <col min="7170" max="7170" width="10.125" style="275" bestFit="1" customWidth="1"/>
    <col min="7171" max="7171" width="13.125" style="275" bestFit="1" customWidth="1"/>
    <col min="7172" max="7172" width="10.625" style="275" bestFit="1" customWidth="1"/>
    <col min="7173" max="7175" width="10.375" style="275" bestFit="1" customWidth="1"/>
    <col min="7176" max="7424" width="9" style="275"/>
    <col min="7425" max="7425" width="14" style="275" bestFit="1" customWidth="1"/>
    <col min="7426" max="7426" width="10.125" style="275" bestFit="1" customWidth="1"/>
    <col min="7427" max="7427" width="13.125" style="275" bestFit="1" customWidth="1"/>
    <col min="7428" max="7428" width="10.625" style="275" bestFit="1" customWidth="1"/>
    <col min="7429" max="7431" width="10.375" style="275" bestFit="1" customWidth="1"/>
    <col min="7432" max="7680" width="9" style="275"/>
    <col min="7681" max="7681" width="14" style="275" bestFit="1" customWidth="1"/>
    <col min="7682" max="7682" width="10.125" style="275" bestFit="1" customWidth="1"/>
    <col min="7683" max="7683" width="13.125" style="275" bestFit="1" customWidth="1"/>
    <col min="7684" max="7684" width="10.625" style="275" bestFit="1" customWidth="1"/>
    <col min="7685" max="7687" width="10.375" style="275" bestFit="1" customWidth="1"/>
    <col min="7688" max="7936" width="9" style="275"/>
    <col min="7937" max="7937" width="14" style="275" bestFit="1" customWidth="1"/>
    <col min="7938" max="7938" width="10.125" style="275" bestFit="1" customWidth="1"/>
    <col min="7939" max="7939" width="13.125" style="275" bestFit="1" customWidth="1"/>
    <col min="7940" max="7940" width="10.625" style="275" bestFit="1" customWidth="1"/>
    <col min="7941" max="7943" width="10.375" style="275" bestFit="1" customWidth="1"/>
    <col min="7944" max="8192" width="9" style="275"/>
    <col min="8193" max="8193" width="14" style="275" bestFit="1" customWidth="1"/>
    <col min="8194" max="8194" width="10.125" style="275" bestFit="1" customWidth="1"/>
    <col min="8195" max="8195" width="13.125" style="275" bestFit="1" customWidth="1"/>
    <col min="8196" max="8196" width="10.625" style="275" bestFit="1" customWidth="1"/>
    <col min="8197" max="8199" width="10.375" style="275" bestFit="1" customWidth="1"/>
    <col min="8200" max="8448" width="9" style="275"/>
    <col min="8449" max="8449" width="14" style="275" bestFit="1" customWidth="1"/>
    <col min="8450" max="8450" width="10.125" style="275" bestFit="1" customWidth="1"/>
    <col min="8451" max="8451" width="13.125" style="275" bestFit="1" customWidth="1"/>
    <col min="8452" max="8452" width="10.625" style="275" bestFit="1" customWidth="1"/>
    <col min="8453" max="8455" width="10.375" style="275" bestFit="1" customWidth="1"/>
    <col min="8456" max="8704" width="9" style="275"/>
    <col min="8705" max="8705" width="14" style="275" bestFit="1" customWidth="1"/>
    <col min="8706" max="8706" width="10.125" style="275" bestFit="1" customWidth="1"/>
    <col min="8707" max="8707" width="13.125" style="275" bestFit="1" customWidth="1"/>
    <col min="8708" max="8708" width="10.625" style="275" bestFit="1" customWidth="1"/>
    <col min="8709" max="8711" width="10.375" style="275" bestFit="1" customWidth="1"/>
    <col min="8712" max="8960" width="9" style="275"/>
    <col min="8961" max="8961" width="14" style="275" bestFit="1" customWidth="1"/>
    <col min="8962" max="8962" width="10.125" style="275" bestFit="1" customWidth="1"/>
    <col min="8963" max="8963" width="13.125" style="275" bestFit="1" customWidth="1"/>
    <col min="8964" max="8964" width="10.625" style="275" bestFit="1" customWidth="1"/>
    <col min="8965" max="8967" width="10.375" style="275" bestFit="1" customWidth="1"/>
    <col min="8968" max="9216" width="9" style="275"/>
    <col min="9217" max="9217" width="14" style="275" bestFit="1" customWidth="1"/>
    <col min="9218" max="9218" width="10.125" style="275" bestFit="1" customWidth="1"/>
    <col min="9219" max="9219" width="13.125" style="275" bestFit="1" customWidth="1"/>
    <col min="9220" max="9220" width="10.625" style="275" bestFit="1" customWidth="1"/>
    <col min="9221" max="9223" width="10.375" style="275" bestFit="1" customWidth="1"/>
    <col min="9224" max="9472" width="9" style="275"/>
    <col min="9473" max="9473" width="14" style="275" bestFit="1" customWidth="1"/>
    <col min="9474" max="9474" width="10.125" style="275" bestFit="1" customWidth="1"/>
    <col min="9475" max="9475" width="13.125" style="275" bestFit="1" customWidth="1"/>
    <col min="9476" max="9476" width="10.625" style="275" bestFit="1" customWidth="1"/>
    <col min="9477" max="9479" width="10.375" style="275" bestFit="1" customWidth="1"/>
    <col min="9480" max="9728" width="9" style="275"/>
    <col min="9729" max="9729" width="14" style="275" bestFit="1" customWidth="1"/>
    <col min="9730" max="9730" width="10.125" style="275" bestFit="1" customWidth="1"/>
    <col min="9731" max="9731" width="13.125" style="275" bestFit="1" customWidth="1"/>
    <col min="9732" max="9732" width="10.625" style="275" bestFit="1" customWidth="1"/>
    <col min="9733" max="9735" width="10.375" style="275" bestFit="1" customWidth="1"/>
    <col min="9736" max="9984" width="9" style="275"/>
    <col min="9985" max="9985" width="14" style="275" bestFit="1" customWidth="1"/>
    <col min="9986" max="9986" width="10.125" style="275" bestFit="1" customWidth="1"/>
    <col min="9987" max="9987" width="13.125" style="275" bestFit="1" customWidth="1"/>
    <col min="9988" max="9988" width="10.625" style="275" bestFit="1" customWidth="1"/>
    <col min="9989" max="9991" width="10.375" style="275" bestFit="1" customWidth="1"/>
    <col min="9992" max="10240" width="9" style="275"/>
    <col min="10241" max="10241" width="14" style="275" bestFit="1" customWidth="1"/>
    <col min="10242" max="10242" width="10.125" style="275" bestFit="1" customWidth="1"/>
    <col min="10243" max="10243" width="13.125" style="275" bestFit="1" customWidth="1"/>
    <col min="10244" max="10244" width="10.625" style="275" bestFit="1" customWidth="1"/>
    <col min="10245" max="10247" width="10.375" style="275" bestFit="1" customWidth="1"/>
    <col min="10248" max="10496" width="9" style="275"/>
    <col min="10497" max="10497" width="14" style="275" bestFit="1" customWidth="1"/>
    <col min="10498" max="10498" width="10.125" style="275" bestFit="1" customWidth="1"/>
    <col min="10499" max="10499" width="13.125" style="275" bestFit="1" customWidth="1"/>
    <col min="10500" max="10500" width="10.625" style="275" bestFit="1" customWidth="1"/>
    <col min="10501" max="10503" width="10.375" style="275" bestFit="1" customWidth="1"/>
    <col min="10504" max="10752" width="9" style="275"/>
    <col min="10753" max="10753" width="14" style="275" bestFit="1" customWidth="1"/>
    <col min="10754" max="10754" width="10.125" style="275" bestFit="1" customWidth="1"/>
    <col min="10755" max="10755" width="13.125" style="275" bestFit="1" customWidth="1"/>
    <col min="10756" max="10756" width="10.625" style="275" bestFit="1" customWidth="1"/>
    <col min="10757" max="10759" width="10.375" style="275" bestFit="1" customWidth="1"/>
    <col min="10760" max="11008" width="9" style="275"/>
    <col min="11009" max="11009" width="14" style="275" bestFit="1" customWidth="1"/>
    <col min="11010" max="11010" width="10.125" style="275" bestFit="1" customWidth="1"/>
    <col min="11011" max="11011" width="13.125" style="275" bestFit="1" customWidth="1"/>
    <col min="11012" max="11012" width="10.625" style="275" bestFit="1" customWidth="1"/>
    <col min="11013" max="11015" width="10.375" style="275" bestFit="1" customWidth="1"/>
    <col min="11016" max="11264" width="9" style="275"/>
    <col min="11265" max="11265" width="14" style="275" bestFit="1" customWidth="1"/>
    <col min="11266" max="11266" width="10.125" style="275" bestFit="1" customWidth="1"/>
    <col min="11267" max="11267" width="13.125" style="275" bestFit="1" customWidth="1"/>
    <col min="11268" max="11268" width="10.625" style="275" bestFit="1" customWidth="1"/>
    <col min="11269" max="11271" width="10.375" style="275" bestFit="1" customWidth="1"/>
    <col min="11272" max="11520" width="9" style="275"/>
    <col min="11521" max="11521" width="14" style="275" bestFit="1" customWidth="1"/>
    <col min="11522" max="11522" width="10.125" style="275" bestFit="1" customWidth="1"/>
    <col min="11523" max="11523" width="13.125" style="275" bestFit="1" customWidth="1"/>
    <col min="11524" max="11524" width="10.625" style="275" bestFit="1" customWidth="1"/>
    <col min="11525" max="11527" width="10.375" style="275" bestFit="1" customWidth="1"/>
    <col min="11528" max="11776" width="9" style="275"/>
    <col min="11777" max="11777" width="14" style="275" bestFit="1" customWidth="1"/>
    <col min="11778" max="11778" width="10.125" style="275" bestFit="1" customWidth="1"/>
    <col min="11779" max="11779" width="13.125" style="275" bestFit="1" customWidth="1"/>
    <col min="11780" max="11780" width="10.625" style="275" bestFit="1" customWidth="1"/>
    <col min="11781" max="11783" width="10.375" style="275" bestFit="1" customWidth="1"/>
    <col min="11784" max="12032" width="9" style="275"/>
    <col min="12033" max="12033" width="14" style="275" bestFit="1" customWidth="1"/>
    <col min="12034" max="12034" width="10.125" style="275" bestFit="1" customWidth="1"/>
    <col min="12035" max="12035" width="13.125" style="275" bestFit="1" customWidth="1"/>
    <col min="12036" max="12036" width="10.625" style="275" bestFit="1" customWidth="1"/>
    <col min="12037" max="12039" width="10.375" style="275" bestFit="1" customWidth="1"/>
    <col min="12040" max="12288" width="9" style="275"/>
    <col min="12289" max="12289" width="14" style="275" bestFit="1" customWidth="1"/>
    <col min="12290" max="12290" width="10.125" style="275" bestFit="1" customWidth="1"/>
    <col min="12291" max="12291" width="13.125" style="275" bestFit="1" customWidth="1"/>
    <col min="12292" max="12292" width="10.625" style="275" bestFit="1" customWidth="1"/>
    <col min="12293" max="12295" width="10.375" style="275" bestFit="1" customWidth="1"/>
    <col min="12296" max="12544" width="9" style="275"/>
    <col min="12545" max="12545" width="14" style="275" bestFit="1" customWidth="1"/>
    <col min="12546" max="12546" width="10.125" style="275" bestFit="1" customWidth="1"/>
    <col min="12547" max="12547" width="13.125" style="275" bestFit="1" customWidth="1"/>
    <col min="12548" max="12548" width="10.625" style="275" bestFit="1" customWidth="1"/>
    <col min="12549" max="12551" width="10.375" style="275" bestFit="1" customWidth="1"/>
    <col min="12552" max="12800" width="9" style="275"/>
    <col min="12801" max="12801" width="14" style="275" bestFit="1" customWidth="1"/>
    <col min="12802" max="12802" width="10.125" style="275" bestFit="1" customWidth="1"/>
    <col min="12803" max="12803" width="13.125" style="275" bestFit="1" customWidth="1"/>
    <col min="12804" max="12804" width="10.625" style="275" bestFit="1" customWidth="1"/>
    <col min="12805" max="12807" width="10.375" style="275" bestFit="1" customWidth="1"/>
    <col min="12808" max="13056" width="9" style="275"/>
    <col min="13057" max="13057" width="14" style="275" bestFit="1" customWidth="1"/>
    <col min="13058" max="13058" width="10.125" style="275" bestFit="1" customWidth="1"/>
    <col min="13059" max="13059" width="13.125" style="275" bestFit="1" customWidth="1"/>
    <col min="13060" max="13060" width="10.625" style="275" bestFit="1" customWidth="1"/>
    <col min="13061" max="13063" width="10.375" style="275" bestFit="1" customWidth="1"/>
    <col min="13064" max="13312" width="9" style="275"/>
    <col min="13313" max="13313" width="14" style="275" bestFit="1" customWidth="1"/>
    <col min="13314" max="13314" width="10.125" style="275" bestFit="1" customWidth="1"/>
    <col min="13315" max="13315" width="13.125" style="275" bestFit="1" customWidth="1"/>
    <col min="13316" max="13316" width="10.625" style="275" bestFit="1" customWidth="1"/>
    <col min="13317" max="13319" width="10.375" style="275" bestFit="1" customWidth="1"/>
    <col min="13320" max="13568" width="9" style="275"/>
    <col min="13569" max="13569" width="14" style="275" bestFit="1" customWidth="1"/>
    <col min="13570" max="13570" width="10.125" style="275" bestFit="1" customWidth="1"/>
    <col min="13571" max="13571" width="13.125" style="275" bestFit="1" customWidth="1"/>
    <col min="13572" max="13572" width="10.625" style="275" bestFit="1" customWidth="1"/>
    <col min="13573" max="13575" width="10.375" style="275" bestFit="1" customWidth="1"/>
    <col min="13576" max="13824" width="9" style="275"/>
    <col min="13825" max="13825" width="14" style="275" bestFit="1" customWidth="1"/>
    <col min="13826" max="13826" width="10.125" style="275" bestFit="1" customWidth="1"/>
    <col min="13827" max="13827" width="13.125" style="275" bestFit="1" customWidth="1"/>
    <col min="13828" max="13828" width="10.625" style="275" bestFit="1" customWidth="1"/>
    <col min="13829" max="13831" width="10.375" style="275" bestFit="1" customWidth="1"/>
    <col min="13832" max="14080" width="9" style="275"/>
    <col min="14081" max="14081" width="14" style="275" bestFit="1" customWidth="1"/>
    <col min="14082" max="14082" width="10.125" style="275" bestFit="1" customWidth="1"/>
    <col min="14083" max="14083" width="13.125" style="275" bestFit="1" customWidth="1"/>
    <col min="14084" max="14084" width="10.625" style="275" bestFit="1" customWidth="1"/>
    <col min="14085" max="14087" width="10.375" style="275" bestFit="1" customWidth="1"/>
    <col min="14088" max="14336" width="9" style="275"/>
    <col min="14337" max="14337" width="14" style="275" bestFit="1" customWidth="1"/>
    <col min="14338" max="14338" width="10.125" style="275" bestFit="1" customWidth="1"/>
    <col min="14339" max="14339" width="13.125" style="275" bestFit="1" customWidth="1"/>
    <col min="14340" max="14340" width="10.625" style="275" bestFit="1" customWidth="1"/>
    <col min="14341" max="14343" width="10.375" style="275" bestFit="1" customWidth="1"/>
    <col min="14344" max="14592" width="9" style="275"/>
    <col min="14593" max="14593" width="14" style="275" bestFit="1" customWidth="1"/>
    <col min="14594" max="14594" width="10.125" style="275" bestFit="1" customWidth="1"/>
    <col min="14595" max="14595" width="13.125" style="275" bestFit="1" customWidth="1"/>
    <col min="14596" max="14596" width="10.625" style="275" bestFit="1" customWidth="1"/>
    <col min="14597" max="14599" width="10.375" style="275" bestFit="1" customWidth="1"/>
    <col min="14600" max="14848" width="9" style="275"/>
    <col min="14849" max="14849" width="14" style="275" bestFit="1" customWidth="1"/>
    <col min="14850" max="14850" width="10.125" style="275" bestFit="1" customWidth="1"/>
    <col min="14851" max="14851" width="13.125" style="275" bestFit="1" customWidth="1"/>
    <col min="14852" max="14852" width="10.625" style="275" bestFit="1" customWidth="1"/>
    <col min="14853" max="14855" width="10.375" style="275" bestFit="1" customWidth="1"/>
    <col min="14856" max="15104" width="9" style="275"/>
    <col min="15105" max="15105" width="14" style="275" bestFit="1" customWidth="1"/>
    <col min="15106" max="15106" width="10.125" style="275" bestFit="1" customWidth="1"/>
    <col min="15107" max="15107" width="13.125" style="275" bestFit="1" customWidth="1"/>
    <col min="15108" max="15108" width="10.625" style="275" bestFit="1" customWidth="1"/>
    <col min="15109" max="15111" width="10.375" style="275" bestFit="1" customWidth="1"/>
    <col min="15112" max="15360" width="9" style="275"/>
    <col min="15361" max="15361" width="14" style="275" bestFit="1" customWidth="1"/>
    <col min="15362" max="15362" width="10.125" style="275" bestFit="1" customWidth="1"/>
    <col min="15363" max="15363" width="13.125" style="275" bestFit="1" customWidth="1"/>
    <col min="15364" max="15364" width="10.625" style="275" bestFit="1" customWidth="1"/>
    <col min="15365" max="15367" width="10.375" style="275" bestFit="1" customWidth="1"/>
    <col min="15368" max="15616" width="9" style="275"/>
    <col min="15617" max="15617" width="14" style="275" bestFit="1" customWidth="1"/>
    <col min="15618" max="15618" width="10.125" style="275" bestFit="1" customWidth="1"/>
    <col min="15619" max="15619" width="13.125" style="275" bestFit="1" customWidth="1"/>
    <col min="15620" max="15620" width="10.625" style="275" bestFit="1" customWidth="1"/>
    <col min="15621" max="15623" width="10.375" style="275" bestFit="1" customWidth="1"/>
    <col min="15624" max="15872" width="9" style="275"/>
    <col min="15873" max="15873" width="14" style="275" bestFit="1" customWidth="1"/>
    <col min="15874" max="15874" width="10.125" style="275" bestFit="1" customWidth="1"/>
    <col min="15875" max="15875" width="13.125" style="275" bestFit="1" customWidth="1"/>
    <col min="15876" max="15876" width="10.625" style="275" bestFit="1" customWidth="1"/>
    <col min="15877" max="15879" width="10.375" style="275" bestFit="1" customWidth="1"/>
    <col min="15880" max="16128" width="9" style="275"/>
    <col min="16129" max="16129" width="14" style="275" bestFit="1" customWidth="1"/>
    <col min="16130" max="16130" width="10.125" style="275" bestFit="1" customWidth="1"/>
    <col min="16131" max="16131" width="13.125" style="275" bestFit="1" customWidth="1"/>
    <col min="16132" max="16132" width="10.625" style="275" bestFit="1" customWidth="1"/>
    <col min="16133" max="16135" width="10.375" style="275" bestFit="1" customWidth="1"/>
    <col min="16136" max="16384" width="9" style="275"/>
  </cols>
  <sheetData>
    <row r="1" spans="1:7" ht="39.75" customHeight="1" x14ac:dyDescent="0.25">
      <c r="A1" s="477" t="s">
        <v>912</v>
      </c>
      <c r="B1" s="478"/>
      <c r="C1" s="479"/>
    </row>
    <row r="2" spans="1:7" ht="15.75" thickBot="1" x14ac:dyDescent="0.3"/>
    <row r="3" spans="1:7" x14ac:dyDescent="0.25">
      <c r="A3" s="277" t="s">
        <v>910</v>
      </c>
      <c r="B3" s="278"/>
      <c r="C3" s="278"/>
      <c r="D3" s="278"/>
      <c r="E3" s="278"/>
      <c r="F3" s="278"/>
      <c r="G3" s="279"/>
    </row>
    <row r="4" spans="1:7" x14ac:dyDescent="0.25">
      <c r="A4" s="280" t="s">
        <v>898</v>
      </c>
      <c r="B4" s="276" t="s">
        <v>899</v>
      </c>
      <c r="C4" s="276" t="s">
        <v>900</v>
      </c>
      <c r="D4" s="276" t="s">
        <v>901</v>
      </c>
      <c r="E4" s="276" t="s">
        <v>902</v>
      </c>
      <c r="F4" s="276" t="s">
        <v>903</v>
      </c>
      <c r="G4" s="281" t="s">
        <v>904</v>
      </c>
    </row>
    <row r="5" spans="1:7" x14ac:dyDescent="0.25">
      <c r="A5" s="282" t="s">
        <v>905</v>
      </c>
      <c r="B5" s="283"/>
      <c r="C5" s="284">
        <f>'Rev &amp; COGS'!C50</f>
        <v>5</v>
      </c>
      <c r="D5" s="283">
        <v>10</v>
      </c>
      <c r="E5" s="283">
        <f>SUM($B5:$C5)</f>
        <v>5</v>
      </c>
      <c r="F5" s="283"/>
      <c r="G5" s="285"/>
    </row>
    <row r="6" spans="1:7" x14ac:dyDescent="0.25">
      <c r="A6" s="282" t="s">
        <v>906</v>
      </c>
      <c r="B6" s="283">
        <f>SUM(C$5:C5)</f>
        <v>5</v>
      </c>
      <c r="C6" s="284">
        <f>$C5*0.3</f>
        <v>1.5</v>
      </c>
      <c r="D6" s="283">
        <v>10</v>
      </c>
      <c r="E6" s="283">
        <f>SUM($B5:$C5)</f>
        <v>5</v>
      </c>
      <c r="F6" s="283">
        <f>SUM($B6:$C6)</f>
        <v>6.5</v>
      </c>
      <c r="G6" s="285"/>
    </row>
    <row r="7" spans="1:7" x14ac:dyDescent="0.25">
      <c r="A7" s="282" t="s">
        <v>907</v>
      </c>
      <c r="B7" s="283">
        <f>SUM(C$5:C6)</f>
        <v>6.5</v>
      </c>
      <c r="C7" s="284">
        <f>$C5*0.05</f>
        <v>0.25</v>
      </c>
      <c r="D7" s="283">
        <v>10</v>
      </c>
      <c r="E7" s="283"/>
      <c r="F7" s="283">
        <f>SUM($B6:$C6)</f>
        <v>6.5</v>
      </c>
      <c r="G7" s="285">
        <f>SUM($B7:$C7)</f>
        <v>6.75</v>
      </c>
    </row>
    <row r="8" spans="1:7" x14ac:dyDescent="0.25">
      <c r="A8" s="282" t="s">
        <v>908</v>
      </c>
      <c r="B8" s="283"/>
      <c r="C8" s="286">
        <f>SUM(C5:C7)</f>
        <v>6.75</v>
      </c>
      <c r="D8" s="283">
        <v>10</v>
      </c>
      <c r="E8" s="283"/>
      <c r="F8" s="283"/>
      <c r="G8" s="285">
        <f>SUM($B7:$C7)</f>
        <v>6.75</v>
      </c>
    </row>
    <row r="9" spans="1:7" x14ac:dyDescent="0.25">
      <c r="A9" s="282"/>
      <c r="B9" s="287"/>
      <c r="C9" s="287"/>
      <c r="D9" s="287"/>
      <c r="E9" s="287"/>
      <c r="F9" s="287"/>
      <c r="G9" s="288"/>
    </row>
    <row r="10" spans="1:7" x14ac:dyDescent="0.25">
      <c r="A10" s="282"/>
      <c r="B10" s="287"/>
      <c r="C10" s="287"/>
      <c r="D10" s="287"/>
      <c r="E10" s="287"/>
      <c r="F10" s="287"/>
      <c r="G10" s="288"/>
    </row>
    <row r="11" spans="1:7" ht="15.75" thickBot="1" x14ac:dyDescent="0.3">
      <c r="A11" s="289"/>
      <c r="B11" s="290" t="s">
        <v>909</v>
      </c>
      <c r="C11" s="291"/>
      <c r="D11" s="291"/>
      <c r="E11" s="291"/>
      <c r="F11" s="291"/>
      <c r="G11" s="292"/>
    </row>
    <row r="13" spans="1:7" ht="15.75" thickBot="1" x14ac:dyDescent="0.3"/>
    <row r="14" spans="1:7" x14ac:dyDescent="0.25">
      <c r="A14" s="277" t="s">
        <v>911</v>
      </c>
      <c r="B14" s="278"/>
      <c r="C14" s="278"/>
      <c r="D14" s="278"/>
      <c r="E14" s="278"/>
      <c r="F14" s="278"/>
      <c r="G14" s="279"/>
    </row>
    <row r="15" spans="1:7" x14ac:dyDescent="0.25">
      <c r="A15" s="280" t="s">
        <v>898</v>
      </c>
      <c r="B15" s="276" t="s">
        <v>899</v>
      </c>
      <c r="C15" s="276" t="s">
        <v>900</v>
      </c>
      <c r="D15" s="276" t="s">
        <v>901</v>
      </c>
      <c r="E15" s="276" t="s">
        <v>902</v>
      </c>
      <c r="F15" s="276" t="s">
        <v>903</v>
      </c>
      <c r="G15" s="281" t="s">
        <v>904</v>
      </c>
    </row>
    <row r="16" spans="1:7" x14ac:dyDescent="0.25">
      <c r="A16" s="282" t="s">
        <v>905</v>
      </c>
      <c r="B16" s="283"/>
      <c r="C16" s="284">
        <f>'Rev &amp; COGS'!C49</f>
        <v>3.5</v>
      </c>
      <c r="D16" s="283">
        <v>10</v>
      </c>
      <c r="E16" s="283">
        <f>SUM($B16:$C16)</f>
        <v>3.5</v>
      </c>
      <c r="F16" s="283"/>
      <c r="G16" s="285"/>
    </row>
    <row r="17" spans="1:7" x14ac:dyDescent="0.25">
      <c r="A17" s="282" t="s">
        <v>906</v>
      </c>
      <c r="B17" s="293">
        <f>SUM(C$16:C16)</f>
        <v>3.5</v>
      </c>
      <c r="C17" s="284">
        <f>$C16*0.3</f>
        <v>1.05</v>
      </c>
      <c r="D17" s="283">
        <v>10</v>
      </c>
      <c r="E17" s="283">
        <f>SUM($B16:$C16)</f>
        <v>3.5</v>
      </c>
      <c r="F17" s="283">
        <f>SUM($B17:$C17)</f>
        <v>4.55</v>
      </c>
      <c r="G17" s="285"/>
    </row>
    <row r="18" spans="1:7" x14ac:dyDescent="0.25">
      <c r="A18" s="282" t="s">
        <v>907</v>
      </c>
      <c r="B18" s="293">
        <f>SUM(C$16:C17)</f>
        <v>4.55</v>
      </c>
      <c r="C18" s="284">
        <f>$C16*0.05</f>
        <v>0.17500000000000002</v>
      </c>
      <c r="D18" s="283">
        <v>10</v>
      </c>
      <c r="E18" s="283"/>
      <c r="F18" s="283">
        <f>SUM($B17:$C17)</f>
        <v>4.55</v>
      </c>
      <c r="G18" s="285">
        <f>SUM($B18:$C18)</f>
        <v>4.7249999999999996</v>
      </c>
    </row>
    <row r="19" spans="1:7" x14ac:dyDescent="0.25">
      <c r="A19" s="282" t="s">
        <v>908</v>
      </c>
      <c r="B19" s="283"/>
      <c r="C19" s="286">
        <f>SUM(C16:C18)</f>
        <v>4.7249999999999996</v>
      </c>
      <c r="D19" s="283">
        <v>10</v>
      </c>
      <c r="E19" s="283"/>
      <c r="F19" s="283"/>
      <c r="G19" s="285">
        <f>SUM($B18:$C18)</f>
        <v>4.7249999999999996</v>
      </c>
    </row>
    <row r="20" spans="1:7" x14ac:dyDescent="0.25">
      <c r="A20" s="282"/>
      <c r="B20" s="287"/>
      <c r="C20" s="287"/>
      <c r="D20" s="287"/>
      <c r="E20" s="287"/>
      <c r="F20" s="287"/>
      <c r="G20" s="288"/>
    </row>
    <row r="21" spans="1:7" x14ac:dyDescent="0.25">
      <c r="A21" s="282"/>
      <c r="B21" s="287"/>
      <c r="C21" s="287"/>
      <c r="D21" s="287"/>
      <c r="E21" s="287"/>
      <c r="F21" s="287"/>
      <c r="G21" s="288"/>
    </row>
    <row r="22" spans="1:7" ht="15.75" thickBot="1" x14ac:dyDescent="0.3">
      <c r="A22" s="289"/>
      <c r="B22" s="290" t="s">
        <v>909</v>
      </c>
      <c r="C22" s="291"/>
      <c r="D22" s="291"/>
      <c r="E22" s="291"/>
      <c r="F22" s="291"/>
      <c r="G22" s="292"/>
    </row>
  </sheetData>
  <mergeCells count="1">
    <mergeCell ref="A1:C1"/>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3"/>
  <sheetViews>
    <sheetView zoomScaleNormal="100" workbookViewId="0">
      <pane ySplit="29" topLeftCell="A30" activePane="bottomLeft" state="frozen"/>
      <selection sqref="A1:C1"/>
      <selection pane="bottomLeft" activeCell="N16" sqref="N16"/>
    </sheetView>
  </sheetViews>
  <sheetFormatPr defaultRowHeight="15" x14ac:dyDescent="0.25"/>
  <cols>
    <col min="1" max="1" width="14" style="275" bestFit="1" customWidth="1"/>
    <col min="2" max="2" width="10.125" style="275" bestFit="1" customWidth="1"/>
    <col min="3" max="3" width="16.75" style="275" customWidth="1"/>
    <col min="4" max="4" width="10.625" style="275" bestFit="1" customWidth="1"/>
    <col min="5" max="7" width="10.375" style="275" bestFit="1" customWidth="1"/>
    <col min="8" max="256" width="9" style="275"/>
    <col min="257" max="257" width="14" style="275" bestFit="1" customWidth="1"/>
    <col min="258" max="258" width="10.125" style="275" bestFit="1" customWidth="1"/>
    <col min="259" max="259" width="13.125" style="275" bestFit="1" customWidth="1"/>
    <col min="260" max="260" width="10.625" style="275" bestFit="1" customWidth="1"/>
    <col min="261" max="263" width="10.375" style="275" bestFit="1" customWidth="1"/>
    <col min="264" max="512" width="9" style="275"/>
    <col min="513" max="513" width="14" style="275" bestFit="1" customWidth="1"/>
    <col min="514" max="514" width="10.125" style="275" bestFit="1" customWidth="1"/>
    <col min="515" max="515" width="13.125" style="275" bestFit="1" customWidth="1"/>
    <col min="516" max="516" width="10.625" style="275" bestFit="1" customWidth="1"/>
    <col min="517" max="519" width="10.375" style="275" bestFit="1" customWidth="1"/>
    <col min="520" max="768" width="9" style="275"/>
    <col min="769" max="769" width="14" style="275" bestFit="1" customWidth="1"/>
    <col min="770" max="770" width="10.125" style="275" bestFit="1" customWidth="1"/>
    <col min="771" max="771" width="13.125" style="275" bestFit="1" customWidth="1"/>
    <col min="772" max="772" width="10.625" style="275" bestFit="1" customWidth="1"/>
    <col min="773" max="775" width="10.375" style="275" bestFit="1" customWidth="1"/>
    <col min="776" max="1024" width="9" style="275"/>
    <col min="1025" max="1025" width="14" style="275" bestFit="1" customWidth="1"/>
    <col min="1026" max="1026" width="10.125" style="275" bestFit="1" customWidth="1"/>
    <col min="1027" max="1027" width="13.125" style="275" bestFit="1" customWidth="1"/>
    <col min="1028" max="1028" width="10.625" style="275" bestFit="1" customWidth="1"/>
    <col min="1029" max="1031" width="10.375" style="275" bestFit="1" customWidth="1"/>
    <col min="1032" max="1280" width="9" style="275"/>
    <col min="1281" max="1281" width="14" style="275" bestFit="1" customWidth="1"/>
    <col min="1282" max="1282" width="10.125" style="275" bestFit="1" customWidth="1"/>
    <col min="1283" max="1283" width="13.125" style="275" bestFit="1" customWidth="1"/>
    <col min="1284" max="1284" width="10.625" style="275" bestFit="1" customWidth="1"/>
    <col min="1285" max="1287" width="10.375" style="275" bestFit="1" customWidth="1"/>
    <col min="1288" max="1536" width="9" style="275"/>
    <col min="1537" max="1537" width="14" style="275" bestFit="1" customWidth="1"/>
    <col min="1538" max="1538" width="10.125" style="275" bestFit="1" customWidth="1"/>
    <col min="1539" max="1539" width="13.125" style="275" bestFit="1" customWidth="1"/>
    <col min="1540" max="1540" width="10.625" style="275" bestFit="1" customWidth="1"/>
    <col min="1541" max="1543" width="10.375" style="275" bestFit="1" customWidth="1"/>
    <col min="1544" max="1792" width="9" style="275"/>
    <col min="1793" max="1793" width="14" style="275" bestFit="1" customWidth="1"/>
    <col min="1794" max="1794" width="10.125" style="275" bestFit="1" customWidth="1"/>
    <col min="1795" max="1795" width="13.125" style="275" bestFit="1" customWidth="1"/>
    <col min="1796" max="1796" width="10.625" style="275" bestFit="1" customWidth="1"/>
    <col min="1797" max="1799" width="10.375" style="275" bestFit="1" customWidth="1"/>
    <col min="1800" max="2048" width="9" style="275"/>
    <col min="2049" max="2049" width="14" style="275" bestFit="1" customWidth="1"/>
    <col min="2050" max="2050" width="10.125" style="275" bestFit="1" customWidth="1"/>
    <col min="2051" max="2051" width="13.125" style="275" bestFit="1" customWidth="1"/>
    <col min="2052" max="2052" width="10.625" style="275" bestFit="1" customWidth="1"/>
    <col min="2053" max="2055" width="10.375" style="275" bestFit="1" customWidth="1"/>
    <col min="2056" max="2304" width="9" style="275"/>
    <col min="2305" max="2305" width="14" style="275" bestFit="1" customWidth="1"/>
    <col min="2306" max="2306" width="10.125" style="275" bestFit="1" customWidth="1"/>
    <col min="2307" max="2307" width="13.125" style="275" bestFit="1" customWidth="1"/>
    <col min="2308" max="2308" width="10.625" style="275" bestFit="1" customWidth="1"/>
    <col min="2309" max="2311" width="10.375" style="275" bestFit="1" customWidth="1"/>
    <col min="2312" max="2560" width="9" style="275"/>
    <col min="2561" max="2561" width="14" style="275" bestFit="1" customWidth="1"/>
    <col min="2562" max="2562" width="10.125" style="275" bestFit="1" customWidth="1"/>
    <col min="2563" max="2563" width="13.125" style="275" bestFit="1" customWidth="1"/>
    <col min="2564" max="2564" width="10.625" style="275" bestFit="1" customWidth="1"/>
    <col min="2565" max="2567" width="10.375" style="275" bestFit="1" customWidth="1"/>
    <col min="2568" max="2816" width="9" style="275"/>
    <col min="2817" max="2817" width="14" style="275" bestFit="1" customWidth="1"/>
    <col min="2818" max="2818" width="10.125" style="275" bestFit="1" customWidth="1"/>
    <col min="2819" max="2819" width="13.125" style="275" bestFit="1" customWidth="1"/>
    <col min="2820" max="2820" width="10.625" style="275" bestFit="1" customWidth="1"/>
    <col min="2821" max="2823" width="10.375" style="275" bestFit="1" customWidth="1"/>
    <col min="2824" max="3072" width="9" style="275"/>
    <col min="3073" max="3073" width="14" style="275" bestFit="1" customWidth="1"/>
    <col min="3074" max="3074" width="10.125" style="275" bestFit="1" customWidth="1"/>
    <col min="3075" max="3075" width="13.125" style="275" bestFit="1" customWidth="1"/>
    <col min="3076" max="3076" width="10.625" style="275" bestFit="1" customWidth="1"/>
    <col min="3077" max="3079" width="10.375" style="275" bestFit="1" customWidth="1"/>
    <col min="3080" max="3328" width="9" style="275"/>
    <col min="3329" max="3329" width="14" style="275" bestFit="1" customWidth="1"/>
    <col min="3330" max="3330" width="10.125" style="275" bestFit="1" customWidth="1"/>
    <col min="3331" max="3331" width="13.125" style="275" bestFit="1" customWidth="1"/>
    <col min="3332" max="3332" width="10.625" style="275" bestFit="1" customWidth="1"/>
    <col min="3333" max="3335" width="10.375" style="275" bestFit="1" customWidth="1"/>
    <col min="3336" max="3584" width="9" style="275"/>
    <col min="3585" max="3585" width="14" style="275" bestFit="1" customWidth="1"/>
    <col min="3586" max="3586" width="10.125" style="275" bestFit="1" customWidth="1"/>
    <col min="3587" max="3587" width="13.125" style="275" bestFit="1" customWidth="1"/>
    <col min="3588" max="3588" width="10.625" style="275" bestFit="1" customWidth="1"/>
    <col min="3589" max="3591" width="10.375" style="275" bestFit="1" customWidth="1"/>
    <col min="3592" max="3840" width="9" style="275"/>
    <col min="3841" max="3841" width="14" style="275" bestFit="1" customWidth="1"/>
    <col min="3842" max="3842" width="10.125" style="275" bestFit="1" customWidth="1"/>
    <col min="3843" max="3843" width="13.125" style="275" bestFit="1" customWidth="1"/>
    <col min="3844" max="3844" width="10.625" style="275" bestFit="1" customWidth="1"/>
    <col min="3845" max="3847" width="10.375" style="275" bestFit="1" customWidth="1"/>
    <col min="3848" max="4096" width="9" style="275"/>
    <col min="4097" max="4097" width="14" style="275" bestFit="1" customWidth="1"/>
    <col min="4098" max="4098" width="10.125" style="275" bestFit="1" customWidth="1"/>
    <col min="4099" max="4099" width="13.125" style="275" bestFit="1" customWidth="1"/>
    <col min="4100" max="4100" width="10.625" style="275" bestFit="1" customWidth="1"/>
    <col min="4101" max="4103" width="10.375" style="275" bestFit="1" customWidth="1"/>
    <col min="4104" max="4352" width="9" style="275"/>
    <col min="4353" max="4353" width="14" style="275" bestFit="1" customWidth="1"/>
    <col min="4354" max="4354" width="10.125" style="275" bestFit="1" customWidth="1"/>
    <col min="4355" max="4355" width="13.125" style="275" bestFit="1" customWidth="1"/>
    <col min="4356" max="4356" width="10.625" style="275" bestFit="1" customWidth="1"/>
    <col min="4357" max="4359" width="10.375" style="275" bestFit="1" customWidth="1"/>
    <col min="4360" max="4608" width="9" style="275"/>
    <col min="4609" max="4609" width="14" style="275" bestFit="1" customWidth="1"/>
    <col min="4610" max="4610" width="10.125" style="275" bestFit="1" customWidth="1"/>
    <col min="4611" max="4611" width="13.125" style="275" bestFit="1" customWidth="1"/>
    <col min="4612" max="4612" width="10.625" style="275" bestFit="1" customWidth="1"/>
    <col min="4613" max="4615" width="10.375" style="275" bestFit="1" customWidth="1"/>
    <col min="4616" max="4864" width="9" style="275"/>
    <col min="4865" max="4865" width="14" style="275" bestFit="1" customWidth="1"/>
    <col min="4866" max="4866" width="10.125" style="275" bestFit="1" customWidth="1"/>
    <col min="4867" max="4867" width="13.125" style="275" bestFit="1" customWidth="1"/>
    <col min="4868" max="4868" width="10.625" style="275" bestFit="1" customWidth="1"/>
    <col min="4869" max="4871" width="10.375" style="275" bestFit="1" customWidth="1"/>
    <col min="4872" max="5120" width="9" style="275"/>
    <col min="5121" max="5121" width="14" style="275" bestFit="1" customWidth="1"/>
    <col min="5122" max="5122" width="10.125" style="275" bestFit="1" customWidth="1"/>
    <col min="5123" max="5123" width="13.125" style="275" bestFit="1" customWidth="1"/>
    <col min="5124" max="5124" width="10.625" style="275" bestFit="1" customWidth="1"/>
    <col min="5125" max="5127" width="10.375" style="275" bestFit="1" customWidth="1"/>
    <col min="5128" max="5376" width="9" style="275"/>
    <col min="5377" max="5377" width="14" style="275" bestFit="1" customWidth="1"/>
    <col min="5378" max="5378" width="10.125" style="275" bestFit="1" customWidth="1"/>
    <col min="5379" max="5379" width="13.125" style="275" bestFit="1" customWidth="1"/>
    <col min="5380" max="5380" width="10.625" style="275" bestFit="1" customWidth="1"/>
    <col min="5381" max="5383" width="10.375" style="275" bestFit="1" customWidth="1"/>
    <col min="5384" max="5632" width="9" style="275"/>
    <col min="5633" max="5633" width="14" style="275" bestFit="1" customWidth="1"/>
    <col min="5634" max="5634" width="10.125" style="275" bestFit="1" customWidth="1"/>
    <col min="5635" max="5635" width="13.125" style="275" bestFit="1" customWidth="1"/>
    <col min="5636" max="5636" width="10.625" style="275" bestFit="1" customWidth="1"/>
    <col min="5637" max="5639" width="10.375" style="275" bestFit="1" customWidth="1"/>
    <col min="5640" max="5888" width="9" style="275"/>
    <col min="5889" max="5889" width="14" style="275" bestFit="1" customWidth="1"/>
    <col min="5890" max="5890" width="10.125" style="275" bestFit="1" customWidth="1"/>
    <col min="5891" max="5891" width="13.125" style="275" bestFit="1" customWidth="1"/>
    <col min="5892" max="5892" width="10.625" style="275" bestFit="1" customWidth="1"/>
    <col min="5893" max="5895" width="10.375" style="275" bestFit="1" customWidth="1"/>
    <col min="5896" max="6144" width="9" style="275"/>
    <col min="6145" max="6145" width="14" style="275" bestFit="1" customWidth="1"/>
    <col min="6146" max="6146" width="10.125" style="275" bestFit="1" customWidth="1"/>
    <col min="6147" max="6147" width="13.125" style="275" bestFit="1" customWidth="1"/>
    <col min="6148" max="6148" width="10.625" style="275" bestFit="1" customWidth="1"/>
    <col min="6149" max="6151" width="10.375" style="275" bestFit="1" customWidth="1"/>
    <col min="6152" max="6400" width="9" style="275"/>
    <col min="6401" max="6401" width="14" style="275" bestFit="1" customWidth="1"/>
    <col min="6402" max="6402" width="10.125" style="275" bestFit="1" customWidth="1"/>
    <col min="6403" max="6403" width="13.125" style="275" bestFit="1" customWidth="1"/>
    <col min="6404" max="6404" width="10.625" style="275" bestFit="1" customWidth="1"/>
    <col min="6405" max="6407" width="10.375" style="275" bestFit="1" customWidth="1"/>
    <col min="6408" max="6656" width="9" style="275"/>
    <col min="6657" max="6657" width="14" style="275" bestFit="1" customWidth="1"/>
    <col min="6658" max="6658" width="10.125" style="275" bestFit="1" customWidth="1"/>
    <col min="6659" max="6659" width="13.125" style="275" bestFit="1" customWidth="1"/>
    <col min="6660" max="6660" width="10.625" style="275" bestFit="1" customWidth="1"/>
    <col min="6661" max="6663" width="10.375" style="275" bestFit="1" customWidth="1"/>
    <col min="6664" max="6912" width="9" style="275"/>
    <col min="6913" max="6913" width="14" style="275" bestFit="1" customWidth="1"/>
    <col min="6914" max="6914" width="10.125" style="275" bestFit="1" customWidth="1"/>
    <col min="6915" max="6915" width="13.125" style="275" bestFit="1" customWidth="1"/>
    <col min="6916" max="6916" width="10.625" style="275" bestFit="1" customWidth="1"/>
    <col min="6917" max="6919" width="10.375" style="275" bestFit="1" customWidth="1"/>
    <col min="6920" max="7168" width="9" style="275"/>
    <col min="7169" max="7169" width="14" style="275" bestFit="1" customWidth="1"/>
    <col min="7170" max="7170" width="10.125" style="275" bestFit="1" customWidth="1"/>
    <col min="7171" max="7171" width="13.125" style="275" bestFit="1" customWidth="1"/>
    <col min="7172" max="7172" width="10.625" style="275" bestFit="1" customWidth="1"/>
    <col min="7173" max="7175" width="10.375" style="275" bestFit="1" customWidth="1"/>
    <col min="7176" max="7424" width="9" style="275"/>
    <col min="7425" max="7425" width="14" style="275" bestFit="1" customWidth="1"/>
    <col min="7426" max="7426" width="10.125" style="275" bestFit="1" customWidth="1"/>
    <col min="7427" max="7427" width="13.125" style="275" bestFit="1" customWidth="1"/>
    <col min="7428" max="7428" width="10.625" style="275" bestFit="1" customWidth="1"/>
    <col min="7429" max="7431" width="10.375" style="275" bestFit="1" customWidth="1"/>
    <col min="7432" max="7680" width="9" style="275"/>
    <col min="7681" max="7681" width="14" style="275" bestFit="1" customWidth="1"/>
    <col min="7682" max="7682" width="10.125" style="275" bestFit="1" customWidth="1"/>
    <col min="7683" max="7683" width="13.125" style="275" bestFit="1" customWidth="1"/>
    <col min="7684" max="7684" width="10.625" style="275" bestFit="1" customWidth="1"/>
    <col min="7685" max="7687" width="10.375" style="275" bestFit="1" customWidth="1"/>
    <col min="7688" max="7936" width="9" style="275"/>
    <col min="7937" max="7937" width="14" style="275" bestFit="1" customWidth="1"/>
    <col min="7938" max="7938" width="10.125" style="275" bestFit="1" customWidth="1"/>
    <col min="7939" max="7939" width="13.125" style="275" bestFit="1" customWidth="1"/>
    <col min="7940" max="7940" width="10.625" style="275" bestFit="1" customWidth="1"/>
    <col min="7941" max="7943" width="10.375" style="275" bestFit="1" customWidth="1"/>
    <col min="7944" max="8192" width="9" style="275"/>
    <col min="8193" max="8193" width="14" style="275" bestFit="1" customWidth="1"/>
    <col min="8194" max="8194" width="10.125" style="275" bestFit="1" customWidth="1"/>
    <col min="8195" max="8195" width="13.125" style="275" bestFit="1" customWidth="1"/>
    <col min="8196" max="8196" width="10.625" style="275" bestFit="1" customWidth="1"/>
    <col min="8197" max="8199" width="10.375" style="275" bestFit="1" customWidth="1"/>
    <col min="8200" max="8448" width="9" style="275"/>
    <col min="8449" max="8449" width="14" style="275" bestFit="1" customWidth="1"/>
    <col min="8450" max="8450" width="10.125" style="275" bestFit="1" customWidth="1"/>
    <col min="8451" max="8451" width="13.125" style="275" bestFit="1" customWidth="1"/>
    <col min="8452" max="8452" width="10.625" style="275" bestFit="1" customWidth="1"/>
    <col min="8453" max="8455" width="10.375" style="275" bestFit="1" customWidth="1"/>
    <col min="8456" max="8704" width="9" style="275"/>
    <col min="8705" max="8705" width="14" style="275" bestFit="1" customWidth="1"/>
    <col min="8706" max="8706" width="10.125" style="275" bestFit="1" customWidth="1"/>
    <col min="8707" max="8707" width="13.125" style="275" bestFit="1" customWidth="1"/>
    <col min="8708" max="8708" width="10.625" style="275" bestFit="1" customWidth="1"/>
    <col min="8709" max="8711" width="10.375" style="275" bestFit="1" customWidth="1"/>
    <col min="8712" max="8960" width="9" style="275"/>
    <col min="8961" max="8961" width="14" style="275" bestFit="1" customWidth="1"/>
    <col min="8962" max="8962" width="10.125" style="275" bestFit="1" customWidth="1"/>
    <col min="8963" max="8963" width="13.125" style="275" bestFit="1" customWidth="1"/>
    <col min="8964" max="8964" width="10.625" style="275" bestFit="1" customWidth="1"/>
    <col min="8965" max="8967" width="10.375" style="275" bestFit="1" customWidth="1"/>
    <col min="8968" max="9216" width="9" style="275"/>
    <col min="9217" max="9217" width="14" style="275" bestFit="1" customWidth="1"/>
    <col min="9218" max="9218" width="10.125" style="275" bestFit="1" customWidth="1"/>
    <col min="9219" max="9219" width="13.125" style="275" bestFit="1" customWidth="1"/>
    <col min="9220" max="9220" width="10.625" style="275" bestFit="1" customWidth="1"/>
    <col min="9221" max="9223" width="10.375" style="275" bestFit="1" customWidth="1"/>
    <col min="9224" max="9472" width="9" style="275"/>
    <col min="9473" max="9473" width="14" style="275" bestFit="1" customWidth="1"/>
    <col min="9474" max="9474" width="10.125" style="275" bestFit="1" customWidth="1"/>
    <col min="9475" max="9475" width="13.125" style="275" bestFit="1" customWidth="1"/>
    <col min="9476" max="9476" width="10.625" style="275" bestFit="1" customWidth="1"/>
    <col min="9477" max="9479" width="10.375" style="275" bestFit="1" customWidth="1"/>
    <col min="9480" max="9728" width="9" style="275"/>
    <col min="9729" max="9729" width="14" style="275" bestFit="1" customWidth="1"/>
    <col min="9730" max="9730" width="10.125" style="275" bestFit="1" customWidth="1"/>
    <col min="9731" max="9731" width="13.125" style="275" bestFit="1" customWidth="1"/>
    <col min="9732" max="9732" width="10.625" style="275" bestFit="1" customWidth="1"/>
    <col min="9733" max="9735" width="10.375" style="275" bestFit="1" customWidth="1"/>
    <col min="9736" max="9984" width="9" style="275"/>
    <col min="9985" max="9985" width="14" style="275" bestFit="1" customWidth="1"/>
    <col min="9986" max="9986" width="10.125" style="275" bestFit="1" customWidth="1"/>
    <col min="9987" max="9987" width="13.125" style="275" bestFit="1" customWidth="1"/>
    <col min="9988" max="9988" width="10.625" style="275" bestFit="1" customWidth="1"/>
    <col min="9989" max="9991" width="10.375" style="275" bestFit="1" customWidth="1"/>
    <col min="9992" max="10240" width="9" style="275"/>
    <col min="10241" max="10241" width="14" style="275" bestFit="1" customWidth="1"/>
    <col min="10242" max="10242" width="10.125" style="275" bestFit="1" customWidth="1"/>
    <col min="10243" max="10243" width="13.125" style="275" bestFit="1" customWidth="1"/>
    <col min="10244" max="10244" width="10.625" style="275" bestFit="1" customWidth="1"/>
    <col min="10245" max="10247" width="10.375" style="275" bestFit="1" customWidth="1"/>
    <col min="10248" max="10496" width="9" style="275"/>
    <col min="10497" max="10497" width="14" style="275" bestFit="1" customWidth="1"/>
    <col min="10498" max="10498" width="10.125" style="275" bestFit="1" customWidth="1"/>
    <col min="10499" max="10499" width="13.125" style="275" bestFit="1" customWidth="1"/>
    <col min="10500" max="10500" width="10.625" style="275" bestFit="1" customWidth="1"/>
    <col min="10501" max="10503" width="10.375" style="275" bestFit="1" customWidth="1"/>
    <col min="10504" max="10752" width="9" style="275"/>
    <col min="10753" max="10753" width="14" style="275" bestFit="1" customWidth="1"/>
    <col min="10754" max="10754" width="10.125" style="275" bestFit="1" customWidth="1"/>
    <col min="10755" max="10755" width="13.125" style="275" bestFit="1" customWidth="1"/>
    <col min="10756" max="10756" width="10.625" style="275" bestFit="1" customWidth="1"/>
    <col min="10757" max="10759" width="10.375" style="275" bestFit="1" customWidth="1"/>
    <col min="10760" max="11008" width="9" style="275"/>
    <col min="11009" max="11009" width="14" style="275" bestFit="1" customWidth="1"/>
    <col min="11010" max="11010" width="10.125" style="275" bestFit="1" customWidth="1"/>
    <col min="11011" max="11011" width="13.125" style="275" bestFit="1" customWidth="1"/>
    <col min="11012" max="11012" width="10.625" style="275" bestFit="1" customWidth="1"/>
    <col min="11013" max="11015" width="10.375" style="275" bestFit="1" customWidth="1"/>
    <col min="11016" max="11264" width="9" style="275"/>
    <col min="11265" max="11265" width="14" style="275" bestFit="1" customWidth="1"/>
    <col min="11266" max="11266" width="10.125" style="275" bestFit="1" customWidth="1"/>
    <col min="11267" max="11267" width="13.125" style="275" bestFit="1" customWidth="1"/>
    <col min="11268" max="11268" width="10.625" style="275" bestFit="1" customWidth="1"/>
    <col min="11269" max="11271" width="10.375" style="275" bestFit="1" customWidth="1"/>
    <col min="11272" max="11520" width="9" style="275"/>
    <col min="11521" max="11521" width="14" style="275" bestFit="1" customWidth="1"/>
    <col min="11522" max="11522" width="10.125" style="275" bestFit="1" customWidth="1"/>
    <col min="11523" max="11523" width="13.125" style="275" bestFit="1" customWidth="1"/>
    <col min="11524" max="11524" width="10.625" style="275" bestFit="1" customWidth="1"/>
    <col min="11525" max="11527" width="10.375" style="275" bestFit="1" customWidth="1"/>
    <col min="11528" max="11776" width="9" style="275"/>
    <col min="11777" max="11777" width="14" style="275" bestFit="1" customWidth="1"/>
    <col min="11778" max="11778" width="10.125" style="275" bestFit="1" customWidth="1"/>
    <col min="11779" max="11779" width="13.125" style="275" bestFit="1" customWidth="1"/>
    <col min="11780" max="11780" width="10.625" style="275" bestFit="1" customWidth="1"/>
    <col min="11781" max="11783" width="10.375" style="275" bestFit="1" customWidth="1"/>
    <col min="11784" max="12032" width="9" style="275"/>
    <col min="12033" max="12033" width="14" style="275" bestFit="1" customWidth="1"/>
    <col min="12034" max="12034" width="10.125" style="275" bestFit="1" customWidth="1"/>
    <col min="12035" max="12035" width="13.125" style="275" bestFit="1" customWidth="1"/>
    <col min="12036" max="12036" width="10.625" style="275" bestFit="1" customWidth="1"/>
    <col min="12037" max="12039" width="10.375" style="275" bestFit="1" customWidth="1"/>
    <col min="12040" max="12288" width="9" style="275"/>
    <col min="12289" max="12289" width="14" style="275" bestFit="1" customWidth="1"/>
    <col min="12290" max="12290" width="10.125" style="275" bestFit="1" customWidth="1"/>
    <col min="12291" max="12291" width="13.125" style="275" bestFit="1" customWidth="1"/>
    <col min="12292" max="12292" width="10.625" style="275" bestFit="1" customWidth="1"/>
    <col min="12293" max="12295" width="10.375" style="275" bestFit="1" customWidth="1"/>
    <col min="12296" max="12544" width="9" style="275"/>
    <col min="12545" max="12545" width="14" style="275" bestFit="1" customWidth="1"/>
    <col min="12546" max="12546" width="10.125" style="275" bestFit="1" customWidth="1"/>
    <col min="12547" max="12547" width="13.125" style="275" bestFit="1" customWidth="1"/>
    <col min="12548" max="12548" width="10.625" style="275" bestFit="1" customWidth="1"/>
    <col min="12549" max="12551" width="10.375" style="275" bestFit="1" customWidth="1"/>
    <col min="12552" max="12800" width="9" style="275"/>
    <col min="12801" max="12801" width="14" style="275" bestFit="1" customWidth="1"/>
    <col min="12802" max="12802" width="10.125" style="275" bestFit="1" customWidth="1"/>
    <col min="12803" max="12803" width="13.125" style="275" bestFit="1" customWidth="1"/>
    <col min="12804" max="12804" width="10.625" style="275" bestFit="1" customWidth="1"/>
    <col min="12805" max="12807" width="10.375" style="275" bestFit="1" customWidth="1"/>
    <col min="12808" max="13056" width="9" style="275"/>
    <col min="13057" max="13057" width="14" style="275" bestFit="1" customWidth="1"/>
    <col min="13058" max="13058" width="10.125" style="275" bestFit="1" customWidth="1"/>
    <col min="13059" max="13059" width="13.125" style="275" bestFit="1" customWidth="1"/>
    <col min="13060" max="13060" width="10.625" style="275" bestFit="1" customWidth="1"/>
    <col min="13061" max="13063" width="10.375" style="275" bestFit="1" customWidth="1"/>
    <col min="13064" max="13312" width="9" style="275"/>
    <col min="13313" max="13313" width="14" style="275" bestFit="1" customWidth="1"/>
    <col min="13314" max="13314" width="10.125" style="275" bestFit="1" customWidth="1"/>
    <col min="13315" max="13315" width="13.125" style="275" bestFit="1" customWidth="1"/>
    <col min="13316" max="13316" width="10.625" style="275" bestFit="1" customWidth="1"/>
    <col min="13317" max="13319" width="10.375" style="275" bestFit="1" customWidth="1"/>
    <col min="13320" max="13568" width="9" style="275"/>
    <col min="13569" max="13569" width="14" style="275" bestFit="1" customWidth="1"/>
    <col min="13570" max="13570" width="10.125" style="275" bestFit="1" customWidth="1"/>
    <col min="13571" max="13571" width="13.125" style="275" bestFit="1" customWidth="1"/>
    <col min="13572" max="13572" width="10.625" style="275" bestFit="1" customWidth="1"/>
    <col min="13573" max="13575" width="10.375" style="275" bestFit="1" customWidth="1"/>
    <col min="13576" max="13824" width="9" style="275"/>
    <col min="13825" max="13825" width="14" style="275" bestFit="1" customWidth="1"/>
    <col min="13826" max="13826" width="10.125" style="275" bestFit="1" customWidth="1"/>
    <col min="13827" max="13827" width="13.125" style="275" bestFit="1" customWidth="1"/>
    <col min="13828" max="13828" width="10.625" style="275" bestFit="1" customWidth="1"/>
    <col min="13829" max="13831" width="10.375" style="275" bestFit="1" customWidth="1"/>
    <col min="13832" max="14080" width="9" style="275"/>
    <col min="14081" max="14081" width="14" style="275" bestFit="1" customWidth="1"/>
    <col min="14082" max="14082" width="10.125" style="275" bestFit="1" customWidth="1"/>
    <col min="14083" max="14083" width="13.125" style="275" bestFit="1" customWidth="1"/>
    <col min="14084" max="14084" width="10.625" style="275" bestFit="1" customWidth="1"/>
    <col min="14085" max="14087" width="10.375" style="275" bestFit="1" customWidth="1"/>
    <col min="14088" max="14336" width="9" style="275"/>
    <col min="14337" max="14337" width="14" style="275" bestFit="1" customWidth="1"/>
    <col min="14338" max="14338" width="10.125" style="275" bestFit="1" customWidth="1"/>
    <col min="14339" max="14339" width="13.125" style="275" bestFit="1" customWidth="1"/>
    <col min="14340" max="14340" width="10.625" style="275" bestFit="1" customWidth="1"/>
    <col min="14341" max="14343" width="10.375" style="275" bestFit="1" customWidth="1"/>
    <col min="14344" max="14592" width="9" style="275"/>
    <col min="14593" max="14593" width="14" style="275" bestFit="1" customWidth="1"/>
    <col min="14594" max="14594" width="10.125" style="275" bestFit="1" customWidth="1"/>
    <col min="14595" max="14595" width="13.125" style="275" bestFit="1" customWidth="1"/>
    <col min="14596" max="14596" width="10.625" style="275" bestFit="1" customWidth="1"/>
    <col min="14597" max="14599" width="10.375" style="275" bestFit="1" customWidth="1"/>
    <col min="14600" max="14848" width="9" style="275"/>
    <col min="14849" max="14849" width="14" style="275" bestFit="1" customWidth="1"/>
    <col min="14850" max="14850" width="10.125" style="275" bestFit="1" customWidth="1"/>
    <col min="14851" max="14851" width="13.125" style="275" bestFit="1" customWidth="1"/>
    <col min="14852" max="14852" width="10.625" style="275" bestFit="1" customWidth="1"/>
    <col min="14853" max="14855" width="10.375" style="275" bestFit="1" customWidth="1"/>
    <col min="14856" max="15104" width="9" style="275"/>
    <col min="15105" max="15105" width="14" style="275" bestFit="1" customWidth="1"/>
    <col min="15106" max="15106" width="10.125" style="275" bestFit="1" customWidth="1"/>
    <col min="15107" max="15107" width="13.125" style="275" bestFit="1" customWidth="1"/>
    <col min="15108" max="15108" width="10.625" style="275" bestFit="1" customWidth="1"/>
    <col min="15109" max="15111" width="10.375" style="275" bestFit="1" customWidth="1"/>
    <col min="15112" max="15360" width="9" style="275"/>
    <col min="15361" max="15361" width="14" style="275" bestFit="1" customWidth="1"/>
    <col min="15362" max="15362" width="10.125" style="275" bestFit="1" customWidth="1"/>
    <col min="15363" max="15363" width="13.125" style="275" bestFit="1" customWidth="1"/>
    <col min="15364" max="15364" width="10.625" style="275" bestFit="1" customWidth="1"/>
    <col min="15365" max="15367" width="10.375" style="275" bestFit="1" customWidth="1"/>
    <col min="15368" max="15616" width="9" style="275"/>
    <col min="15617" max="15617" width="14" style="275" bestFit="1" customWidth="1"/>
    <col min="15618" max="15618" width="10.125" style="275" bestFit="1" customWidth="1"/>
    <col min="15619" max="15619" width="13.125" style="275" bestFit="1" customWidth="1"/>
    <col min="15620" max="15620" width="10.625" style="275" bestFit="1" customWidth="1"/>
    <col min="15621" max="15623" width="10.375" style="275" bestFit="1" customWidth="1"/>
    <col min="15624" max="15872" width="9" style="275"/>
    <col min="15873" max="15873" width="14" style="275" bestFit="1" customWidth="1"/>
    <col min="15874" max="15874" width="10.125" style="275" bestFit="1" customWidth="1"/>
    <col min="15875" max="15875" width="13.125" style="275" bestFit="1" customWidth="1"/>
    <col min="15876" max="15876" width="10.625" style="275" bestFit="1" customWidth="1"/>
    <col min="15877" max="15879" width="10.375" style="275" bestFit="1" customWidth="1"/>
    <col min="15880" max="16128" width="9" style="275"/>
    <col min="16129" max="16129" width="14" style="275" bestFit="1" customWidth="1"/>
    <col min="16130" max="16130" width="10.125" style="275" bestFit="1" customWidth="1"/>
    <col min="16131" max="16131" width="13.125" style="275" bestFit="1" customWidth="1"/>
    <col min="16132" max="16132" width="10.625" style="275" bestFit="1" customWidth="1"/>
    <col min="16133" max="16135" width="10.375" style="275" bestFit="1" customWidth="1"/>
    <col min="16136" max="16384" width="9" style="275"/>
  </cols>
  <sheetData>
    <row r="1" spans="1:7" ht="39.75" customHeight="1" x14ac:dyDescent="0.25">
      <c r="A1" s="477" t="s">
        <v>914</v>
      </c>
      <c r="B1" s="478"/>
      <c r="C1" s="479"/>
    </row>
    <row r="2" spans="1:7" ht="15.75" thickBot="1" x14ac:dyDescent="0.3"/>
    <row r="3" spans="1:7" x14ac:dyDescent="0.25">
      <c r="A3" s="277" t="s">
        <v>913</v>
      </c>
      <c r="B3" s="278"/>
      <c r="C3" s="278"/>
      <c r="D3" s="278"/>
      <c r="E3" s="278"/>
      <c r="F3" s="278"/>
      <c r="G3" s="279"/>
    </row>
    <row r="4" spans="1:7" x14ac:dyDescent="0.25">
      <c r="A4" s="280" t="s">
        <v>898</v>
      </c>
      <c r="B4" s="276" t="s">
        <v>899</v>
      </c>
      <c r="C4" s="276" t="s">
        <v>900</v>
      </c>
      <c r="D4" s="276" t="s">
        <v>901</v>
      </c>
      <c r="E4" s="276" t="s">
        <v>902</v>
      </c>
      <c r="F4" s="276" t="s">
        <v>903</v>
      </c>
      <c r="G4" s="281" t="s">
        <v>904</v>
      </c>
    </row>
    <row r="5" spans="1:7" x14ac:dyDescent="0.25">
      <c r="A5" s="282" t="s">
        <v>905</v>
      </c>
      <c r="B5" s="283"/>
      <c r="C5" s="284">
        <f>'Rev &amp; COGS'!C35</f>
        <v>200</v>
      </c>
      <c r="D5" s="283">
        <v>10</v>
      </c>
      <c r="E5" s="283">
        <f>SUM($B5:$C5)</f>
        <v>200</v>
      </c>
      <c r="F5" s="283"/>
      <c r="G5" s="285"/>
    </row>
    <row r="6" spans="1:7" x14ac:dyDescent="0.25">
      <c r="A6" s="282" t="s">
        <v>906</v>
      </c>
      <c r="B6" s="283">
        <f>SUM(C$5:C5)</f>
        <v>200</v>
      </c>
      <c r="C6" s="284">
        <f>$C5*0.3</f>
        <v>60</v>
      </c>
      <c r="D6" s="283">
        <v>10</v>
      </c>
      <c r="E6" s="283">
        <f>SUM($B5:$C5)</f>
        <v>200</v>
      </c>
      <c r="F6" s="283">
        <f>SUM($B6:$C6)</f>
        <v>260</v>
      </c>
      <c r="G6" s="285"/>
    </row>
    <row r="7" spans="1:7" x14ac:dyDescent="0.25">
      <c r="A7" s="282" t="s">
        <v>907</v>
      </c>
      <c r="B7" s="283">
        <f>SUM(C$5:C6)</f>
        <v>260</v>
      </c>
      <c r="C7" s="284">
        <f>$C5*0.05</f>
        <v>10</v>
      </c>
      <c r="D7" s="283">
        <v>10</v>
      </c>
      <c r="E7" s="283"/>
      <c r="F7" s="283">
        <f>SUM($B6:$C6)</f>
        <v>260</v>
      </c>
      <c r="G7" s="285">
        <f>SUM($B7:$C7)</f>
        <v>270</v>
      </c>
    </row>
    <row r="8" spans="1:7" x14ac:dyDescent="0.25">
      <c r="A8" s="282" t="s">
        <v>908</v>
      </c>
      <c r="B8" s="283"/>
      <c r="C8" s="286">
        <f>SUM(C5:C7)</f>
        <v>270</v>
      </c>
      <c r="D8" s="283">
        <v>10</v>
      </c>
      <c r="E8" s="283"/>
      <c r="F8" s="283"/>
      <c r="G8" s="285">
        <f>SUM($B7:$C7)</f>
        <v>270</v>
      </c>
    </row>
    <row r="9" spans="1:7" x14ac:dyDescent="0.25">
      <c r="A9" s="282"/>
      <c r="B9" s="287"/>
      <c r="C9" s="287"/>
      <c r="D9" s="287"/>
      <c r="E9" s="287"/>
      <c r="F9" s="287"/>
      <c r="G9" s="288"/>
    </row>
    <row r="10" spans="1:7" x14ac:dyDescent="0.25">
      <c r="A10" s="282"/>
      <c r="B10" s="287"/>
      <c r="C10" s="287"/>
      <c r="D10" s="287"/>
      <c r="E10" s="287"/>
      <c r="F10" s="287"/>
      <c r="G10" s="288"/>
    </row>
    <row r="11" spans="1:7" ht="15.75" thickBot="1" x14ac:dyDescent="0.3">
      <c r="A11" s="289"/>
      <c r="B11" s="290" t="s">
        <v>909</v>
      </c>
      <c r="C11" s="291"/>
      <c r="D11" s="291"/>
      <c r="E11" s="291"/>
      <c r="F11" s="291"/>
      <c r="G11" s="292"/>
    </row>
    <row r="12" spans="1:7" s="287" customFormat="1" x14ac:dyDescent="0.25"/>
    <row r="13" spans="1:7" s="287" customFormat="1" x14ac:dyDescent="0.25"/>
    <row r="14" spans="1:7" s="287" customFormat="1" x14ac:dyDescent="0.25">
      <c r="A14" s="294"/>
    </row>
    <row r="15" spans="1:7" s="287" customFormat="1" x14ac:dyDescent="0.25">
      <c r="B15" s="283"/>
      <c r="C15" s="283"/>
      <c r="D15" s="283"/>
      <c r="E15" s="283"/>
      <c r="F15" s="283"/>
      <c r="G15" s="283"/>
    </row>
    <row r="16" spans="1:7" s="287" customFormat="1" x14ac:dyDescent="0.25">
      <c r="A16" s="295"/>
      <c r="B16" s="296"/>
      <c r="C16" s="286"/>
      <c r="D16" s="283"/>
      <c r="E16" s="283"/>
      <c r="F16" s="283"/>
      <c r="G16" s="283"/>
    </row>
    <row r="17" spans="1:7" s="287" customFormat="1" x14ac:dyDescent="0.25">
      <c r="A17" s="295"/>
      <c r="B17" s="286"/>
      <c r="C17" s="286"/>
      <c r="D17" s="283"/>
      <c r="E17" s="283"/>
      <c r="F17" s="283"/>
      <c r="G17" s="283"/>
    </row>
    <row r="18" spans="1:7" s="287" customFormat="1" x14ac:dyDescent="0.25">
      <c r="A18" s="295"/>
      <c r="B18" s="286"/>
      <c r="C18" s="286"/>
      <c r="D18" s="283"/>
      <c r="E18" s="283"/>
      <c r="F18" s="283"/>
      <c r="G18" s="283"/>
    </row>
    <row r="19" spans="1:7" s="287" customFormat="1" x14ac:dyDescent="0.25">
      <c r="A19" s="295"/>
      <c r="B19" s="296"/>
      <c r="C19" s="286"/>
      <c r="D19" s="283"/>
      <c r="E19" s="283"/>
      <c r="F19" s="283"/>
      <c r="G19" s="283"/>
    </row>
    <row r="20" spans="1:7" s="287" customFormat="1" x14ac:dyDescent="0.25">
      <c r="A20" s="295"/>
      <c r="B20" s="295"/>
      <c r="C20" s="295"/>
    </row>
    <row r="21" spans="1:7" s="287" customFormat="1" x14ac:dyDescent="0.25">
      <c r="A21" s="295"/>
      <c r="B21" s="295"/>
      <c r="C21" s="295"/>
    </row>
    <row r="22" spans="1:7" s="287" customFormat="1" x14ac:dyDescent="0.25">
      <c r="A22" s="295"/>
      <c r="B22" s="297"/>
      <c r="C22" s="295"/>
    </row>
    <row r="23" spans="1:7" s="287" customFormat="1" x14ac:dyDescent="0.25"/>
  </sheetData>
  <mergeCells count="1">
    <mergeCell ref="A1:C1"/>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0"/>
  <sheetViews>
    <sheetView topLeftCell="C1" zoomScale="85" zoomScaleNormal="85" workbookViewId="0">
      <selection activeCell="H38" sqref="H38"/>
    </sheetView>
  </sheetViews>
  <sheetFormatPr defaultColWidth="15" defaultRowHeight="12.75" customHeight="1" x14ac:dyDescent="0.2"/>
  <cols>
    <col min="1" max="1" width="3.5" style="300" bestFit="1" customWidth="1"/>
    <col min="2" max="2" width="21" style="300" bestFit="1" customWidth="1"/>
    <col min="3" max="3" width="54.875" style="300" bestFit="1" customWidth="1"/>
    <col min="4" max="4" width="4.5" style="302" customWidth="1"/>
    <col min="5" max="5" width="5.125" style="302" customWidth="1"/>
    <col min="6" max="6" width="26.875" style="302" customWidth="1"/>
    <col min="7" max="7" width="15" style="300"/>
    <col min="8" max="8" width="13" style="300" customWidth="1"/>
    <col min="9" max="9" width="15.875" style="300" bestFit="1" customWidth="1"/>
    <col min="10" max="10" width="13" style="300" customWidth="1"/>
    <col min="11" max="11" width="16.875" style="300" bestFit="1" customWidth="1"/>
    <col min="12" max="12" width="13" style="300" customWidth="1"/>
    <col min="13" max="16384" width="15" style="300"/>
  </cols>
  <sheetData>
    <row r="1" spans="2:12" ht="12.75" customHeight="1" x14ac:dyDescent="0.2">
      <c r="B1" s="480" t="s">
        <v>915</v>
      </c>
      <c r="C1" s="480"/>
      <c r="D1" s="480"/>
      <c r="E1" s="480"/>
      <c r="F1" s="480"/>
    </row>
    <row r="2" spans="2:12" ht="12.75" customHeight="1" x14ac:dyDescent="0.2">
      <c r="B2" s="480"/>
      <c r="C2" s="480"/>
      <c r="D2" s="480"/>
      <c r="E2" s="480"/>
      <c r="F2" s="480"/>
    </row>
    <row r="3" spans="2:12" ht="12.75" customHeight="1" x14ac:dyDescent="0.2">
      <c r="C3" s="301" t="s">
        <v>916</v>
      </c>
    </row>
    <row r="4" spans="2:12" ht="12.75" customHeight="1" x14ac:dyDescent="0.2">
      <c r="C4" s="301"/>
    </row>
    <row r="5" spans="2:12" ht="12.75" customHeight="1" x14ac:dyDescent="0.2">
      <c r="B5" s="299" t="s">
        <v>917</v>
      </c>
      <c r="C5" s="299" t="s">
        <v>918</v>
      </c>
      <c r="D5" s="298" t="s">
        <v>919</v>
      </c>
      <c r="E5" s="300"/>
      <c r="F5" s="298" t="s">
        <v>920</v>
      </c>
      <c r="G5" s="299" t="s">
        <v>921</v>
      </c>
      <c r="H5" s="299" t="s">
        <v>922</v>
      </c>
      <c r="I5" s="299" t="s">
        <v>923</v>
      </c>
      <c r="J5" s="299" t="s">
        <v>922</v>
      </c>
      <c r="K5" s="299" t="s">
        <v>924</v>
      </c>
      <c r="L5" s="299" t="s">
        <v>922</v>
      </c>
    </row>
    <row r="6" spans="2:12" ht="12.75" customHeight="1" x14ac:dyDescent="0.2">
      <c r="B6" s="300" t="s">
        <v>925</v>
      </c>
      <c r="C6" s="300" t="s">
        <v>926</v>
      </c>
      <c r="D6" s="300">
        <v>27</v>
      </c>
      <c r="E6" s="300"/>
      <c r="F6" s="300" t="s">
        <v>927</v>
      </c>
      <c r="G6" s="302">
        <v>0.14000000000000001</v>
      </c>
      <c r="H6" s="303">
        <f>D6*G6</f>
        <v>3.7800000000000002</v>
      </c>
      <c r="I6" s="302">
        <v>0.12</v>
      </c>
      <c r="J6" s="303">
        <f>D6*I6</f>
        <v>3.2399999999999998</v>
      </c>
      <c r="K6" s="302">
        <v>0.12</v>
      </c>
      <c r="L6" s="304">
        <f>D6*K6</f>
        <v>3.2399999999999998</v>
      </c>
    </row>
    <row r="7" spans="2:12" ht="12.75" customHeight="1" x14ac:dyDescent="0.2">
      <c r="B7" s="300" t="s">
        <v>928</v>
      </c>
      <c r="C7" s="300" t="s">
        <v>929</v>
      </c>
      <c r="D7" s="300">
        <v>4</v>
      </c>
      <c r="E7" s="300"/>
      <c r="F7" s="300" t="s">
        <v>930</v>
      </c>
      <c r="G7" s="302">
        <v>0.54</v>
      </c>
      <c r="H7" s="303">
        <f t="shared" ref="H7:H32" si="0">D7*G7</f>
        <v>2.16</v>
      </c>
      <c r="I7" s="302">
        <v>9.35E-2</v>
      </c>
      <c r="J7" s="303">
        <f t="shared" ref="J7:J32" si="1">D7*I7</f>
        <v>0.374</v>
      </c>
      <c r="K7" s="302">
        <v>7.1499999999999994E-2</v>
      </c>
      <c r="L7" s="303">
        <f t="shared" ref="L7:L32" si="2">D7*K7</f>
        <v>0.28599999999999998</v>
      </c>
    </row>
    <row r="8" spans="2:12" ht="12.75" customHeight="1" x14ac:dyDescent="0.2">
      <c r="B8" s="300" t="s">
        <v>928</v>
      </c>
      <c r="C8" s="300" t="s">
        <v>931</v>
      </c>
      <c r="D8" s="300">
        <v>20</v>
      </c>
      <c r="E8" s="300"/>
      <c r="F8" s="300" t="s">
        <v>932</v>
      </c>
      <c r="G8" s="302">
        <v>0.22</v>
      </c>
      <c r="H8" s="303">
        <f t="shared" si="0"/>
        <v>4.4000000000000004</v>
      </c>
      <c r="I8" s="302">
        <v>0.32200000000000001</v>
      </c>
      <c r="J8" s="303">
        <f t="shared" si="1"/>
        <v>6.44</v>
      </c>
      <c r="K8" s="302">
        <v>0.224</v>
      </c>
      <c r="L8" s="303">
        <f t="shared" si="2"/>
        <v>4.4800000000000004</v>
      </c>
    </row>
    <row r="9" spans="2:12" ht="12.75" customHeight="1" x14ac:dyDescent="0.2">
      <c r="B9" s="300" t="s">
        <v>933</v>
      </c>
      <c r="C9" s="300" t="s">
        <v>934</v>
      </c>
      <c r="D9" s="300">
        <v>1</v>
      </c>
      <c r="E9" s="300"/>
      <c r="F9" s="300" t="s">
        <v>935</v>
      </c>
      <c r="G9" s="302">
        <v>0.111</v>
      </c>
      <c r="H9" s="303">
        <f t="shared" si="0"/>
        <v>0.111</v>
      </c>
      <c r="I9" s="302">
        <v>9.2999999999999999E-2</v>
      </c>
      <c r="J9" s="303">
        <f t="shared" si="1"/>
        <v>9.2999999999999999E-2</v>
      </c>
      <c r="K9" s="302">
        <v>7.6799999999999993E-2</v>
      </c>
      <c r="L9" s="303">
        <f t="shared" si="2"/>
        <v>7.6799999999999993E-2</v>
      </c>
    </row>
    <row r="10" spans="2:12" ht="12.75" customHeight="1" x14ac:dyDescent="0.2">
      <c r="B10" s="300" t="s">
        <v>936</v>
      </c>
      <c r="C10" s="300" t="s">
        <v>937</v>
      </c>
      <c r="D10" s="300">
        <v>4</v>
      </c>
      <c r="E10" s="300"/>
      <c r="F10" s="300" t="s">
        <v>938</v>
      </c>
      <c r="G10" s="302">
        <v>8.2479999999999998E-2</v>
      </c>
      <c r="H10" s="303">
        <f t="shared" si="0"/>
        <v>0.32991999999999999</v>
      </c>
      <c r="I10" s="302">
        <v>6.2640000000000001E-2</v>
      </c>
      <c r="J10" s="303">
        <f t="shared" si="1"/>
        <v>0.25056</v>
      </c>
      <c r="K10" s="302">
        <v>4.6280000000000002E-2</v>
      </c>
      <c r="L10" s="303">
        <f t="shared" si="2"/>
        <v>0.18512000000000001</v>
      </c>
    </row>
    <row r="11" spans="2:12" ht="12.75" customHeight="1" x14ac:dyDescent="0.2">
      <c r="B11" s="300" t="s">
        <v>939</v>
      </c>
      <c r="C11" s="300" t="s">
        <v>940</v>
      </c>
      <c r="D11" s="300">
        <v>1</v>
      </c>
      <c r="E11" s="300"/>
      <c r="F11" s="300" t="s">
        <v>941</v>
      </c>
      <c r="G11" s="302">
        <v>0.39</v>
      </c>
      <c r="H11" s="303">
        <f t="shared" si="0"/>
        <v>0.39</v>
      </c>
      <c r="I11" s="302">
        <v>0.39</v>
      </c>
      <c r="J11" s="303">
        <f t="shared" si="1"/>
        <v>0.39</v>
      </c>
      <c r="K11" s="302">
        <v>0.39</v>
      </c>
      <c r="L11" s="303">
        <f t="shared" si="2"/>
        <v>0.39</v>
      </c>
    </row>
    <row r="12" spans="2:12" ht="12.75" customHeight="1" x14ac:dyDescent="0.2">
      <c r="B12" s="300" t="s">
        <v>939</v>
      </c>
      <c r="C12" s="300" t="s">
        <v>942</v>
      </c>
      <c r="D12" s="300">
        <v>1</v>
      </c>
      <c r="E12" s="300"/>
      <c r="F12" s="300" t="s">
        <v>943</v>
      </c>
      <c r="G12" s="302">
        <v>4.6399999999999997</v>
      </c>
      <c r="H12" s="303">
        <f t="shared" si="0"/>
        <v>4.6399999999999997</v>
      </c>
      <c r="I12" s="302">
        <v>4.6399999999999997</v>
      </c>
      <c r="J12" s="303">
        <f t="shared" si="1"/>
        <v>4.6399999999999997</v>
      </c>
      <c r="K12" s="302">
        <v>4.6399999999999997</v>
      </c>
      <c r="L12" s="303">
        <f t="shared" si="2"/>
        <v>4.6399999999999997</v>
      </c>
    </row>
    <row r="13" spans="2:12" ht="12.75" customHeight="1" x14ac:dyDescent="0.2">
      <c r="B13" s="300" t="s">
        <v>944</v>
      </c>
      <c r="C13" s="300" t="s">
        <v>945</v>
      </c>
      <c r="D13" s="300">
        <v>1</v>
      </c>
      <c r="E13" s="300"/>
      <c r="F13" s="300" t="s">
        <v>946</v>
      </c>
      <c r="G13" s="302">
        <v>0.86399999999999999</v>
      </c>
      <c r="H13" s="303">
        <f t="shared" si="0"/>
        <v>0.86399999999999999</v>
      </c>
      <c r="I13" s="302">
        <v>0.67200000000000004</v>
      </c>
      <c r="J13" s="303">
        <f t="shared" si="1"/>
        <v>0.67200000000000004</v>
      </c>
      <c r="K13" s="302">
        <v>0.67200000000000004</v>
      </c>
      <c r="L13" s="303">
        <f t="shared" si="2"/>
        <v>0.67200000000000004</v>
      </c>
    </row>
    <row r="14" spans="2:12" ht="12.75" customHeight="1" x14ac:dyDescent="0.2">
      <c r="B14" s="300" t="s">
        <v>944</v>
      </c>
      <c r="C14" s="300" t="s">
        <v>947</v>
      </c>
      <c r="D14" s="300">
        <v>1</v>
      </c>
      <c r="E14" s="300"/>
      <c r="F14" s="300" t="s">
        <v>948</v>
      </c>
      <c r="G14" s="302">
        <v>0.98</v>
      </c>
      <c r="H14" s="303">
        <f t="shared" si="0"/>
        <v>0.98</v>
      </c>
      <c r="I14" s="302">
        <v>0.74480000000000002</v>
      </c>
      <c r="J14" s="303">
        <f t="shared" si="1"/>
        <v>0.74480000000000002</v>
      </c>
      <c r="K14" s="302">
        <v>0.74480000000000002</v>
      </c>
      <c r="L14" s="303">
        <f t="shared" si="2"/>
        <v>0.74480000000000002</v>
      </c>
    </row>
    <row r="15" spans="2:12" ht="12.75" customHeight="1" x14ac:dyDescent="0.2">
      <c r="B15" s="300" t="s">
        <v>949</v>
      </c>
      <c r="C15" s="300" t="s">
        <v>950</v>
      </c>
      <c r="D15" s="300">
        <v>1</v>
      </c>
      <c r="E15" s="300"/>
      <c r="F15" s="300" t="s">
        <v>951</v>
      </c>
      <c r="G15" s="302">
        <v>0.35</v>
      </c>
      <c r="H15" s="303">
        <f t="shared" si="0"/>
        <v>0.35</v>
      </c>
      <c r="I15" s="302">
        <v>0.35</v>
      </c>
      <c r="J15" s="303">
        <f t="shared" si="1"/>
        <v>0.35</v>
      </c>
      <c r="K15" s="302">
        <v>0.35</v>
      </c>
      <c r="L15" s="303">
        <f t="shared" si="2"/>
        <v>0.35</v>
      </c>
    </row>
    <row r="16" spans="2:12" ht="12.75" customHeight="1" x14ac:dyDescent="0.2">
      <c r="B16" s="300" t="s">
        <v>939</v>
      </c>
      <c r="C16" s="300" t="s">
        <v>952</v>
      </c>
      <c r="D16" s="300">
        <v>1</v>
      </c>
      <c r="E16" s="300"/>
      <c r="F16" s="300" t="s">
        <v>953</v>
      </c>
      <c r="G16" s="302">
        <v>0.1608</v>
      </c>
      <c r="H16" s="303">
        <f t="shared" si="0"/>
        <v>0.1608</v>
      </c>
      <c r="I16" s="302">
        <v>0.10091</v>
      </c>
      <c r="J16" s="303">
        <f t="shared" si="1"/>
        <v>0.10091</v>
      </c>
      <c r="K16" s="302">
        <v>8.3330000000000001E-2</v>
      </c>
      <c r="L16" s="303">
        <f t="shared" si="2"/>
        <v>8.3330000000000001E-2</v>
      </c>
    </row>
    <row r="17" spans="2:12" ht="12.75" customHeight="1" x14ac:dyDescent="0.2">
      <c r="B17" s="300" t="s">
        <v>954</v>
      </c>
      <c r="C17" s="300" t="s">
        <v>955</v>
      </c>
      <c r="D17" s="300">
        <v>42</v>
      </c>
      <c r="E17" s="300"/>
      <c r="F17" s="300" t="s">
        <v>956</v>
      </c>
      <c r="G17" s="302">
        <v>0.01</v>
      </c>
      <c r="H17" s="303">
        <f t="shared" si="0"/>
        <v>0.42</v>
      </c>
      <c r="I17" s="302">
        <v>0.01</v>
      </c>
      <c r="J17" s="303">
        <f t="shared" si="1"/>
        <v>0.42</v>
      </c>
      <c r="K17" s="302">
        <v>0.01</v>
      </c>
      <c r="L17" s="303">
        <f t="shared" si="2"/>
        <v>0.42</v>
      </c>
    </row>
    <row r="18" spans="2:12" ht="12.75" customHeight="1" x14ac:dyDescent="0.2">
      <c r="B18" s="300" t="s">
        <v>957</v>
      </c>
      <c r="C18" s="300" t="s">
        <v>958</v>
      </c>
      <c r="D18" s="300">
        <v>1</v>
      </c>
      <c r="E18" s="300"/>
      <c r="F18" s="300" t="s">
        <v>959</v>
      </c>
      <c r="G18" s="302">
        <v>0.52500000000000002</v>
      </c>
      <c r="H18" s="303">
        <f t="shared" si="0"/>
        <v>0.52500000000000002</v>
      </c>
      <c r="I18" s="302">
        <v>0.47249999999999998</v>
      </c>
      <c r="J18" s="303">
        <f t="shared" si="1"/>
        <v>0.47249999999999998</v>
      </c>
      <c r="K18" s="302">
        <v>0.47249999999999998</v>
      </c>
      <c r="L18" s="303">
        <f t="shared" si="2"/>
        <v>0.47249999999999998</v>
      </c>
    </row>
    <row r="19" spans="2:12" x14ac:dyDescent="0.2">
      <c r="B19" s="300" t="s">
        <v>957</v>
      </c>
      <c r="C19" s="300" t="s">
        <v>960</v>
      </c>
      <c r="D19" s="300">
        <v>1</v>
      </c>
      <c r="E19" s="300"/>
      <c r="F19" s="300" t="s">
        <v>961</v>
      </c>
      <c r="G19" s="302">
        <v>0.1328</v>
      </c>
      <c r="H19" s="303">
        <f t="shared" si="0"/>
        <v>0.1328</v>
      </c>
      <c r="I19" s="302">
        <v>0.104</v>
      </c>
      <c r="J19" s="303">
        <f t="shared" si="1"/>
        <v>0.104</v>
      </c>
      <c r="K19" s="302">
        <v>0.104</v>
      </c>
      <c r="L19" s="303">
        <f t="shared" si="2"/>
        <v>0.104</v>
      </c>
    </row>
    <row r="20" spans="2:12" ht="12.75" customHeight="1" x14ac:dyDescent="0.2">
      <c r="B20" s="300" t="s">
        <v>962</v>
      </c>
      <c r="C20" s="300" t="s">
        <v>963</v>
      </c>
      <c r="D20" s="300">
        <v>1</v>
      </c>
      <c r="E20" s="300"/>
      <c r="G20" s="302">
        <v>3.44</v>
      </c>
      <c r="H20" s="303">
        <f t="shared" si="0"/>
        <v>3.44</v>
      </c>
      <c r="I20" s="302">
        <v>3.36</v>
      </c>
      <c r="J20" s="303">
        <f t="shared" si="1"/>
        <v>3.36</v>
      </c>
      <c r="K20" s="302">
        <v>3.36</v>
      </c>
      <c r="L20" s="303">
        <f t="shared" si="2"/>
        <v>3.36</v>
      </c>
    </row>
    <row r="21" spans="2:12" ht="12.75" customHeight="1" x14ac:dyDescent="0.2">
      <c r="B21" s="300" t="s">
        <v>962</v>
      </c>
      <c r="C21" s="300" t="s">
        <v>964</v>
      </c>
      <c r="D21" s="300">
        <v>1</v>
      </c>
      <c r="E21" s="300"/>
      <c r="G21" s="302">
        <v>1.72</v>
      </c>
      <c r="H21" s="303">
        <f t="shared" si="0"/>
        <v>1.72</v>
      </c>
      <c r="I21" s="302">
        <v>1.68</v>
      </c>
      <c r="J21" s="303">
        <f t="shared" si="1"/>
        <v>1.68</v>
      </c>
      <c r="K21" s="302">
        <v>1.68</v>
      </c>
      <c r="L21" s="303">
        <f t="shared" si="2"/>
        <v>1.68</v>
      </c>
    </row>
    <row r="22" spans="2:12" ht="12.75" customHeight="1" x14ac:dyDescent="0.2">
      <c r="B22" s="300" t="s">
        <v>965</v>
      </c>
      <c r="C22" s="300" t="s">
        <v>966</v>
      </c>
      <c r="D22" s="300">
        <v>1</v>
      </c>
      <c r="E22" s="300"/>
      <c r="G22" s="302">
        <v>6.02</v>
      </c>
      <c r="H22" s="303">
        <f t="shared" si="0"/>
        <v>6.02</v>
      </c>
      <c r="I22" s="302">
        <v>6.02</v>
      </c>
      <c r="J22" s="303">
        <f t="shared" si="1"/>
        <v>6.02</v>
      </c>
      <c r="K22" s="302">
        <v>6.02</v>
      </c>
      <c r="L22" s="303">
        <f t="shared" si="2"/>
        <v>6.02</v>
      </c>
    </row>
    <row r="23" spans="2:12" ht="12.75" customHeight="1" x14ac:dyDescent="0.2">
      <c r="B23" s="300" t="s">
        <v>967</v>
      </c>
      <c r="C23" s="300" t="s">
        <v>968</v>
      </c>
      <c r="D23" s="300">
        <v>1</v>
      </c>
      <c r="E23" s="300"/>
      <c r="G23" s="302">
        <v>5</v>
      </c>
      <c r="H23" s="303">
        <f t="shared" si="0"/>
        <v>5</v>
      </c>
      <c r="I23" s="302">
        <v>5</v>
      </c>
      <c r="J23" s="303">
        <f t="shared" si="1"/>
        <v>5</v>
      </c>
      <c r="K23" s="302">
        <v>5</v>
      </c>
      <c r="L23" s="303">
        <f t="shared" si="2"/>
        <v>5</v>
      </c>
    </row>
    <row r="24" spans="2:12" ht="12.75" customHeight="1" x14ac:dyDescent="0.2">
      <c r="B24" s="300" t="s">
        <v>969</v>
      </c>
      <c r="C24" s="300" t="s">
        <v>970</v>
      </c>
      <c r="D24" s="300">
        <v>1</v>
      </c>
      <c r="E24" s="300"/>
      <c r="G24" s="302">
        <v>0.2</v>
      </c>
      <c r="H24" s="303">
        <f t="shared" si="0"/>
        <v>0.2</v>
      </c>
      <c r="I24" s="302">
        <v>0.2</v>
      </c>
      <c r="J24" s="303">
        <f t="shared" si="1"/>
        <v>0.2</v>
      </c>
      <c r="K24" s="302">
        <v>0.2</v>
      </c>
      <c r="L24" s="303">
        <f t="shared" si="2"/>
        <v>0.2</v>
      </c>
    </row>
    <row r="25" spans="2:12" ht="12.75" customHeight="1" x14ac:dyDescent="0.2">
      <c r="B25" s="300" t="s">
        <v>971</v>
      </c>
      <c r="C25" s="300" t="s">
        <v>972</v>
      </c>
      <c r="D25" s="300">
        <v>1</v>
      </c>
      <c r="E25" s="300"/>
      <c r="F25" s="300" t="s">
        <v>973</v>
      </c>
      <c r="G25" s="302">
        <v>1.66</v>
      </c>
      <c r="H25" s="303">
        <f t="shared" si="0"/>
        <v>1.66</v>
      </c>
      <c r="I25" s="302">
        <v>1.28</v>
      </c>
      <c r="J25" s="303">
        <f t="shared" si="1"/>
        <v>1.28</v>
      </c>
      <c r="K25" s="302">
        <v>1.28</v>
      </c>
      <c r="L25" s="303">
        <f t="shared" si="2"/>
        <v>1.28</v>
      </c>
    </row>
    <row r="26" spans="2:12" ht="12.75" customHeight="1" x14ac:dyDescent="0.2">
      <c r="B26" s="300" t="s">
        <v>974</v>
      </c>
      <c r="C26" s="300" t="s">
        <v>975</v>
      </c>
      <c r="D26" s="300">
        <v>1</v>
      </c>
      <c r="E26" s="300"/>
      <c r="F26" s="300" t="s">
        <v>976</v>
      </c>
      <c r="G26" s="302">
        <v>1.36</v>
      </c>
      <c r="H26" s="303">
        <f t="shared" si="0"/>
        <v>1.36</v>
      </c>
      <c r="I26" s="302">
        <v>1.3</v>
      </c>
      <c r="J26" s="303">
        <f t="shared" si="1"/>
        <v>1.3</v>
      </c>
      <c r="K26" s="302">
        <v>1.3</v>
      </c>
      <c r="L26" s="303">
        <f t="shared" si="2"/>
        <v>1.3</v>
      </c>
    </row>
    <row r="27" spans="2:12" ht="12.75" customHeight="1" x14ac:dyDescent="0.2">
      <c r="B27" s="300" t="s">
        <v>977</v>
      </c>
      <c r="C27" s="300" t="s">
        <v>978</v>
      </c>
      <c r="D27" s="300">
        <v>1</v>
      </c>
      <c r="E27" s="300"/>
      <c r="F27" s="300" t="s">
        <v>979</v>
      </c>
      <c r="G27" s="302">
        <v>3.3</v>
      </c>
      <c r="H27" s="303">
        <f t="shared" si="0"/>
        <v>3.3</v>
      </c>
      <c r="I27" s="302">
        <v>3.3</v>
      </c>
      <c r="J27" s="303">
        <f t="shared" si="1"/>
        <v>3.3</v>
      </c>
      <c r="K27" s="302">
        <v>3.3</v>
      </c>
      <c r="L27" s="303">
        <f t="shared" si="2"/>
        <v>3.3</v>
      </c>
    </row>
    <row r="28" spans="2:12" ht="12.75" customHeight="1" x14ac:dyDescent="0.2">
      <c r="B28" s="300" t="s">
        <v>980</v>
      </c>
      <c r="C28" s="300" t="s">
        <v>981</v>
      </c>
      <c r="D28" s="300">
        <v>1</v>
      </c>
      <c r="E28" s="300"/>
      <c r="F28" s="300" t="s">
        <v>982</v>
      </c>
      <c r="G28" s="302">
        <v>0.65</v>
      </c>
      <c r="H28" s="303">
        <f t="shared" si="0"/>
        <v>0.65</v>
      </c>
      <c r="I28" s="302">
        <v>0.65</v>
      </c>
      <c r="J28" s="303">
        <f t="shared" si="1"/>
        <v>0.65</v>
      </c>
      <c r="K28" s="302">
        <v>0.65</v>
      </c>
      <c r="L28" s="303">
        <f t="shared" si="2"/>
        <v>0.65</v>
      </c>
    </row>
    <row r="29" spans="2:12" ht="12.75" customHeight="1" x14ac:dyDescent="0.2">
      <c r="B29" s="300" t="s">
        <v>983</v>
      </c>
      <c r="C29" s="300" t="s">
        <v>984</v>
      </c>
      <c r="D29" s="300">
        <v>1</v>
      </c>
      <c r="E29" s="300"/>
      <c r="G29" s="302">
        <v>5</v>
      </c>
      <c r="H29" s="303">
        <f t="shared" si="0"/>
        <v>5</v>
      </c>
      <c r="I29" s="302">
        <v>4</v>
      </c>
      <c r="J29" s="303">
        <f t="shared" si="1"/>
        <v>4</v>
      </c>
      <c r="K29" s="302">
        <v>3</v>
      </c>
      <c r="L29" s="303">
        <f t="shared" si="2"/>
        <v>3</v>
      </c>
    </row>
    <row r="30" spans="2:12" ht="12.75" customHeight="1" x14ac:dyDescent="0.2">
      <c r="B30" s="300" t="s">
        <v>985</v>
      </c>
      <c r="C30" s="300" t="s">
        <v>986</v>
      </c>
      <c r="D30" s="300">
        <v>1</v>
      </c>
      <c r="E30" s="300"/>
      <c r="G30" s="302">
        <v>3.5</v>
      </c>
      <c r="H30" s="303">
        <f t="shared" si="0"/>
        <v>3.5</v>
      </c>
      <c r="I30" s="302">
        <v>2.5</v>
      </c>
      <c r="J30" s="303">
        <f t="shared" si="1"/>
        <v>2.5</v>
      </c>
      <c r="K30" s="302">
        <v>2</v>
      </c>
      <c r="L30" s="303">
        <f t="shared" si="2"/>
        <v>2</v>
      </c>
    </row>
    <row r="31" spans="2:12" ht="12.75" customHeight="1" x14ac:dyDescent="0.2">
      <c r="B31" s="300" t="s">
        <v>987</v>
      </c>
      <c r="D31" s="300">
        <v>1</v>
      </c>
      <c r="G31" s="302">
        <v>17</v>
      </c>
      <c r="H31" s="303">
        <f t="shared" si="0"/>
        <v>17</v>
      </c>
      <c r="I31" s="302">
        <v>2</v>
      </c>
      <c r="J31" s="303">
        <f t="shared" si="1"/>
        <v>2</v>
      </c>
      <c r="K31" s="303">
        <v>1</v>
      </c>
      <c r="L31" s="303">
        <f t="shared" si="2"/>
        <v>1</v>
      </c>
    </row>
    <row r="32" spans="2:12" ht="12.75" customHeight="1" x14ac:dyDescent="0.2">
      <c r="B32" s="299" t="s">
        <v>988</v>
      </c>
      <c r="C32" s="299" t="s">
        <v>989</v>
      </c>
      <c r="D32" s="305">
        <v>1</v>
      </c>
      <c r="E32" s="298"/>
      <c r="F32" s="298"/>
      <c r="G32" s="298">
        <v>5</v>
      </c>
      <c r="H32" s="306">
        <f t="shared" si="0"/>
        <v>5</v>
      </c>
      <c r="I32" s="298">
        <v>5</v>
      </c>
      <c r="J32" s="306">
        <f t="shared" si="1"/>
        <v>5</v>
      </c>
      <c r="K32" s="298">
        <v>5</v>
      </c>
      <c r="L32" s="306">
        <f t="shared" si="2"/>
        <v>5</v>
      </c>
    </row>
    <row r="33" spans="2:12" s="307" customFormat="1" ht="13.5" thickBot="1" x14ac:dyDescent="0.3">
      <c r="B33" s="308"/>
      <c r="C33" s="308"/>
      <c r="D33" s="309"/>
      <c r="E33" s="310"/>
      <c r="F33" s="309"/>
      <c r="G33" s="309"/>
      <c r="H33" s="311">
        <f>SUM(H6:H32)</f>
        <v>73.093519999999984</v>
      </c>
      <c r="I33" s="309"/>
      <c r="J33" s="311">
        <f>SUM(J6:J32)</f>
        <v>54.581769999999999</v>
      </c>
      <c r="K33" s="309"/>
      <c r="L33" s="311">
        <f>SUM(L6:L32)</f>
        <v>49.934549999999994</v>
      </c>
    </row>
    <row r="34" spans="2:12" s="307" customFormat="1" ht="12.75" customHeight="1" thickTop="1" x14ac:dyDescent="0.25">
      <c r="D34" s="312"/>
      <c r="E34" s="313"/>
      <c r="F34" s="312"/>
      <c r="G34" s="312"/>
      <c r="H34" s="314"/>
      <c r="I34" s="312"/>
      <c r="J34" s="314"/>
      <c r="K34" s="312"/>
      <c r="L34" s="314"/>
    </row>
    <row r="35" spans="2:12" ht="12.75" customHeight="1" x14ac:dyDescent="0.2">
      <c r="B35" s="301"/>
      <c r="C35" s="301" t="s">
        <v>295</v>
      </c>
      <c r="E35" s="315"/>
      <c r="G35" s="302"/>
      <c r="I35" s="302"/>
      <c r="K35" s="302"/>
    </row>
    <row r="36" spans="2:12" ht="12.75" customHeight="1" x14ac:dyDescent="0.2">
      <c r="B36" s="301"/>
      <c r="C36" s="301"/>
      <c r="E36" s="315"/>
      <c r="G36" s="302"/>
      <c r="I36" s="302"/>
      <c r="K36" s="302"/>
    </row>
    <row r="37" spans="2:12" ht="12.75" customHeight="1" x14ac:dyDescent="0.2">
      <c r="B37" s="299" t="s">
        <v>917</v>
      </c>
      <c r="C37" s="299" t="s">
        <v>990</v>
      </c>
      <c r="D37" s="298"/>
      <c r="E37" s="315"/>
      <c r="G37" s="302"/>
      <c r="I37" s="302"/>
      <c r="K37" s="302"/>
    </row>
    <row r="38" spans="2:12" ht="12.75" customHeight="1" x14ac:dyDescent="0.2">
      <c r="B38" s="300" t="s">
        <v>991</v>
      </c>
      <c r="C38" s="300" t="s">
        <v>992</v>
      </c>
      <c r="E38" s="315"/>
      <c r="G38" s="302"/>
      <c r="H38" s="302">
        <f>65/60*60</f>
        <v>65</v>
      </c>
      <c r="I38" s="302"/>
      <c r="J38" s="302">
        <f>65/60*60</f>
        <v>65</v>
      </c>
      <c r="K38" s="302"/>
      <c r="L38" s="302">
        <f>65/60*60</f>
        <v>65</v>
      </c>
    </row>
    <row r="39" spans="2:12" ht="12.75" customHeight="1" x14ac:dyDescent="0.2">
      <c r="C39" s="300" t="s">
        <v>993</v>
      </c>
      <c r="E39" s="315"/>
    </row>
    <row r="40" spans="2:12" ht="12.75" customHeight="1" x14ac:dyDescent="0.2">
      <c r="C40" s="300" t="s">
        <v>994</v>
      </c>
      <c r="E40" s="315"/>
    </row>
    <row r="41" spans="2:12" ht="12.75" customHeight="1" x14ac:dyDescent="0.2">
      <c r="C41" s="300" t="s">
        <v>995</v>
      </c>
      <c r="E41" s="315"/>
    </row>
    <row r="42" spans="2:12" ht="12.75" customHeight="1" x14ac:dyDescent="0.2">
      <c r="C42" s="300" t="s">
        <v>996</v>
      </c>
      <c r="E42" s="315"/>
    </row>
    <row r="43" spans="2:12" ht="12.75" customHeight="1" x14ac:dyDescent="0.2">
      <c r="C43" s="300" t="s">
        <v>997</v>
      </c>
      <c r="E43" s="315"/>
    </row>
    <row r="44" spans="2:12" ht="12.75" customHeight="1" x14ac:dyDescent="0.2">
      <c r="C44" s="300" t="s">
        <v>998</v>
      </c>
      <c r="E44" s="315"/>
    </row>
    <row r="45" spans="2:12" ht="12.75" customHeight="1" x14ac:dyDescent="0.2">
      <c r="C45" s="300" t="s">
        <v>999</v>
      </c>
      <c r="E45" s="315"/>
    </row>
    <row r="46" spans="2:12" ht="12.75" customHeight="1" x14ac:dyDescent="0.2">
      <c r="E46" s="315"/>
    </row>
    <row r="47" spans="2:12" ht="12.75" customHeight="1" x14ac:dyDescent="0.2">
      <c r="B47" s="300" t="s">
        <v>1000</v>
      </c>
      <c r="C47" s="300" t="s">
        <v>1001</v>
      </c>
      <c r="E47" s="315"/>
    </row>
    <row r="48" spans="2:12" ht="12.75" customHeight="1" x14ac:dyDescent="0.2">
      <c r="C48" s="300" t="s">
        <v>1002</v>
      </c>
      <c r="E48" s="315"/>
    </row>
    <row r="49" spans="3:6" ht="12.75" customHeight="1" x14ac:dyDescent="0.2">
      <c r="C49" s="300" t="s">
        <v>1003</v>
      </c>
      <c r="E49" s="315"/>
    </row>
    <row r="50" spans="3:6" ht="12.75" customHeight="1" x14ac:dyDescent="0.2">
      <c r="C50" s="300" t="s">
        <v>1004</v>
      </c>
      <c r="E50" s="315"/>
    </row>
    <row r="51" spans="3:6" ht="12.75" customHeight="1" x14ac:dyDescent="0.2">
      <c r="C51" s="300" t="s">
        <v>1005</v>
      </c>
      <c r="E51" s="315"/>
    </row>
    <row r="52" spans="3:6" ht="12.75" customHeight="1" x14ac:dyDescent="0.2">
      <c r="C52" s="300" t="s">
        <v>1006</v>
      </c>
      <c r="E52" s="315"/>
    </row>
    <row r="53" spans="3:6" ht="12.75" customHeight="1" x14ac:dyDescent="0.2">
      <c r="C53" s="300" t="s">
        <v>1007</v>
      </c>
      <c r="E53" s="315"/>
    </row>
    <row r="54" spans="3:6" ht="12.75" customHeight="1" x14ac:dyDescent="0.2">
      <c r="C54" s="300" t="s">
        <v>1008</v>
      </c>
      <c r="E54" s="315"/>
    </row>
    <row r="55" spans="3:6" ht="12.75" customHeight="1" x14ac:dyDescent="0.2">
      <c r="C55" s="300" t="s">
        <v>1009</v>
      </c>
      <c r="E55" s="315"/>
    </row>
    <row r="56" spans="3:6" ht="12.75" customHeight="1" x14ac:dyDescent="0.2">
      <c r="D56" s="300"/>
      <c r="E56" s="300"/>
      <c r="F56" s="300"/>
    </row>
    <row r="57" spans="3:6" ht="12.75" customHeight="1" x14ac:dyDescent="0.2">
      <c r="D57" s="300"/>
      <c r="E57" s="300"/>
      <c r="F57" s="300"/>
    </row>
    <row r="58" spans="3:6" ht="12.75" customHeight="1" x14ac:dyDescent="0.2">
      <c r="D58" s="300"/>
      <c r="E58" s="300"/>
      <c r="F58" s="300"/>
    </row>
    <row r="59" spans="3:6" ht="12.75" customHeight="1" x14ac:dyDescent="0.2">
      <c r="D59" s="300"/>
      <c r="E59" s="300"/>
      <c r="F59" s="300"/>
    </row>
    <row r="60" spans="3:6" ht="12.75" customHeight="1" x14ac:dyDescent="0.2">
      <c r="D60" s="300"/>
      <c r="E60" s="300"/>
      <c r="F60" s="300"/>
    </row>
    <row r="61" spans="3:6" ht="12.75" customHeight="1" x14ac:dyDescent="0.2">
      <c r="D61" s="300"/>
      <c r="E61" s="300"/>
      <c r="F61" s="300"/>
    </row>
    <row r="62" spans="3:6" ht="12.75" customHeight="1" x14ac:dyDescent="0.2">
      <c r="D62" s="300"/>
      <c r="E62" s="300"/>
      <c r="F62" s="300"/>
    </row>
    <row r="63" spans="3:6" ht="12.75" customHeight="1" x14ac:dyDescent="0.2">
      <c r="D63" s="300"/>
      <c r="E63" s="300"/>
      <c r="F63" s="300"/>
    </row>
    <row r="64" spans="3:6" ht="12.75" customHeight="1" x14ac:dyDescent="0.2">
      <c r="D64" s="300"/>
      <c r="E64" s="300"/>
      <c r="F64" s="300"/>
    </row>
    <row r="65" spans="4:6" ht="12.75" customHeight="1" x14ac:dyDescent="0.2">
      <c r="D65" s="300"/>
      <c r="E65" s="300"/>
      <c r="F65" s="300"/>
    </row>
    <row r="66" spans="4:6" ht="12.75" customHeight="1" x14ac:dyDescent="0.2">
      <c r="D66" s="300"/>
      <c r="E66" s="300"/>
      <c r="F66" s="300"/>
    </row>
    <row r="67" spans="4:6" ht="12.75" customHeight="1" x14ac:dyDescent="0.2">
      <c r="D67" s="300"/>
      <c r="E67" s="300"/>
      <c r="F67" s="300"/>
    </row>
    <row r="68" spans="4:6" ht="12.75" customHeight="1" x14ac:dyDescent="0.2">
      <c r="D68" s="300"/>
      <c r="E68" s="300"/>
      <c r="F68" s="300"/>
    </row>
    <row r="69" spans="4:6" ht="12.75" customHeight="1" x14ac:dyDescent="0.2">
      <c r="D69" s="300"/>
      <c r="E69" s="300"/>
      <c r="F69" s="300"/>
    </row>
    <row r="70" spans="4:6" ht="12.75" customHeight="1" x14ac:dyDescent="0.2">
      <c r="D70" s="300"/>
      <c r="E70" s="300"/>
      <c r="F70" s="300"/>
    </row>
  </sheetData>
  <mergeCells count="2">
    <mergeCell ref="B1:F1"/>
    <mergeCell ref="B2:F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363"/>
  <sheetViews>
    <sheetView workbookViewId="0">
      <pane xSplit="2" ySplit="4" topLeftCell="Q16" activePane="bottomRight" state="frozen"/>
      <selection activeCell="A5" sqref="A5:XFD363"/>
      <selection pane="topRight" activeCell="A5" sqref="A5:XFD363"/>
      <selection pane="bottomLeft" activeCell="A5" sqref="A5:XFD363"/>
      <selection pane="bottomRight" activeCell="AR28" sqref="AR28"/>
    </sheetView>
  </sheetViews>
  <sheetFormatPr defaultColWidth="10.25" defaultRowHeight="15.75" outlineLevelCol="1" x14ac:dyDescent="0.25"/>
  <cols>
    <col min="1" max="1" width="3.375" style="7" customWidth="1"/>
    <col min="2" max="2" width="28.125" style="7" customWidth="1"/>
    <col min="3" max="3" width="10.25" style="7"/>
    <col min="4" max="4" width="9.75" style="7" customWidth="1"/>
    <col min="5" max="16" width="10.25" style="7" hidden="1" customWidth="1" outlineLevel="1"/>
    <col min="17" max="17" width="2" style="7" customWidth="1" collapsed="1"/>
    <col min="18" max="29" width="10.25" style="7" hidden="1" customWidth="1" outlineLevel="1"/>
    <col min="30" max="30" width="1.625" style="7" customWidth="1" collapsed="1"/>
    <col min="31" max="42" width="10.25" style="7" hidden="1" customWidth="1" outlineLevel="1"/>
    <col min="43" max="43" width="1.625" style="7" customWidth="1" collapsed="1"/>
    <col min="44" max="48" width="10.25" style="7" customWidth="1" outlineLevel="1"/>
    <col min="49" max="49" width="1.625" style="7" customWidth="1"/>
    <col min="50" max="54" width="10.25" style="7" customWidth="1" outlineLevel="1"/>
    <col min="55" max="55" width="1.625" style="7" customWidth="1"/>
    <col min="56" max="60" width="10.25" style="7" customWidth="1" outlineLevel="1"/>
    <col min="61" max="61" width="2.625" style="7" customWidth="1"/>
    <col min="62" max="66" width="10.25" style="7"/>
    <col min="67" max="67" width="2.5" style="7" customWidth="1"/>
    <col min="68" max="72" width="10.25" style="7"/>
    <col min="73" max="73" width="2.375" style="7" customWidth="1"/>
    <col min="74" max="74" width="11.125" style="7" bestFit="1" customWidth="1"/>
    <col min="75" max="77" width="10.25" style="7"/>
    <col min="78" max="78" width="11.125" style="7" bestFit="1" customWidth="1"/>
    <col min="79" max="16384" width="10.25" style="7"/>
  </cols>
  <sheetData>
    <row r="1" spans="1:78" customFormat="1" x14ac:dyDescent="0.25">
      <c r="B1" s="4" t="s">
        <v>36</v>
      </c>
    </row>
    <row r="2" spans="1:78" customFormat="1" x14ac:dyDescent="0.25">
      <c r="B2" s="4" t="s">
        <v>323</v>
      </c>
    </row>
    <row r="3" spans="1:78"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32" t="s">
        <v>12</v>
      </c>
      <c r="AS3" s="432"/>
      <c r="AT3" s="432"/>
      <c r="AU3" s="432"/>
      <c r="AV3" s="432"/>
      <c r="AX3" s="433" t="s">
        <v>13</v>
      </c>
      <c r="AY3" s="433"/>
      <c r="AZ3" s="433"/>
      <c r="BA3" s="433"/>
      <c r="BB3" s="433"/>
      <c r="BD3" s="431" t="s">
        <v>166</v>
      </c>
      <c r="BE3" s="431"/>
      <c r="BF3" s="431"/>
      <c r="BG3" s="431"/>
      <c r="BH3" s="431"/>
      <c r="BJ3" s="428" t="s">
        <v>383</v>
      </c>
      <c r="BK3" s="429"/>
      <c r="BL3" s="429"/>
      <c r="BM3" s="429"/>
      <c r="BN3" s="430"/>
      <c r="BP3" s="428" t="s">
        <v>388</v>
      </c>
      <c r="BQ3" s="429"/>
      <c r="BR3" s="429"/>
      <c r="BS3" s="429"/>
      <c r="BT3" s="430"/>
      <c r="BV3" s="428" t="s">
        <v>389</v>
      </c>
      <c r="BW3" s="429"/>
      <c r="BX3" s="429"/>
      <c r="BY3" s="429"/>
      <c r="BZ3" s="430"/>
    </row>
    <row r="4" spans="1:78" customFormat="1" ht="16.5" thickBot="1" x14ac:dyDescent="0.3">
      <c r="A4" s="1"/>
      <c r="B4" s="3"/>
      <c r="C4" s="6"/>
      <c r="D4" s="6"/>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c r="AR4" s="10" t="s">
        <v>167</v>
      </c>
      <c r="AS4" s="10" t="s">
        <v>168</v>
      </c>
      <c r="AT4" s="10" t="s">
        <v>169</v>
      </c>
      <c r="AU4" s="10" t="s">
        <v>170</v>
      </c>
      <c r="AV4" s="10" t="s">
        <v>171</v>
      </c>
      <c r="AX4" s="10" t="s">
        <v>167</v>
      </c>
      <c r="AY4" s="10" t="s">
        <v>168</v>
      </c>
      <c r="AZ4" s="10" t="s">
        <v>169</v>
      </c>
      <c r="BA4" s="10" t="s">
        <v>170</v>
      </c>
      <c r="BB4" s="10" t="s">
        <v>171</v>
      </c>
      <c r="BD4" s="10" t="s">
        <v>167</v>
      </c>
      <c r="BE4" s="10" t="s">
        <v>168</v>
      </c>
      <c r="BF4" s="10" t="s">
        <v>169</v>
      </c>
      <c r="BG4" s="10" t="s">
        <v>170</v>
      </c>
      <c r="BH4" s="10" t="s">
        <v>171</v>
      </c>
      <c r="BJ4" s="10" t="s">
        <v>167</v>
      </c>
      <c r="BK4" s="10" t="s">
        <v>168</v>
      </c>
      <c r="BL4" s="10" t="s">
        <v>169</v>
      </c>
      <c r="BM4" s="10" t="s">
        <v>170</v>
      </c>
      <c r="BN4" s="10" t="s">
        <v>171</v>
      </c>
      <c r="BP4" s="10" t="s">
        <v>167</v>
      </c>
      <c r="BQ4" s="10" t="s">
        <v>168</v>
      </c>
      <c r="BR4" s="10" t="s">
        <v>169</v>
      </c>
      <c r="BS4" s="10" t="s">
        <v>170</v>
      </c>
      <c r="BT4" s="10" t="s">
        <v>171</v>
      </c>
      <c r="BV4" s="10" t="s">
        <v>167</v>
      </c>
      <c r="BW4" s="10" t="s">
        <v>168</v>
      </c>
      <c r="BX4" s="10" t="s">
        <v>169</v>
      </c>
      <c r="BY4" s="10" t="s">
        <v>170</v>
      </c>
      <c r="BZ4" s="10" t="s">
        <v>171</v>
      </c>
    </row>
    <row r="5" spans="1:78" s="16" customFormat="1" x14ac:dyDescent="0.25">
      <c r="A5" s="16" t="s">
        <v>325</v>
      </c>
    </row>
    <row r="6" spans="1:78" s="16" customFormat="1" x14ac:dyDescent="0.25">
      <c r="B6" s="23" t="s">
        <v>324</v>
      </c>
      <c r="E6" s="16">
        <f>+'P&amp;L'!E33</f>
        <v>-326583.41666666669</v>
      </c>
      <c r="F6" s="16">
        <f>+'P&amp;L'!F33</f>
        <v>-152612.41666666669</v>
      </c>
      <c r="G6" s="16">
        <f>+'P&amp;L'!G33</f>
        <v>-177612.41666666669</v>
      </c>
      <c r="H6" s="16">
        <f>+'P&amp;L'!H33</f>
        <v>-192925.25252525252</v>
      </c>
      <c r="I6" s="16">
        <f>+'P&amp;L'!I33</f>
        <v>-174537.25252525252</v>
      </c>
      <c r="J6" s="16">
        <f>+'P&amp;L'!J33</f>
        <v>-206139.25252525252</v>
      </c>
      <c r="K6" s="16">
        <f>+'P&amp;L'!K33</f>
        <v>-215238.00252525252</v>
      </c>
      <c r="L6" s="16">
        <f>+'P&amp;L'!L33</f>
        <v>-226320.50252525252</v>
      </c>
      <c r="M6" s="16">
        <f>+'P&amp;L'!M33</f>
        <v>-245928.00252525252</v>
      </c>
      <c r="N6" s="16">
        <f>+'P&amp;L'!N33</f>
        <v>-165438.00252525252</v>
      </c>
      <c r="O6" s="16">
        <f>+'P&amp;L'!O33</f>
        <v>-210728.00252525252</v>
      </c>
      <c r="P6" s="16">
        <f>+'P&amp;L'!P33</f>
        <v>-232628.00252525252</v>
      </c>
      <c r="R6" s="16">
        <f>+'P&amp;L'!R33</f>
        <v>-226283.69696969696</v>
      </c>
      <c r="S6" s="16">
        <f>+'P&amp;L'!S33</f>
        <v>-196373.69696969696</v>
      </c>
      <c r="T6" s="16">
        <f>+'P&amp;L'!T33</f>
        <v>-219657.86363636365</v>
      </c>
      <c r="U6" s="16">
        <f>+'P&amp;L'!U33</f>
        <v>-214944.3846786035</v>
      </c>
      <c r="V6" s="16">
        <f>+'P&amp;L'!V33</f>
        <v>-291100.67648454115</v>
      </c>
      <c r="W6" s="16">
        <f>+'P&amp;L'!W33</f>
        <v>-259745.57266605203</v>
      </c>
      <c r="X6" s="16">
        <f>+'P&amp;L'!X33</f>
        <v>-308822.95696310536</v>
      </c>
      <c r="Y6" s="16">
        <f>+'P&amp;L'!Y33</f>
        <v>-255303.12853853425</v>
      </c>
      <c r="Z6" s="16">
        <f>+'P&amp;L'!Z33</f>
        <v>-239986.72491192431</v>
      </c>
      <c r="AA6" s="16">
        <f>+'P&amp;L'!AA33</f>
        <v>-210032.1708750799</v>
      </c>
      <c r="AB6" s="16">
        <f>+'P&amp;L'!AB33</f>
        <v>-212532.34016056938</v>
      </c>
      <c r="AC6" s="16">
        <f>+'P&amp;L'!AC33</f>
        <v>-207886.36744199958</v>
      </c>
      <c r="AE6" s="16">
        <f>+'P&amp;L'!AE33</f>
        <v>-204705.53405144738</v>
      </c>
      <c r="AF6" s="16">
        <f>+'P&amp;L'!AF33</f>
        <v>-229156.70693565672</v>
      </c>
      <c r="AG6" s="16">
        <f>+'P&amp;L'!AG33</f>
        <v>-230826.52953938447</v>
      </c>
      <c r="AH6" s="16">
        <f>+'P&amp;L'!AH33</f>
        <v>-142969.53907974195</v>
      </c>
      <c r="AI6" s="16">
        <f>+'P&amp;L'!AI33</f>
        <v>-124577.52301374373</v>
      </c>
      <c r="AJ6" s="16">
        <f>+'P&amp;L'!AJ33</f>
        <v>-119579.96836759268</v>
      </c>
      <c r="AK6" s="16">
        <f>+'P&amp;L'!AK33</f>
        <v>250968.66341834536</v>
      </c>
      <c r="AL6" s="16">
        <f>+'P&amp;L'!AL33</f>
        <v>99657.650685986562</v>
      </c>
      <c r="AM6" s="16">
        <f>+'P&amp;L'!AM33</f>
        <v>106527.60332795902</v>
      </c>
      <c r="AN6" s="16">
        <f>+'P&amp;L'!AN33</f>
        <v>352488.87253740308</v>
      </c>
      <c r="AO6" s="16">
        <f>+'P&amp;L'!AO33</f>
        <v>182850.66415982798</v>
      </c>
      <c r="AP6" s="16">
        <f>+'P&amp;L'!AP33</f>
        <v>173816.05127861717</v>
      </c>
      <c r="AR6" s="16">
        <f t="shared" ref="AR6" si="0">SUM(E6:P6)</f>
        <v>-2526690.5227272725</v>
      </c>
      <c r="AS6" s="16">
        <f t="shared" ref="AS6" si="1">SUM(E6:G6)</f>
        <v>-656808.25</v>
      </c>
      <c r="AT6" s="16">
        <f t="shared" ref="AT6" si="2">SUM(H6:J6)</f>
        <v>-573601.75757575757</v>
      </c>
      <c r="AU6" s="16">
        <f t="shared" ref="AU6" si="3">SUM(K6:M6)</f>
        <v>-687486.50757575757</v>
      </c>
      <c r="AV6" s="16">
        <f t="shared" ref="AV6" si="4">SUM(N6:P6)</f>
        <v>-608794.00757575757</v>
      </c>
      <c r="AX6" s="16">
        <f t="shared" ref="AX6" si="5">SUM(R6:AC6)</f>
        <v>-2842669.5802961672</v>
      </c>
      <c r="AY6" s="16">
        <f t="shared" ref="AY6" si="6">SUM(R6:T6)</f>
        <v>-642315.25757575757</v>
      </c>
      <c r="AZ6" s="16">
        <f t="shared" ref="AZ6" si="7">SUM(U6:W6)</f>
        <v>-765790.63382919668</v>
      </c>
      <c r="BA6" s="16">
        <f t="shared" ref="BA6" si="8">SUM(X6:Z6)</f>
        <v>-804112.81041356397</v>
      </c>
      <c r="BB6" s="16">
        <f t="shared" ref="BB6" si="9">SUM(AA6:AC6)</f>
        <v>-630450.87847764883</v>
      </c>
      <c r="BD6" s="16">
        <f t="shared" ref="BD6" si="10">SUM(AE6:AP6)</f>
        <v>114493.70442057238</v>
      </c>
      <c r="BE6" s="16">
        <f t="shared" ref="BE6" si="11">SUM(AE6:AG6)</f>
        <v>-664688.77052648854</v>
      </c>
      <c r="BF6" s="16">
        <f t="shared" ref="BF6" si="12">SUM(AH6:AJ6)</f>
        <v>-387127.03046107834</v>
      </c>
      <c r="BG6" s="16">
        <f t="shared" ref="BG6" si="13">SUM(AK6:AM6)</f>
        <v>457153.91743229091</v>
      </c>
      <c r="BH6" s="16">
        <f t="shared" ref="BH6" si="14">SUM(AN6:AP6)</f>
        <v>709155.58797584823</v>
      </c>
      <c r="BJ6" s="16">
        <f>SUM(BK6:BN6)</f>
        <v>3638899.9848734355</v>
      </c>
      <c r="BK6" s="16">
        <f>+'P&amp;L'!BL33</f>
        <v>49107.146698423952</v>
      </c>
      <c r="BL6" s="16">
        <f>+'P&amp;L'!BM33</f>
        <v>208578.6342520609</v>
      </c>
      <c r="BM6" s="16">
        <f>+'P&amp;L'!BN33</f>
        <v>1573910.214763189</v>
      </c>
      <c r="BN6" s="16">
        <f>+'P&amp;L'!BO33</f>
        <v>1807303.9891597617</v>
      </c>
      <c r="BP6" s="16">
        <f>SUM(BQ6:BT6)</f>
        <v>6723931.7439910341</v>
      </c>
      <c r="BQ6" s="16">
        <f>+'P&amp;L'!BT33</f>
        <v>1129295.2007417602</v>
      </c>
      <c r="BR6" s="16">
        <f>+'P&amp;L'!BU33</f>
        <v>952518.85827198974</v>
      </c>
      <c r="BS6" s="16">
        <f>+'P&amp;L'!BV33</f>
        <v>2387992.0960196555</v>
      </c>
      <c r="BT6" s="16">
        <f>+'P&amp;L'!BW33</f>
        <v>2254125.5889576282</v>
      </c>
      <c r="BV6" s="16">
        <f>SUM(BW6:BZ6)</f>
        <v>14668296.517868325</v>
      </c>
      <c r="BW6" s="16">
        <f>+'P&amp;L'!CB33</f>
        <v>2645251.2482252549</v>
      </c>
      <c r="BX6" s="16">
        <f>+'P&amp;L'!CC33</f>
        <v>2959402.4532601302</v>
      </c>
      <c r="BY6" s="16">
        <f>+'P&amp;L'!CD33</f>
        <v>4250619.9671433717</v>
      </c>
      <c r="BZ6" s="16">
        <f>+'P&amp;L'!CE33</f>
        <v>4813022.8492395682</v>
      </c>
    </row>
    <row r="7" spans="1:78" s="16" customFormat="1" x14ac:dyDescent="0.25">
      <c r="B7" s="23" t="s">
        <v>342</v>
      </c>
    </row>
    <row r="8" spans="1:78" s="16" customFormat="1" x14ac:dyDescent="0.25">
      <c r="B8" s="23" t="s">
        <v>53</v>
      </c>
      <c r="E8" s="16">
        <f>+'All Spend'!E71</f>
        <v>3799</v>
      </c>
      <c r="F8" s="16">
        <f>+'All Spend'!F71</f>
        <v>3799</v>
      </c>
      <c r="G8" s="16">
        <f>+'All Spend'!G71</f>
        <v>3799</v>
      </c>
      <c r="H8" s="16">
        <f>+'All Spend'!H71</f>
        <v>5298.0025252525256</v>
      </c>
      <c r="I8" s="16">
        <f>+'All Spend'!I71</f>
        <v>5298.0025252525256</v>
      </c>
      <c r="J8" s="16">
        <f>+'All Spend'!J71</f>
        <v>5298.0025252525256</v>
      </c>
      <c r="K8" s="16">
        <f>+'All Spend'!K71</f>
        <v>5298.0025252525256</v>
      </c>
      <c r="L8" s="16">
        <f>+'All Spend'!L71</f>
        <v>5298.0025252525256</v>
      </c>
      <c r="M8" s="16">
        <f>+'All Spend'!M71</f>
        <v>5298.0025252525256</v>
      </c>
      <c r="N8" s="16">
        <f>+'All Spend'!N71</f>
        <v>5298.0025252525256</v>
      </c>
      <c r="O8" s="16">
        <f>+'All Spend'!O71</f>
        <v>5298.0025252525256</v>
      </c>
      <c r="P8" s="16">
        <f>+'All Spend'!P71</f>
        <v>5298.0025252525256</v>
      </c>
      <c r="R8" s="16">
        <f>+'All Spend'!R71</f>
        <v>5459.1136363636369</v>
      </c>
      <c r="S8" s="16">
        <f>+'All Spend'!S71</f>
        <v>5459.1136363636369</v>
      </c>
      <c r="T8" s="16">
        <f>+'All Spend'!T71</f>
        <v>5459.1136363636369</v>
      </c>
      <c r="U8" s="16">
        <f>+'All Spend'!U71</f>
        <v>5459.1136363636369</v>
      </c>
      <c r="V8" s="16">
        <f>+'All Spend'!V71</f>
        <v>5459.1136363636369</v>
      </c>
      <c r="W8" s="16">
        <f>+'All Spend'!W71</f>
        <v>5459.1136363636369</v>
      </c>
      <c r="X8" s="16">
        <f>+'All Spend'!X71</f>
        <v>5459.1136363636369</v>
      </c>
      <c r="Y8" s="16">
        <f>+'All Spend'!Y71</f>
        <v>5459.1136363636369</v>
      </c>
      <c r="Z8" s="16">
        <f>+'All Spend'!Z71</f>
        <v>5459.1136363636369</v>
      </c>
      <c r="AA8" s="16">
        <f>+'All Spend'!AA71</f>
        <v>5459.1136363636369</v>
      </c>
      <c r="AB8" s="16">
        <f>+'All Spend'!AB71</f>
        <v>5459.1136363636369</v>
      </c>
      <c r="AC8" s="16">
        <f>+'All Spend'!AC71</f>
        <v>5459.1136363636369</v>
      </c>
      <c r="AE8" s="16">
        <f>+'All Spend'!AE71</f>
        <v>5459.1136363636369</v>
      </c>
      <c r="AF8" s="16">
        <f>+'All Spend'!AF71</f>
        <v>5459.1136363636369</v>
      </c>
      <c r="AG8" s="16">
        <f>+'All Spend'!AG71</f>
        <v>5459.1136363636369</v>
      </c>
      <c r="AH8" s="16">
        <f>+'All Spend'!AH71</f>
        <v>5459.1136363636369</v>
      </c>
      <c r="AI8" s="16">
        <f>+'All Spend'!AI71</f>
        <v>5459.1136363636369</v>
      </c>
      <c r="AJ8" s="16">
        <f>+'All Spend'!AJ71</f>
        <v>11292.44696969697</v>
      </c>
      <c r="AK8" s="16">
        <f>+'All Spend'!AK71</f>
        <v>11292.44696969697</v>
      </c>
      <c r="AL8" s="16">
        <f>+'All Spend'!AL71</f>
        <v>11292.44696969697</v>
      </c>
      <c r="AM8" s="16">
        <f>+'All Spend'!AM71</f>
        <v>11292.44696969697</v>
      </c>
      <c r="AN8" s="16">
        <f>+'All Spend'!AN71</f>
        <v>11292.44696969697</v>
      </c>
      <c r="AO8" s="16">
        <f>+'All Spend'!AO71</f>
        <v>11292.44696969697</v>
      </c>
      <c r="AP8" s="16">
        <f>+'All Spend'!AP71</f>
        <v>11292.44696969697</v>
      </c>
      <c r="AR8" s="16">
        <f t="shared" ref="AR8" si="15">SUM(E8:P8)</f>
        <v>59079.022727272721</v>
      </c>
      <c r="AS8" s="16">
        <f t="shared" ref="AS8" si="16">SUM(E8:G8)</f>
        <v>11397</v>
      </c>
      <c r="AT8" s="16">
        <f t="shared" ref="AT8" si="17">SUM(H8:J8)</f>
        <v>15894.007575757576</v>
      </c>
      <c r="AU8" s="16">
        <f t="shared" ref="AU8" si="18">SUM(K8:M8)</f>
        <v>15894.007575757576</v>
      </c>
      <c r="AV8" s="16">
        <f t="shared" ref="AV8" si="19">SUM(N8:P8)</f>
        <v>15894.007575757576</v>
      </c>
      <c r="AX8" s="16">
        <f t="shared" ref="AX8" si="20">SUM(R8:AC8)</f>
        <v>65509.363636363654</v>
      </c>
      <c r="AY8" s="16">
        <f t="shared" ref="AY8" si="21">SUM(R8:T8)</f>
        <v>16377.340909090912</v>
      </c>
      <c r="AZ8" s="16">
        <f t="shared" ref="AZ8" si="22">SUM(U8:W8)</f>
        <v>16377.340909090912</v>
      </c>
      <c r="BA8" s="16">
        <f t="shared" ref="BA8" si="23">SUM(X8:Z8)</f>
        <v>16377.340909090912</v>
      </c>
      <c r="BB8" s="16">
        <f t="shared" ref="BB8" si="24">SUM(AA8:AC8)</f>
        <v>16377.340909090912</v>
      </c>
      <c r="BD8" s="16">
        <f t="shared" ref="BD8" si="25">SUM(AE8:AP8)</f>
        <v>106342.69696969699</v>
      </c>
      <c r="BE8" s="16">
        <f t="shared" ref="BE8" si="26">SUM(AE8:AG8)</f>
        <v>16377.340909090912</v>
      </c>
      <c r="BF8" s="16">
        <f t="shared" ref="BF8" si="27">SUM(AH8:AJ8)</f>
        <v>22210.674242424244</v>
      </c>
      <c r="BG8" s="16">
        <f t="shared" ref="BG8" si="28">SUM(AK8:AM8)</f>
        <v>33877.340909090912</v>
      </c>
      <c r="BH8" s="16">
        <f t="shared" ref="BH8" si="29">SUM(AN8:AP8)</f>
        <v>33877.340909090912</v>
      </c>
      <c r="BJ8" s="16">
        <f>SUM(BK8:BN8)</f>
        <v>131873</v>
      </c>
      <c r="BK8" s="16">
        <f>+CAPEX!BK72</f>
        <v>32968.25</v>
      </c>
      <c r="BL8" s="16">
        <f>+CAPEX!BL72</f>
        <v>32968.25</v>
      </c>
      <c r="BM8" s="16">
        <f>+CAPEX!BM72</f>
        <v>32968.25</v>
      </c>
      <c r="BN8" s="16">
        <f>+CAPEX!BN72</f>
        <v>32968.25</v>
      </c>
      <c r="BP8" s="16">
        <f>SUM(BQ8:BT8)</f>
        <v>131873</v>
      </c>
      <c r="BQ8" s="16">
        <f>+CAPEX!BQ72</f>
        <v>32968.25</v>
      </c>
      <c r="BR8" s="16">
        <f>+CAPEX!BR72</f>
        <v>32968.25</v>
      </c>
      <c r="BS8" s="16">
        <f>+CAPEX!BS72</f>
        <v>32968.25</v>
      </c>
      <c r="BT8" s="16">
        <f>+CAPEX!BT72</f>
        <v>32968.25</v>
      </c>
      <c r="BV8" s="16">
        <f>SUM(BW8:BZ8)</f>
        <v>98445</v>
      </c>
      <c r="BW8" s="16">
        <f>+CAPEX!BW72</f>
        <v>24611.25</v>
      </c>
      <c r="BX8" s="16">
        <f>+BW8</f>
        <v>24611.25</v>
      </c>
      <c r="BY8" s="16">
        <f t="shared" ref="BY8:BZ8" si="30">+BX8</f>
        <v>24611.25</v>
      </c>
      <c r="BZ8" s="16">
        <f t="shared" si="30"/>
        <v>24611.25</v>
      </c>
    </row>
    <row r="9" spans="1:78" s="16" customFormat="1" x14ac:dyDescent="0.25">
      <c r="B9" s="23"/>
    </row>
    <row r="10" spans="1:78" s="16" customFormat="1" x14ac:dyDescent="0.25">
      <c r="B10" s="42" t="s">
        <v>326</v>
      </c>
      <c r="E10" s="18">
        <f>SUM(E6:E9)</f>
        <v>-322784.41666666669</v>
      </c>
      <c r="F10" s="18">
        <f t="shared" ref="F10:P10" si="31">SUM(F6:F9)</f>
        <v>-148813.41666666669</v>
      </c>
      <c r="G10" s="18">
        <f t="shared" si="31"/>
        <v>-173813.41666666669</v>
      </c>
      <c r="H10" s="18">
        <f t="shared" si="31"/>
        <v>-187627.25</v>
      </c>
      <c r="I10" s="18">
        <f t="shared" si="31"/>
        <v>-169239.25</v>
      </c>
      <c r="J10" s="18">
        <f t="shared" si="31"/>
        <v>-200841.25</v>
      </c>
      <c r="K10" s="18">
        <f t="shared" si="31"/>
        <v>-209940</v>
      </c>
      <c r="L10" s="18">
        <f t="shared" si="31"/>
        <v>-221022.5</v>
      </c>
      <c r="M10" s="18">
        <f t="shared" si="31"/>
        <v>-240630</v>
      </c>
      <c r="N10" s="18">
        <f t="shared" si="31"/>
        <v>-160140</v>
      </c>
      <c r="O10" s="18">
        <f t="shared" si="31"/>
        <v>-205430</v>
      </c>
      <c r="P10" s="18">
        <f t="shared" si="31"/>
        <v>-227330</v>
      </c>
      <c r="R10" s="18">
        <f>SUM(R6:R9)</f>
        <v>-220824.58333333331</v>
      </c>
      <c r="S10" s="18">
        <f t="shared" ref="S10" si="32">SUM(S6:S9)</f>
        <v>-190914.58333333331</v>
      </c>
      <c r="T10" s="18">
        <f t="shared" ref="T10" si="33">SUM(T6:T9)</f>
        <v>-214198.75</v>
      </c>
      <c r="U10" s="18">
        <f t="shared" ref="U10" si="34">SUM(U6:U9)</f>
        <v>-209485.27104223985</v>
      </c>
      <c r="V10" s="18">
        <f t="shared" ref="V10" si="35">SUM(V6:V9)</f>
        <v>-285641.56284817751</v>
      </c>
      <c r="W10" s="18">
        <f t="shared" ref="W10" si="36">SUM(W6:W9)</f>
        <v>-254286.45902968838</v>
      </c>
      <c r="X10" s="18">
        <f t="shared" ref="X10" si="37">SUM(X6:X9)</f>
        <v>-303363.84332674171</v>
      </c>
      <c r="Y10" s="18">
        <f t="shared" ref="Y10" si="38">SUM(Y6:Y9)</f>
        <v>-249844.0149021706</v>
      </c>
      <c r="Z10" s="18">
        <f t="shared" ref="Z10" si="39">SUM(Z6:Z9)</f>
        <v>-234527.61127556066</v>
      </c>
      <c r="AA10" s="18">
        <f t="shared" ref="AA10" si="40">SUM(AA6:AA9)</f>
        <v>-204573.05723871625</v>
      </c>
      <c r="AB10" s="18">
        <f t="shared" ref="AB10" si="41">SUM(AB6:AB9)</f>
        <v>-207073.22652420573</v>
      </c>
      <c r="AC10" s="18">
        <f t="shared" ref="AC10" si="42">SUM(AC6:AC9)</f>
        <v>-202427.25380563593</v>
      </c>
      <c r="AE10" s="18">
        <f>SUM(AE6:AE9)</f>
        <v>-199246.42041508373</v>
      </c>
      <c r="AF10" s="18">
        <f t="shared" ref="AF10" si="43">SUM(AF6:AF9)</f>
        <v>-223697.59329929308</v>
      </c>
      <c r="AG10" s="18">
        <f t="shared" ref="AG10" si="44">SUM(AG6:AG9)</f>
        <v>-225367.41590302082</v>
      </c>
      <c r="AH10" s="18">
        <f t="shared" ref="AH10" si="45">SUM(AH6:AH9)</f>
        <v>-137510.42544337831</v>
      </c>
      <c r="AI10" s="18">
        <f t="shared" ref="AI10" si="46">SUM(AI6:AI9)</f>
        <v>-119118.4093773801</v>
      </c>
      <c r="AJ10" s="18">
        <f t="shared" ref="AJ10" si="47">SUM(AJ6:AJ9)</f>
        <v>-108287.5213978957</v>
      </c>
      <c r="AK10" s="18">
        <f t="shared" ref="AK10" si="48">SUM(AK6:AK9)</f>
        <v>262261.11038804235</v>
      </c>
      <c r="AL10" s="18">
        <f t="shared" ref="AL10" si="49">SUM(AL6:AL9)</f>
        <v>110950.09765568354</v>
      </c>
      <c r="AM10" s="18">
        <f t="shared" ref="AM10" si="50">SUM(AM6:AM9)</f>
        <v>117820.05029765599</v>
      </c>
      <c r="AN10" s="18">
        <f t="shared" ref="AN10" si="51">SUM(AN6:AN9)</f>
        <v>363781.31950710004</v>
      </c>
      <c r="AO10" s="18">
        <f t="shared" ref="AO10" si="52">SUM(AO6:AO9)</f>
        <v>194143.11112952494</v>
      </c>
      <c r="AP10" s="18">
        <f t="shared" ref="AP10" si="53">SUM(AP6:AP9)</f>
        <v>185108.49824831414</v>
      </c>
      <c r="AR10" s="18">
        <f t="shared" ref="AR10" si="54">SUM(AR6:AR9)</f>
        <v>-2467611.4999999995</v>
      </c>
      <c r="AS10" s="18">
        <f t="shared" ref="AS10" si="55">SUM(AS6:AS9)</f>
        <v>-645411.25</v>
      </c>
      <c r="AT10" s="18">
        <f t="shared" ref="AT10" si="56">SUM(AT6:AT9)</f>
        <v>-557707.75</v>
      </c>
      <c r="AU10" s="18">
        <f t="shared" ref="AU10" si="57">SUM(AU6:AU9)</f>
        <v>-671592.5</v>
      </c>
      <c r="AV10" s="18">
        <f t="shared" ref="AV10" si="58">SUM(AV6:AV9)</f>
        <v>-592900</v>
      </c>
      <c r="AX10" s="18">
        <f t="shared" ref="AX10" si="59">SUM(AX6:AX9)</f>
        <v>-2777160.2166598034</v>
      </c>
      <c r="AY10" s="18">
        <f t="shared" ref="AY10" si="60">SUM(AY6:AY9)</f>
        <v>-625937.91666666663</v>
      </c>
      <c r="AZ10" s="18">
        <f t="shared" ref="AZ10" si="61">SUM(AZ6:AZ9)</f>
        <v>-749413.29292010574</v>
      </c>
      <c r="BA10" s="18">
        <f t="shared" ref="BA10" si="62">SUM(BA6:BA9)</f>
        <v>-787735.46950447303</v>
      </c>
      <c r="BB10" s="18">
        <f t="shared" ref="BB10" si="63">SUM(BB6:BB9)</f>
        <v>-614073.53756855789</v>
      </c>
      <c r="BD10" s="18">
        <f t="shared" ref="BD10" si="64">SUM(BD6:BD9)</f>
        <v>220836.40139026937</v>
      </c>
      <c r="BE10" s="18">
        <f t="shared" ref="BE10" si="65">SUM(BE6:BE9)</f>
        <v>-648311.4296173976</v>
      </c>
      <c r="BF10" s="18">
        <f t="shared" ref="BF10" si="66">SUM(BF6:BF9)</f>
        <v>-364916.35621865408</v>
      </c>
      <c r="BG10" s="18">
        <f t="shared" ref="BG10" si="67">SUM(BG6:BG9)</f>
        <v>491031.25834138179</v>
      </c>
      <c r="BH10" s="18">
        <f t="shared" ref="BH10" si="68">SUM(BH6:BH9)</f>
        <v>743032.92888493917</v>
      </c>
      <c r="BJ10" s="18">
        <f t="shared" ref="BJ10:BN10" si="69">SUM(BJ6:BJ9)</f>
        <v>3770772.9848734355</v>
      </c>
      <c r="BK10" s="18">
        <f t="shared" si="69"/>
        <v>82075.396698423952</v>
      </c>
      <c r="BL10" s="18">
        <f t="shared" si="69"/>
        <v>241546.8842520609</v>
      </c>
      <c r="BM10" s="18">
        <f t="shared" si="69"/>
        <v>1606878.464763189</v>
      </c>
      <c r="BN10" s="18">
        <f t="shared" si="69"/>
        <v>1840272.2391597617</v>
      </c>
      <c r="BP10" s="18">
        <f t="shared" ref="BP10:BR10" si="70">SUM(BP6:BP9)</f>
        <v>6855804.7439910341</v>
      </c>
      <c r="BQ10" s="18">
        <f t="shared" si="70"/>
        <v>1162263.4507417602</v>
      </c>
      <c r="BR10" s="18">
        <f t="shared" si="70"/>
        <v>985487.10827198974</v>
      </c>
      <c r="BS10" s="18">
        <f t="shared" ref="BS10:BT10" si="71">SUM(BS6:BS9)</f>
        <v>2420960.3460196555</v>
      </c>
      <c r="BT10" s="18">
        <f t="shared" si="71"/>
        <v>2287093.8389576282</v>
      </c>
      <c r="BV10" s="18">
        <f t="shared" ref="BV10:BZ10" si="72">SUM(BV6:BV9)</f>
        <v>14766741.517868325</v>
      </c>
      <c r="BW10" s="18">
        <f t="shared" si="72"/>
        <v>2669862.4982252549</v>
      </c>
      <c r="BX10" s="18">
        <f t="shared" si="72"/>
        <v>2984013.7032601302</v>
      </c>
      <c r="BY10" s="18">
        <f t="shared" si="72"/>
        <v>4275231.2171433717</v>
      </c>
      <c r="BZ10" s="18">
        <f t="shared" si="72"/>
        <v>4837634.0992395682</v>
      </c>
    </row>
    <row r="11" spans="1:78" s="16" customFormat="1" x14ac:dyDescent="0.25">
      <c r="B11" s="16" t="s">
        <v>327</v>
      </c>
    </row>
    <row r="12" spans="1:78" s="16" customFormat="1" x14ac:dyDescent="0.25">
      <c r="B12" s="23" t="s">
        <v>257</v>
      </c>
      <c r="E12" s="16">
        <f>+BS!D7-BS!E7</f>
        <v>0</v>
      </c>
      <c r="F12" s="16">
        <f>+BS!E7-BS!F7</f>
        <v>0</v>
      </c>
      <c r="G12" s="16">
        <f>+BS!F7-BS!G7</f>
        <v>0</v>
      </c>
      <c r="H12" s="16">
        <f>+BS!G7-BS!H7</f>
        <v>0</v>
      </c>
      <c r="I12" s="16">
        <f>+BS!H7-BS!I7</f>
        <v>0</v>
      </c>
      <c r="J12" s="16">
        <f>+BS!I7-BS!J7</f>
        <v>0</v>
      </c>
      <c r="K12" s="16">
        <f>+BS!J7-BS!K7</f>
        <v>0</v>
      </c>
      <c r="L12" s="16">
        <f>+BS!K7-BS!L7</f>
        <v>0</v>
      </c>
      <c r="M12" s="16">
        <f>+BS!L7-BS!M7</f>
        <v>0</v>
      </c>
      <c r="N12" s="16">
        <f>+BS!M7-BS!N7</f>
        <v>0</v>
      </c>
      <c r="O12" s="16">
        <f>+BS!N7-BS!O7</f>
        <v>0</v>
      </c>
      <c r="P12" s="16">
        <f>+BS!O7-BS!P7</f>
        <v>0</v>
      </c>
      <c r="R12" s="16">
        <f>+BS!P7-BS!R7</f>
        <v>0</v>
      </c>
      <c r="S12" s="16">
        <f>+BS!R7-BS!S7</f>
        <v>0</v>
      </c>
      <c r="T12" s="16">
        <f>+BS!S7-BS!T7</f>
        <v>0</v>
      </c>
      <c r="U12" s="16">
        <f>+BS!T7-BS!U7</f>
        <v>0</v>
      </c>
      <c r="V12" s="16">
        <f>+BS!U7-BS!V7</f>
        <v>0</v>
      </c>
      <c r="W12" s="16">
        <f>+BS!V7-BS!W7</f>
        <v>0</v>
      </c>
      <c r="X12" s="16">
        <f>+BS!W7-BS!X7</f>
        <v>-420500.00000000012</v>
      </c>
      <c r="Y12" s="16">
        <f>+BS!X7-BS!Y7</f>
        <v>247600.00000000009</v>
      </c>
      <c r="Z12" s="16">
        <f>+BS!Y7-BS!Z7</f>
        <v>0</v>
      </c>
      <c r="AA12" s="16">
        <f>+BS!Z7-BS!AA7</f>
        <v>-273300.00000000012</v>
      </c>
      <c r="AB12" s="16">
        <f>+BS!AA7-BS!AB7</f>
        <v>247400.00000000006</v>
      </c>
      <c r="AC12" s="16">
        <f>+BS!AB7-BS!AC7</f>
        <v>0</v>
      </c>
      <c r="AE12" s="16">
        <f>+BS!AC7-BS!AE7</f>
        <v>-279370.00000000006</v>
      </c>
      <c r="AF12" s="16">
        <f>+BS!AE7-BS!AF7</f>
        <v>231000.00000000006</v>
      </c>
      <c r="AG12" s="16">
        <f>+BS!AF7-BS!AG7</f>
        <v>0</v>
      </c>
      <c r="AH12" s="16">
        <f>+BS!AG7-BS!AH7</f>
        <v>-259490.00000000017</v>
      </c>
      <c r="AI12" s="16">
        <f>+BS!AH7-BS!AI7</f>
        <v>231000.00000000012</v>
      </c>
      <c r="AJ12" s="16">
        <f>+BS!AI7-BS!AJ7</f>
        <v>0</v>
      </c>
      <c r="AK12" s="16">
        <f>+BS!AJ7-BS!AK7</f>
        <v>-1193658.666666667</v>
      </c>
      <c r="AL12" s="16">
        <f>+BS!AK7-BS!AL7</f>
        <v>687446.66666666698</v>
      </c>
      <c r="AM12" s="16">
        <f>+BS!AL7-BS!AM7</f>
        <v>28889</v>
      </c>
      <c r="AN12" s="16">
        <f>+BS!AM7-BS!AN7</f>
        <v>-883687.66666666698</v>
      </c>
      <c r="AO12" s="16">
        <f>+BS!AN7-BS!AO7</f>
        <v>660617.3333333336</v>
      </c>
      <c r="AP12" s="16">
        <f>+BS!AO7-BS!AP7</f>
        <v>103386.66666666663</v>
      </c>
      <c r="AR12" s="16">
        <f t="shared" ref="AR12:AR16" si="73">SUM(E12:P12)</f>
        <v>0</v>
      </c>
      <c r="AS12" s="16">
        <f t="shared" ref="AS12:AS16" si="74">SUM(E12:G12)</f>
        <v>0</v>
      </c>
      <c r="AT12" s="16">
        <f t="shared" ref="AT12:AT16" si="75">SUM(H12:J12)</f>
        <v>0</v>
      </c>
      <c r="AU12" s="16">
        <f t="shared" ref="AU12:AU16" si="76">SUM(K12:M12)</f>
        <v>0</v>
      </c>
      <c r="AV12" s="16">
        <f t="shared" ref="AV12:AV16" si="77">SUM(N12:P12)</f>
        <v>0</v>
      </c>
      <c r="AX12" s="16">
        <f t="shared" ref="AX12:AX16" si="78">SUM(R12:AC12)</f>
        <v>-198800.00000000006</v>
      </c>
      <c r="AY12" s="16">
        <f t="shared" ref="AY12:AY16" si="79">SUM(R12:T12)</f>
        <v>0</v>
      </c>
      <c r="AZ12" s="16">
        <f t="shared" ref="AZ12:AZ16" si="80">SUM(U12:W12)</f>
        <v>0</v>
      </c>
      <c r="BA12" s="16">
        <f t="shared" ref="BA12:BA16" si="81">SUM(X12:Z12)</f>
        <v>-172900.00000000003</v>
      </c>
      <c r="BB12" s="16">
        <f t="shared" ref="BB12:BB16" si="82">SUM(AA12:AC12)</f>
        <v>-25900.000000000058</v>
      </c>
      <c r="BD12" s="16">
        <f t="shared" ref="BD12:BD16" si="83">SUM(AE12:AP12)</f>
        <v>-673866.66666666674</v>
      </c>
      <c r="BE12" s="16">
        <f t="shared" ref="BE12:BE16" si="84">SUM(AE12:AG12)</f>
        <v>-48370</v>
      </c>
      <c r="BF12" s="16">
        <f t="shared" ref="BF12:BF16" si="85">SUM(AH12:AJ12)</f>
        <v>-28490.000000000058</v>
      </c>
      <c r="BG12" s="16">
        <f t="shared" ref="BG12:BG16" si="86">SUM(AK12:AM12)</f>
        <v>-477323</v>
      </c>
      <c r="BH12" s="16">
        <f t="shared" ref="BH12:BH16" si="87">SUM(AN12:AP12)</f>
        <v>-119683.66666666674</v>
      </c>
      <c r="BJ12" s="16">
        <f t="shared" ref="BJ12:BJ16" si="88">SUM(BK12:BN12)</f>
        <v>-2108337.4703111118</v>
      </c>
      <c r="BK12" s="16">
        <f>-BS!AR7+BS!AP7</f>
        <v>-481799.26666666707</v>
      </c>
      <c r="BL12" s="16">
        <f>-BS!AS7+BS!AR7</f>
        <v>-192494.86666666646</v>
      </c>
      <c r="BM12" s="16">
        <f>-BS!AT7+BS!AS7</f>
        <v>-1162007.765844445</v>
      </c>
      <c r="BN12" s="16">
        <f>-BS!AU7+BS!AT7</f>
        <v>-272035.57113333326</v>
      </c>
      <c r="BP12" s="16">
        <f t="shared" ref="BP12:BP16" si="89">SUM(BQ12:BT12)</f>
        <v>-2399250.7854488911</v>
      </c>
      <c r="BQ12" s="16">
        <f>-BS!AW7+BS!AU7</f>
        <v>-453345.12974666758</v>
      </c>
      <c r="BR12" s="16">
        <f>-BS!AX7+BS!AW7</f>
        <v>-218648.58160444442</v>
      </c>
      <c r="BS12" s="16">
        <f>-BS!AY7+BS!AX7</f>
        <v>-1874317.6720488905</v>
      </c>
      <c r="BT12" s="16">
        <f>-BS!AZ7+BS!AY7</f>
        <v>147060.59795111138</v>
      </c>
      <c r="BV12" s="16">
        <f t="shared" ref="BV12:BV16" si="90">SUM(BW12:BZ12)</f>
        <v>-3634509.0472893352</v>
      </c>
      <c r="BW12" s="16">
        <f>-BS!BB7+BS!AZ7</f>
        <v>-1034307.1546075549</v>
      </c>
      <c r="BX12" s="16">
        <f>-BS!BC7+BS!BB7</f>
        <v>-339780.07047600113</v>
      </c>
      <c r="BY12" s="16">
        <f>-BS!BD7+BS!BC7</f>
        <v>-1644176.0173737789</v>
      </c>
      <c r="BZ12" s="16">
        <f>-BS!BE7+BS!BD7</f>
        <v>-616245.80483200029</v>
      </c>
    </row>
    <row r="13" spans="1:78" s="16" customFormat="1" x14ac:dyDescent="0.25">
      <c r="B13" s="23" t="s">
        <v>249</v>
      </c>
      <c r="E13" s="16">
        <f>+BS!D8-BS!E8</f>
        <v>0</v>
      </c>
      <c r="F13" s="16">
        <f>+BS!E8-BS!F8</f>
        <v>0</v>
      </c>
      <c r="G13" s="16">
        <f>+BS!F8-BS!G8</f>
        <v>0</v>
      </c>
      <c r="H13" s="16">
        <f>+BS!G8-BS!H8</f>
        <v>0</v>
      </c>
      <c r="I13" s="16">
        <f>+BS!H8-BS!I8</f>
        <v>0</v>
      </c>
      <c r="J13" s="16">
        <f>+BS!I8-BS!J8</f>
        <v>0</v>
      </c>
      <c r="K13" s="16">
        <f>+BS!J8-BS!K8</f>
        <v>0</v>
      </c>
      <c r="L13" s="16">
        <f>+BS!K8-BS!L8</f>
        <v>0</v>
      </c>
      <c r="M13" s="16">
        <f>+BS!L8-BS!M8</f>
        <v>0</v>
      </c>
      <c r="N13" s="16">
        <f>+BS!M8-BS!N8</f>
        <v>0</v>
      </c>
      <c r="O13" s="16">
        <f>+BS!N8-BS!O8</f>
        <v>0</v>
      </c>
      <c r="P13" s="16">
        <f>+BS!O8-BS!P8</f>
        <v>0</v>
      </c>
      <c r="R13" s="16">
        <f>+BS!P8-BS!R8</f>
        <v>0</v>
      </c>
      <c r="S13" s="16">
        <f>+BS!R8-BS!S8</f>
        <v>0</v>
      </c>
      <c r="T13" s="16">
        <f>+BS!S8-BS!T8</f>
        <v>-21770</v>
      </c>
      <c r="U13" s="16">
        <f>+BS!T8-BS!U8</f>
        <v>-67183.895624426834</v>
      </c>
      <c r="V13" s="16">
        <f>+BS!U8-BS!V8</f>
        <v>-141167.60381848918</v>
      </c>
      <c r="W13" s="16">
        <f>+BS!V8-BS!W8</f>
        <v>-372869.4244063847</v>
      </c>
      <c r="X13" s="16">
        <f>+BS!W8-BS!X8</f>
        <v>123104.64622568979</v>
      </c>
      <c r="Y13" s="16">
        <f>+BS!X8-BS!Y8</f>
        <v>-226662.86218751618</v>
      </c>
      <c r="Z13" s="16">
        <f>+BS!Y8-BS!Z8</f>
        <v>-22545.975223472342</v>
      </c>
      <c r="AA13" s="16">
        <f>+BS!Z8-BS!AA8</f>
        <v>188911.39813712065</v>
      </c>
      <c r="AB13" s="16">
        <f>+BS!AA8-BS!AB8</f>
        <v>-231107.86563484161</v>
      </c>
      <c r="AC13" s="16">
        <f>+BS!AB8-BS!AC8</f>
        <v>-43931.815344358212</v>
      </c>
      <c r="AE13" s="16">
        <f>+BS!AC8-BS!AE8</f>
        <v>168640.31083577813</v>
      </c>
      <c r="AF13" s="16">
        <f>+BS!AE8-BS!AF8</f>
        <v>-188402.41925158619</v>
      </c>
      <c r="AG13" s="16">
        <f>+BS!AF8-BS!AG8</f>
        <v>73273.339236354339</v>
      </c>
      <c r="AH13" s="16">
        <f>+BS!AG8-BS!AH8</f>
        <v>156735.16322115622</v>
      </c>
      <c r="AI13" s="16">
        <f>+BS!AH8-BS!AI8</f>
        <v>-673083.85284484248</v>
      </c>
      <c r="AJ13" s="16">
        <f>+BS!AI8-BS!AJ8</f>
        <v>-113614.74082432641</v>
      </c>
      <c r="AK13" s="16">
        <f>+BS!AJ8-BS!AK8</f>
        <v>619878.62183418008</v>
      </c>
      <c r="AL13" s="16">
        <f>+BS!AK8-BS!AL8</f>
        <v>-570890.21839642455</v>
      </c>
      <c r="AM13" s="16">
        <f>+BS!AL8-BS!AM8</f>
        <v>-1210.1710383964237</v>
      </c>
      <c r="AN13" s="16">
        <f>+BS!AM8-BS!AN8</f>
        <v>611841.33975215978</v>
      </c>
      <c r="AO13" s="16">
        <f>+BS!AN8-BS!AO8</f>
        <v>8083.9999815861229</v>
      </c>
      <c r="AP13" s="16">
        <f>+BS!AO8-BS!AP8</f>
        <v>-502607.73991498095</v>
      </c>
      <c r="AR13" s="16">
        <f t="shared" si="73"/>
        <v>0</v>
      </c>
      <c r="AS13" s="16">
        <f t="shared" si="74"/>
        <v>0</v>
      </c>
      <c r="AT13" s="16">
        <f t="shared" si="75"/>
        <v>0</v>
      </c>
      <c r="AU13" s="16">
        <f t="shared" si="76"/>
        <v>0</v>
      </c>
      <c r="AV13" s="16">
        <f t="shared" si="77"/>
        <v>0</v>
      </c>
      <c r="AX13" s="16">
        <f t="shared" si="78"/>
        <v>-815223.39787667862</v>
      </c>
      <c r="AY13" s="16">
        <f t="shared" si="79"/>
        <v>-21770</v>
      </c>
      <c r="AZ13" s="16">
        <f t="shared" si="80"/>
        <v>-581220.92384930071</v>
      </c>
      <c r="BA13" s="16">
        <f t="shared" si="81"/>
        <v>-126104.19118529873</v>
      </c>
      <c r="BB13" s="16">
        <f t="shared" si="82"/>
        <v>-86128.282842079177</v>
      </c>
      <c r="BD13" s="16">
        <f t="shared" si="83"/>
        <v>-411356.36740934232</v>
      </c>
      <c r="BE13" s="16">
        <f t="shared" si="84"/>
        <v>53511.230820546276</v>
      </c>
      <c r="BF13" s="16">
        <f t="shared" si="85"/>
        <v>-629963.43044801266</v>
      </c>
      <c r="BG13" s="16">
        <f t="shared" si="86"/>
        <v>47778.232399359113</v>
      </c>
      <c r="BH13" s="16">
        <f t="shared" si="87"/>
        <v>117317.59981876495</v>
      </c>
      <c r="BJ13" s="16">
        <f t="shared" si="88"/>
        <v>-1869946.7624850627</v>
      </c>
      <c r="BK13" s="16">
        <f>-BS!AR8+BS!AP8</f>
        <v>-493410.77548010135</v>
      </c>
      <c r="BL13" s="16">
        <f>-BS!AS8+BS!AR8</f>
        <v>-956683.05558309983</v>
      </c>
      <c r="BM13" s="16">
        <f>-BS!AT8+BS!AS8</f>
        <v>-118523.19290237874</v>
      </c>
      <c r="BN13" s="16">
        <f>-BS!AU8+BS!AT8</f>
        <v>-301329.73851948278</v>
      </c>
      <c r="BP13" s="16">
        <f t="shared" si="89"/>
        <v>-2349634.1599101964</v>
      </c>
      <c r="BQ13" s="16">
        <f>-BS!AW8+BS!AU8</f>
        <v>-128859.38267595973</v>
      </c>
      <c r="BR13" s="16">
        <f>-BS!AX8+BS!AW8</f>
        <v>-1709044.721799681</v>
      </c>
      <c r="BS13" s="16">
        <f>-BS!AY8+BS!AX8</f>
        <v>169408.56064880453</v>
      </c>
      <c r="BT13" s="16">
        <f>-BS!AZ8+BS!AY8</f>
        <v>-681138.61608336028</v>
      </c>
      <c r="BV13" s="16">
        <f t="shared" si="90"/>
        <v>-2050220.8160532378</v>
      </c>
      <c r="BW13" s="16">
        <f>-BS!BB8+BS!AZ8</f>
        <v>-177379.13778690062</v>
      </c>
      <c r="BX13" s="16">
        <f>-BS!BC8+BS!BB8</f>
        <v>-1463223.5474931225</v>
      </c>
      <c r="BY13" s="16">
        <f>-BS!BD8+BS!BC8</f>
        <v>-409618.13077321462</v>
      </c>
      <c r="BZ13" s="16">
        <f>-BS!BE8+BS!BD8</f>
        <v>0</v>
      </c>
    </row>
    <row r="14" spans="1:78" s="16" customFormat="1" x14ac:dyDescent="0.25">
      <c r="B14" s="23" t="s">
        <v>328</v>
      </c>
      <c r="E14" s="16">
        <f>+BS!D9+BS!D14-BS!E9-BS!E14</f>
        <v>-25000</v>
      </c>
      <c r="F14" s="16">
        <f>+BS!E9+BS!E14-BS!F9-BS!F14</f>
        <v>0</v>
      </c>
      <c r="G14" s="16">
        <f>+BS!F9+BS!F14-BS!G9-BS!G14</f>
        <v>0</v>
      </c>
      <c r="H14" s="16">
        <f>+BS!G9+BS!G14-BS!H9-BS!H14</f>
        <v>0</v>
      </c>
      <c r="I14" s="16">
        <f>+BS!H9+BS!H14-BS!I9-BS!I14</f>
        <v>0</v>
      </c>
      <c r="J14" s="16">
        <f>+BS!I9+BS!I14-BS!J9-BS!J14</f>
        <v>0</v>
      </c>
      <c r="K14" s="16">
        <f>+BS!J9+BS!J14-BS!K9-BS!K14</f>
        <v>0</v>
      </c>
      <c r="L14" s="16">
        <f>+BS!K9+BS!K14-BS!L9-BS!L14</f>
        <v>0</v>
      </c>
      <c r="M14" s="16">
        <f>+BS!L9+BS!L14-BS!M9-BS!M14</f>
        <v>0</v>
      </c>
      <c r="N14" s="16">
        <f>+BS!M9+BS!M14-BS!N9-BS!N14</f>
        <v>0</v>
      </c>
      <c r="O14" s="16">
        <f>+BS!N9+BS!N14-BS!O9-BS!O14</f>
        <v>0</v>
      </c>
      <c r="P14" s="16">
        <f>+BS!O9+BS!O14-BS!P9-BS!P14</f>
        <v>0</v>
      </c>
      <c r="R14" s="16">
        <f>+BS!P9+BS!P14-BS!R9-BS!R14</f>
        <v>0</v>
      </c>
      <c r="S14" s="16">
        <f>+BS!R9+BS!R14-BS!S9-BS!S14</f>
        <v>0</v>
      </c>
      <c r="T14" s="16">
        <f>+BS!S9+BS!S14-BS!T9-BS!T14</f>
        <v>0</v>
      </c>
      <c r="U14" s="16">
        <f>+BS!T9+BS!T14-BS!U9-BS!U14</f>
        <v>0</v>
      </c>
      <c r="V14" s="16">
        <f>+BS!U9+BS!U14-BS!V9-BS!V14</f>
        <v>0</v>
      </c>
      <c r="W14" s="16">
        <f>+BS!V9+BS!V14-BS!W9-BS!W14</f>
        <v>0</v>
      </c>
      <c r="X14" s="16">
        <f>+BS!W9+BS!W14-BS!X9-BS!X14</f>
        <v>0</v>
      </c>
      <c r="Y14" s="16">
        <f>+BS!X9+BS!X14-BS!Y9-BS!Y14</f>
        <v>0</v>
      </c>
      <c r="Z14" s="16">
        <f>+BS!Y9+BS!Y14-BS!Z9-BS!Z14</f>
        <v>0</v>
      </c>
      <c r="AA14" s="16">
        <f>+BS!Z9+BS!Z14-BS!AA9-BS!AA14</f>
        <v>0</v>
      </c>
      <c r="AB14" s="16">
        <f>+BS!AA9+BS!AA14-BS!AB9-BS!AB14</f>
        <v>0</v>
      </c>
      <c r="AC14" s="16">
        <f>+BS!AB9+BS!AB14-BS!AC9-BS!AC14</f>
        <v>0</v>
      </c>
      <c r="AE14" s="16">
        <f>+BS!AC9+BS!AC14-BS!AE9-BS!AE14</f>
        <v>0</v>
      </c>
      <c r="AF14" s="16">
        <f>+BS!AE9+BS!AE14-BS!AF9-BS!AF14</f>
        <v>0</v>
      </c>
      <c r="AG14" s="16">
        <f>+BS!AF9+BS!AF14-BS!AG9-BS!AG14</f>
        <v>0</v>
      </c>
      <c r="AH14" s="16">
        <f>+BS!AG9+BS!AG14-BS!AH9-BS!AH14</f>
        <v>0</v>
      </c>
      <c r="AI14" s="16">
        <f>+BS!AH9+BS!AH14-BS!AI9-BS!AI14</f>
        <v>0</v>
      </c>
      <c r="AJ14" s="16">
        <f>+BS!AI9+BS!AI14-BS!AJ9-BS!AJ14</f>
        <v>0</v>
      </c>
      <c r="AK14" s="16">
        <f>+BS!AJ9+BS!AJ14-BS!AK9-BS!AK14</f>
        <v>0</v>
      </c>
      <c r="AL14" s="16">
        <f>+BS!AK9+BS!AK14-BS!AL9-BS!AL14</f>
        <v>0</v>
      </c>
      <c r="AM14" s="16">
        <f>+BS!AL9+BS!AL14-BS!AM9-BS!AM14</f>
        <v>0</v>
      </c>
      <c r="AN14" s="16">
        <f>+BS!AM9+BS!AM14-BS!AN9-BS!AN14</f>
        <v>0</v>
      </c>
      <c r="AO14" s="16">
        <f>+BS!AN9+BS!AN14-BS!AO9-BS!AO14</f>
        <v>0</v>
      </c>
      <c r="AP14" s="16">
        <f>+BS!AO9+BS!AO14-BS!AP9-BS!AP14</f>
        <v>0</v>
      </c>
      <c r="AR14" s="16">
        <f t="shared" si="73"/>
        <v>-25000</v>
      </c>
      <c r="AS14" s="16">
        <f t="shared" si="74"/>
        <v>-25000</v>
      </c>
      <c r="AT14" s="16">
        <f t="shared" si="75"/>
        <v>0</v>
      </c>
      <c r="AU14" s="16">
        <f t="shared" si="76"/>
        <v>0</v>
      </c>
      <c r="AV14" s="16">
        <f t="shared" si="77"/>
        <v>0</v>
      </c>
      <c r="AX14" s="16">
        <f t="shared" si="78"/>
        <v>0</v>
      </c>
      <c r="AY14" s="16">
        <f t="shared" si="79"/>
        <v>0</v>
      </c>
      <c r="AZ14" s="16">
        <f t="shared" si="80"/>
        <v>0</v>
      </c>
      <c r="BA14" s="16">
        <f t="shared" si="81"/>
        <v>0</v>
      </c>
      <c r="BB14" s="16">
        <f t="shared" si="82"/>
        <v>0</v>
      </c>
      <c r="BD14" s="16">
        <f t="shared" si="83"/>
        <v>0</v>
      </c>
      <c r="BE14" s="16">
        <f t="shared" si="84"/>
        <v>0</v>
      </c>
      <c r="BF14" s="16">
        <f t="shared" si="85"/>
        <v>0</v>
      </c>
      <c r="BG14" s="16">
        <f t="shared" si="86"/>
        <v>0</v>
      </c>
      <c r="BH14" s="16">
        <f t="shared" si="87"/>
        <v>0</v>
      </c>
      <c r="BJ14" s="16">
        <f t="shared" si="88"/>
        <v>0</v>
      </c>
      <c r="BK14" s="16">
        <f>-BS!AR9+BS!AP9</f>
        <v>0</v>
      </c>
      <c r="BL14" s="16">
        <f>-BS!AS9+BS!AR9</f>
        <v>0</v>
      </c>
      <c r="BM14" s="16">
        <f>-BS!AT9+BS!AS9</f>
        <v>0</v>
      </c>
      <c r="BN14" s="16">
        <f>-BS!AU9+BS!AT9</f>
        <v>0</v>
      </c>
      <c r="BP14" s="16">
        <f t="shared" si="89"/>
        <v>0</v>
      </c>
      <c r="BQ14" s="16">
        <f>-BS!AW9+BS!AU9</f>
        <v>0</v>
      </c>
      <c r="BR14" s="16">
        <f>-BS!AX9+BS!AW9</f>
        <v>0</v>
      </c>
      <c r="BS14" s="16">
        <f>-BS!AY9+BS!AX9</f>
        <v>0</v>
      </c>
      <c r="BT14" s="16">
        <f>-BS!AZ9+BS!AY9</f>
        <v>0</v>
      </c>
      <c r="BV14" s="16">
        <f t="shared" si="90"/>
        <v>0</v>
      </c>
      <c r="BW14" s="16">
        <f>-BS!BB9+BS!AZ9</f>
        <v>0</v>
      </c>
      <c r="BX14" s="16">
        <f>-BS!BC9+BS!BB9</f>
        <v>0</v>
      </c>
      <c r="BY14" s="16">
        <f>-BS!BD9+BS!BC9</f>
        <v>0</v>
      </c>
      <c r="BZ14" s="16">
        <f>-BS!BE9+BS!BD9</f>
        <v>0</v>
      </c>
    </row>
    <row r="15" spans="1:78" s="16" customFormat="1" x14ac:dyDescent="0.25">
      <c r="B15" s="23" t="s">
        <v>329</v>
      </c>
      <c r="E15" s="16">
        <f>+BS!E20-BS!D20</f>
        <v>414194</v>
      </c>
      <c r="F15" s="16">
        <f>+BS!F20-BS!E20</f>
        <v>-393911</v>
      </c>
      <c r="G15" s="16">
        <f>+BS!G20-BS!F20</f>
        <v>25000</v>
      </c>
      <c r="H15" s="16">
        <f>+BS!H20-BS!G20</f>
        <v>86812.999999999985</v>
      </c>
      <c r="I15" s="16">
        <f>+BS!I20-BS!H20</f>
        <v>-98813.000000000015</v>
      </c>
      <c r="J15" s="16">
        <f>+BS!J20-BS!I20</f>
        <v>31602</v>
      </c>
      <c r="K15" s="16">
        <f>+BS!K20-BS!J20</f>
        <v>4325.0000000000146</v>
      </c>
      <c r="L15" s="16">
        <f>+BS!L20-BS!K20</f>
        <v>11082.5</v>
      </c>
      <c r="M15" s="16">
        <f>+BS!M20-BS!L20</f>
        <v>19607.5</v>
      </c>
      <c r="N15" s="16">
        <f>+BS!N20-BS!M20</f>
        <v>-80490</v>
      </c>
      <c r="O15" s="16">
        <f>+BS!O20-BS!N20</f>
        <v>45290</v>
      </c>
      <c r="P15" s="16">
        <f>+BS!P20-BS!O20</f>
        <v>150363.33333333334</v>
      </c>
      <c r="R15" s="16">
        <f>+BS!R20-BS!P20</f>
        <v>-142803.33333333334</v>
      </c>
      <c r="S15" s="16">
        <f>+BS!S20-BS!R20</f>
        <v>-36909.999999999993</v>
      </c>
      <c r="T15" s="16">
        <f>+BS!T20-BS!S20</f>
        <v>27020</v>
      </c>
      <c r="U15" s="16">
        <f>+BS!U20-BS!T20</f>
        <v>6223.3333333333503</v>
      </c>
      <c r="V15" s="16">
        <f>+BS!V20-BS!U20</f>
        <v>100723.33333333339</v>
      </c>
      <c r="W15" s="16">
        <f>+BS!W20-BS!V20</f>
        <v>170200.88343607308</v>
      </c>
      <c r="X15" s="16">
        <f>+BS!X20-BS!W20</f>
        <v>-227514.85300168802</v>
      </c>
      <c r="Y15" s="16">
        <f>+BS!Y20-BS!X20</f>
        <v>211842.47998863505</v>
      </c>
      <c r="Z15" s="16">
        <f>+BS!Z20-BS!Y20</f>
        <v>-219433.29059065384</v>
      </c>
      <c r="AA15" s="16">
        <f>+BS!AA20-BS!Z20</f>
        <v>25602.172602562612</v>
      </c>
      <c r="AB15" s="16">
        <f>+BS!AB20-BS!AA20</f>
        <v>180809.63305745184</v>
      </c>
      <c r="AC15" s="16">
        <f>+BS!AC20-BS!AB20</f>
        <v>-191822.0230090532</v>
      </c>
      <c r="AE15" s="16">
        <f>+BS!AE20-BS!AC20</f>
        <v>41799.863762644847</v>
      </c>
      <c r="AF15" s="16">
        <f>+BS!AF20-BS!AE20</f>
        <v>155806.90297157338</v>
      </c>
      <c r="AG15" s="16">
        <f>+BS!AG20-BS!AF20</f>
        <v>-260005.93588421249</v>
      </c>
      <c r="AH15" s="16">
        <f>+BS!AH20-BS!AG20</f>
        <v>147023.00000000003</v>
      </c>
      <c r="AI15" s="16">
        <f>+BS!AI20-BS!AH20</f>
        <v>585740.00000000023</v>
      </c>
      <c r="AJ15" s="16">
        <f>+BS!AJ20-BS!AI20</f>
        <v>-220300.00000000023</v>
      </c>
      <c r="AK15" s="16">
        <f>+BS!AK20-BS!AJ20</f>
        <v>-342078</v>
      </c>
      <c r="AL15" s="16">
        <f>+BS!AL20-BS!AK20</f>
        <v>582396.16666666698</v>
      </c>
      <c r="AM15" s="16">
        <f>+BS!AM20-BS!AL20</f>
        <v>-576550.00000000023</v>
      </c>
      <c r="AN15" s="16">
        <f>+BS!AN20-BS!AM20</f>
        <v>-14484.500000000058</v>
      </c>
      <c r="AO15" s="16">
        <f>+BS!AO20-BS!AN20</f>
        <v>11653.333333333372</v>
      </c>
      <c r="AP15" s="16">
        <f>+BS!AP20-BS!AO20</f>
        <v>206950.0000000002</v>
      </c>
      <c r="AR15" s="16">
        <f t="shared" si="73"/>
        <v>215063.33333333334</v>
      </c>
      <c r="AS15" s="16">
        <f t="shared" si="74"/>
        <v>45283</v>
      </c>
      <c r="AT15" s="16">
        <f t="shared" si="75"/>
        <v>19601.999999999971</v>
      </c>
      <c r="AU15" s="16">
        <f t="shared" si="76"/>
        <v>35015.000000000015</v>
      </c>
      <c r="AV15" s="16">
        <f t="shared" si="77"/>
        <v>115163.33333333334</v>
      </c>
      <c r="AX15" s="16">
        <f t="shared" si="78"/>
        <v>-96061.66418333909</v>
      </c>
      <c r="AY15" s="16">
        <f t="shared" si="79"/>
        <v>-152693.33333333334</v>
      </c>
      <c r="AZ15" s="16">
        <f t="shared" si="80"/>
        <v>277147.55010273983</v>
      </c>
      <c r="BA15" s="16">
        <f t="shared" si="81"/>
        <v>-235105.66360370681</v>
      </c>
      <c r="BB15" s="16">
        <f t="shared" si="82"/>
        <v>14589.78265096125</v>
      </c>
      <c r="BD15" s="16">
        <f t="shared" si="83"/>
        <v>317950.83085000596</v>
      </c>
      <c r="BE15" s="16">
        <f t="shared" si="84"/>
        <v>-62399.169149994268</v>
      </c>
      <c r="BF15" s="16">
        <f t="shared" si="85"/>
        <v>512463</v>
      </c>
      <c r="BG15" s="16">
        <f t="shared" si="86"/>
        <v>-336231.83333333326</v>
      </c>
      <c r="BH15" s="16">
        <f t="shared" si="87"/>
        <v>204118.83333333352</v>
      </c>
      <c r="BJ15" s="16">
        <f t="shared" si="88"/>
        <v>2405031.4878297113</v>
      </c>
      <c r="BK15" s="16">
        <f>+BS!AR20-BS!AP20</f>
        <v>1777388.4929826467</v>
      </c>
      <c r="BL15" s="16">
        <f>+BS!AS20-BS!AR20</f>
        <v>352766.11811557878</v>
      </c>
      <c r="BM15" s="16">
        <f>+BS!AT20-BS!AS20</f>
        <v>79460.352547096089</v>
      </c>
      <c r="BN15" s="16">
        <f>+BS!AU20-BS!AT20</f>
        <v>195416.52418438997</v>
      </c>
      <c r="BP15" s="16">
        <f t="shared" si="89"/>
        <v>2138243.1332380059</v>
      </c>
      <c r="BQ15" s="16">
        <f>+BS!AW20-BS!AU20</f>
        <v>1186613.2959301067</v>
      </c>
      <c r="BR15" s="16">
        <f>+BS!AX20-BS!AW20</f>
        <v>652011.83043210953</v>
      </c>
      <c r="BS15" s="16">
        <f>+BS!AY20-BS!AX20</f>
        <v>3806.9036045921966</v>
      </c>
      <c r="BT15" s="16">
        <f>+BS!AZ20-BS!AY20</f>
        <v>295811.10327119753</v>
      </c>
      <c r="BV15" s="16">
        <f t="shared" si="90"/>
        <v>1810026.4197724052</v>
      </c>
      <c r="BW15" s="16">
        <f>+BS!BB20-BS!AZ20</f>
        <v>1030257.6626749001</v>
      </c>
      <c r="BX15" s="16">
        <f>+BS!BC20-BS!BB20</f>
        <v>558846.68945657462</v>
      </c>
      <c r="BY15" s="16">
        <f>+BS!BD20-BS!BC20</f>
        <v>177769.0467225071</v>
      </c>
      <c r="BZ15" s="16">
        <f>+BS!BE20-BS!BD20</f>
        <v>43153.02091842331</v>
      </c>
    </row>
    <row r="16" spans="1:78" s="16" customFormat="1" x14ac:dyDescent="0.25">
      <c r="B16" s="23" t="s">
        <v>330</v>
      </c>
      <c r="E16" s="16">
        <f>+BS!E21+BS!E22-BS!D21-BS!D22</f>
        <v>3350</v>
      </c>
      <c r="F16" s="16">
        <f>+BS!F21+BS!F22-BS!E21-BS!E22</f>
        <v>3350</v>
      </c>
      <c r="G16" s="16">
        <f>+BS!G21+BS!G22-BS!F21-BS!F22</f>
        <v>3350</v>
      </c>
      <c r="H16" s="16">
        <f>+BS!H21+BS!H22-BS!G21-BS!G22</f>
        <v>3583.3333333333339</v>
      </c>
      <c r="I16" s="16">
        <f>+BS!I21+BS!I22-BS!H21-BS!H22</f>
        <v>3583.3333333333339</v>
      </c>
      <c r="J16" s="16">
        <f>+BS!J21+BS!J22-BS!I21-BS!I22</f>
        <v>3583.3333333333321</v>
      </c>
      <c r="K16" s="16">
        <f>+BS!K21+BS!K22-BS!J21-BS!J22</f>
        <v>3733.3333333333321</v>
      </c>
      <c r="L16" s="16">
        <f>+BS!L21+BS!L22-BS!K21-BS!K22</f>
        <v>3733.3333333333321</v>
      </c>
      <c r="M16" s="16">
        <f>+BS!M21+BS!M22-BS!L21-BS!L22</f>
        <v>3733.3333333333321</v>
      </c>
      <c r="N16" s="16">
        <f>+BS!N21+BS!N22-BS!M21-BS!M22</f>
        <v>3733.3333333333321</v>
      </c>
      <c r="O16" s="16">
        <f>+BS!O21+BS!O22-BS!N21-BS!N22</f>
        <v>3733.3333333333358</v>
      </c>
      <c r="P16" s="16">
        <f>+BS!P21+BS!P22-BS!O21-BS!O22</f>
        <v>3733.3333333333358</v>
      </c>
      <c r="R16" s="16">
        <f>+BS!R21+BS!R22-BS!P21-BS!P22</f>
        <v>3916.6666666666642</v>
      </c>
      <c r="S16" s="16">
        <f>+BS!S21+BS!S22-BS!R21-BS!R22</f>
        <v>3916.6666666666642</v>
      </c>
      <c r="T16" s="16">
        <f>+BS!T21+BS!T22-BS!S21-BS!S22</f>
        <v>4483.3333333333358</v>
      </c>
      <c r="U16" s="16">
        <f>+BS!U21+BS!U22-BS!T21-BS!T22</f>
        <v>5566.6666666666642</v>
      </c>
      <c r="V16" s="16">
        <f>+BS!V21+BS!V22-BS!U21-BS!U22</f>
        <v>6233.3333333333285</v>
      </c>
      <c r="W16" s="16">
        <f>+BS!W21+BS!W22-BS!V21-BS!V22</f>
        <v>8066.6666666666715</v>
      </c>
      <c r="X16" s="16">
        <f>+BS!X21+BS!X22-BS!W21-BS!W22</f>
        <v>9133.3333333333285</v>
      </c>
      <c r="Y16" s="16">
        <f>+BS!Y21+BS!Y22-BS!X21-BS!X22</f>
        <v>9133.333333333343</v>
      </c>
      <c r="Z16" s="16">
        <f>+BS!Z21+BS!Z22-BS!Y21-BS!Y22</f>
        <v>9133.333333333343</v>
      </c>
      <c r="AA16" s="16">
        <f>+BS!AA21+BS!AA22-BS!Z21-BS!Z22</f>
        <v>9133.333333333343</v>
      </c>
      <c r="AB16" s="16">
        <f>+BS!AB21+BS!AB22-BS!AA21-BS!AA22</f>
        <v>9133.333333333343</v>
      </c>
      <c r="AC16" s="16">
        <f>+BS!AC21+BS!AC22-BS!AB21-BS!AB22</f>
        <v>9133.333333333343</v>
      </c>
      <c r="AE16" s="16">
        <f>+BS!AE21+BS!AE22-BS!AC21-BS!AC22</f>
        <v>9600</v>
      </c>
      <c r="AF16" s="16">
        <f>+BS!AF21+BS!AF22-BS!AE21-BS!AE22</f>
        <v>9600</v>
      </c>
      <c r="AG16" s="16">
        <f>+BS!AG21+BS!AG22-BS!AF21-BS!AF22</f>
        <v>9600</v>
      </c>
      <c r="AH16" s="16">
        <f>+BS!AH21+BS!AH22-BS!AG21-BS!AG22</f>
        <v>5900</v>
      </c>
      <c r="AI16" s="16">
        <f>+BS!AI21+BS!AI22-BS!AH21-BS!AH22</f>
        <v>5900</v>
      </c>
      <c r="AJ16" s="16">
        <f>+BS!AJ21+BS!AJ22-BS!AI21-BS!AI22</f>
        <v>5900</v>
      </c>
      <c r="AK16" s="16">
        <f>+BS!AK21+BS!AK22-BS!AJ21-BS!AJ22</f>
        <v>7100</v>
      </c>
      <c r="AL16" s="16">
        <f>+BS!AL21+BS!AL22-BS!AK21-BS!AK22</f>
        <v>7100</v>
      </c>
      <c r="AM16" s="16">
        <f>+BS!AM21+BS!AM22-BS!AL21-BS!AL22</f>
        <v>7100</v>
      </c>
      <c r="AN16" s="16">
        <f>+BS!AN21+BS!AN22-BS!AM21-BS!AM22</f>
        <v>7100</v>
      </c>
      <c r="AO16" s="16">
        <f>+BS!AO21+BS!AO22-BS!AN21-BS!AN22</f>
        <v>7100</v>
      </c>
      <c r="AP16" s="16">
        <f>+BS!AP21+BS!AP22-BS!AO21-BS!AO22</f>
        <v>7283.333333333343</v>
      </c>
      <c r="AR16" s="16">
        <f t="shared" si="73"/>
        <v>43200</v>
      </c>
      <c r="AS16" s="16">
        <f t="shared" si="74"/>
        <v>10050</v>
      </c>
      <c r="AT16" s="16">
        <f t="shared" si="75"/>
        <v>10750</v>
      </c>
      <c r="AU16" s="16">
        <f t="shared" si="76"/>
        <v>11199.999999999996</v>
      </c>
      <c r="AV16" s="16">
        <f t="shared" si="77"/>
        <v>11200.000000000004</v>
      </c>
      <c r="AX16" s="16">
        <f t="shared" si="78"/>
        <v>86983.333333333372</v>
      </c>
      <c r="AY16" s="16">
        <f t="shared" si="79"/>
        <v>12316.666666666664</v>
      </c>
      <c r="AZ16" s="16">
        <f t="shared" si="80"/>
        <v>19866.666666666664</v>
      </c>
      <c r="BA16" s="16">
        <f t="shared" si="81"/>
        <v>27400.000000000015</v>
      </c>
      <c r="BB16" s="16">
        <f t="shared" si="82"/>
        <v>27400.000000000029</v>
      </c>
      <c r="BD16" s="16">
        <f t="shared" si="83"/>
        <v>89283.333333333343</v>
      </c>
      <c r="BE16" s="16">
        <f t="shared" si="84"/>
        <v>28800</v>
      </c>
      <c r="BF16" s="16">
        <f t="shared" si="85"/>
        <v>17700</v>
      </c>
      <c r="BG16" s="16">
        <f t="shared" si="86"/>
        <v>21300</v>
      </c>
      <c r="BH16" s="16">
        <f t="shared" si="87"/>
        <v>21483.333333333343</v>
      </c>
      <c r="BJ16" s="16">
        <f t="shared" si="88"/>
        <v>25000</v>
      </c>
      <c r="BK16" s="16">
        <f>+BS!AR21-BS!AP21</f>
        <v>10000</v>
      </c>
      <c r="BL16" s="16">
        <f>+BS!AS21-BS!AR21</f>
        <v>5000</v>
      </c>
      <c r="BM16" s="16">
        <f>+BS!AT21-BS!AS21</f>
        <v>5000</v>
      </c>
      <c r="BN16" s="16">
        <f>+BS!AU21-BS!AT21</f>
        <v>5000</v>
      </c>
      <c r="BP16" s="16">
        <f t="shared" si="89"/>
        <v>0</v>
      </c>
      <c r="BQ16" s="16">
        <f>+BS!AW21-BS!AU21</f>
        <v>0</v>
      </c>
      <c r="BR16" s="16">
        <f>+BS!AX21-BS!AW21</f>
        <v>0</v>
      </c>
      <c r="BS16" s="16">
        <f>+BS!AY21-BS!AX21</f>
        <v>0</v>
      </c>
      <c r="BT16" s="16">
        <f>+BS!AZ21-BS!AY21</f>
        <v>0</v>
      </c>
      <c r="BV16" s="16">
        <f t="shared" si="90"/>
        <v>0</v>
      </c>
      <c r="BW16" s="16">
        <f>+BS!BB21-BS!AZ21</f>
        <v>0</v>
      </c>
      <c r="BX16" s="16">
        <f>+BS!BC21-BS!BB21</f>
        <v>0</v>
      </c>
      <c r="BY16" s="16">
        <f>+BS!BD21-BS!BC21</f>
        <v>0</v>
      </c>
      <c r="BZ16" s="16">
        <f>+BS!BE21-BS!BD21</f>
        <v>0</v>
      </c>
    </row>
    <row r="17" spans="1:78" s="16" customFormat="1" x14ac:dyDescent="0.25">
      <c r="B17" s="42" t="s">
        <v>331</v>
      </c>
      <c r="E17" s="18">
        <f>SUM(E10:E16)</f>
        <v>69759.583333333314</v>
      </c>
      <c r="F17" s="18">
        <f t="shared" ref="F17:P17" si="91">SUM(F10:F16)</f>
        <v>-539374.41666666674</v>
      </c>
      <c r="G17" s="18">
        <f t="shared" si="91"/>
        <v>-145463.41666666669</v>
      </c>
      <c r="H17" s="18">
        <f t="shared" si="91"/>
        <v>-97230.916666666686</v>
      </c>
      <c r="I17" s="18">
        <f t="shared" si="91"/>
        <v>-264468.91666666669</v>
      </c>
      <c r="J17" s="18">
        <f t="shared" si="91"/>
        <v>-165655.91666666666</v>
      </c>
      <c r="K17" s="18">
        <f t="shared" si="91"/>
        <v>-201881.66666666666</v>
      </c>
      <c r="L17" s="18">
        <f t="shared" si="91"/>
        <v>-206206.66666666666</v>
      </c>
      <c r="M17" s="18">
        <f t="shared" si="91"/>
        <v>-217289.16666666666</v>
      </c>
      <c r="N17" s="18">
        <f t="shared" si="91"/>
        <v>-236896.66666666666</v>
      </c>
      <c r="O17" s="18">
        <f t="shared" si="91"/>
        <v>-156406.66666666666</v>
      </c>
      <c r="P17" s="18">
        <f t="shared" si="91"/>
        <v>-73233.333333333314</v>
      </c>
      <c r="R17" s="18">
        <f>SUM(R10:R16)</f>
        <v>-359711.24999999994</v>
      </c>
      <c r="S17" s="18">
        <f t="shared" ref="S17" si="92">SUM(S10:S16)</f>
        <v>-223907.91666666666</v>
      </c>
      <c r="T17" s="18">
        <f t="shared" ref="T17" si="93">SUM(T10:T16)</f>
        <v>-204465.41666666666</v>
      </c>
      <c r="U17" s="18">
        <f t="shared" ref="U17" si="94">SUM(U10:U16)</f>
        <v>-264879.16666666663</v>
      </c>
      <c r="V17" s="18">
        <f t="shared" ref="V17" si="95">SUM(V10:V16)</f>
        <v>-319852.5</v>
      </c>
      <c r="W17" s="18">
        <f t="shared" ref="W17" si="96">SUM(W10:W16)</f>
        <v>-448888.33333333331</v>
      </c>
      <c r="X17" s="18">
        <f t="shared" ref="X17" si="97">SUM(X10:X16)</f>
        <v>-819140.71676940669</v>
      </c>
      <c r="Y17" s="18">
        <f t="shared" ref="Y17" si="98">SUM(Y10:Y16)</f>
        <v>-7931.0637677182967</v>
      </c>
      <c r="Z17" s="18">
        <f t="shared" ref="Z17" si="99">SUM(Z10:Z16)</f>
        <v>-467373.54375635344</v>
      </c>
      <c r="AA17" s="18">
        <f t="shared" ref="AA17" si="100">SUM(AA10:AA16)</f>
        <v>-254226.15316569983</v>
      </c>
      <c r="AB17" s="18">
        <f t="shared" ref="AB17" si="101">SUM(AB10:AB16)</f>
        <v>-838.12576826210716</v>
      </c>
      <c r="AC17" s="18">
        <f t="shared" ref="AC17" si="102">SUM(AC10:AC16)</f>
        <v>-429047.758825714</v>
      </c>
      <c r="AE17" s="18">
        <f>SUM(AE10:AE16)</f>
        <v>-258576.24581666081</v>
      </c>
      <c r="AF17" s="18">
        <f t="shared" ref="AF17" si="103">SUM(AF10:AF16)</f>
        <v>-15693.109579305834</v>
      </c>
      <c r="AG17" s="18">
        <f t="shared" ref="AG17" si="104">SUM(AG10:AG16)</f>
        <v>-402500.01255087898</v>
      </c>
      <c r="AH17" s="18">
        <f t="shared" ref="AH17" si="105">SUM(AH10:AH16)</f>
        <v>-87342.262222222256</v>
      </c>
      <c r="AI17" s="18">
        <f t="shared" ref="AI17" si="106">SUM(AI10:AI16)</f>
        <v>30437.737777777715</v>
      </c>
      <c r="AJ17" s="18">
        <f t="shared" ref="AJ17" si="107">SUM(AJ10:AJ16)</f>
        <v>-436302.26222222234</v>
      </c>
      <c r="AK17" s="18">
        <f t="shared" ref="AK17" si="108">SUM(AK10:AK16)</f>
        <v>-646496.93444444449</v>
      </c>
      <c r="AL17" s="18">
        <f t="shared" ref="AL17" si="109">SUM(AL10:AL16)</f>
        <v>817002.71259259293</v>
      </c>
      <c r="AM17" s="18">
        <f t="shared" ref="AM17" si="110">SUM(AM10:AM16)</f>
        <v>-423951.12074074068</v>
      </c>
      <c r="AN17" s="18">
        <f t="shared" ref="AN17" si="111">SUM(AN10:AN16)</f>
        <v>84550.492592592782</v>
      </c>
      <c r="AO17" s="18">
        <f t="shared" ref="AO17" si="112">SUM(AO10:AO16)</f>
        <v>881597.7777777781</v>
      </c>
      <c r="AP17" s="18">
        <f t="shared" ref="AP17" si="113">SUM(AP10:AP16)</f>
        <v>120.7583333333605</v>
      </c>
      <c r="AR17" s="18">
        <f t="shared" ref="AR17" si="114">SUM(AR10:AR16)</f>
        <v>-2234348.166666666</v>
      </c>
      <c r="AS17" s="18">
        <f t="shared" ref="AS17" si="115">SUM(AS10:AS16)</f>
        <v>-615078.25</v>
      </c>
      <c r="AT17" s="18">
        <f t="shared" ref="AT17" si="116">SUM(AT10:AT16)</f>
        <v>-527355.75</v>
      </c>
      <c r="AU17" s="18">
        <f t="shared" ref="AU17" si="117">SUM(AU10:AU16)</f>
        <v>-625377.5</v>
      </c>
      <c r="AV17" s="18">
        <f t="shared" ref="AV17" si="118">SUM(AV10:AV16)</f>
        <v>-466536.66666666663</v>
      </c>
      <c r="AX17" s="18">
        <f t="shared" ref="AX17" si="119">SUM(AX10:AX16)</f>
        <v>-3800261.9453864875</v>
      </c>
      <c r="AY17" s="18">
        <f t="shared" ref="AY17" si="120">SUM(AY10:AY16)</f>
        <v>-788084.58333333337</v>
      </c>
      <c r="AZ17" s="18">
        <f t="shared" ref="AZ17" si="121">SUM(AZ10:AZ16)</f>
        <v>-1033620.0000000001</v>
      </c>
      <c r="BA17" s="18">
        <f t="shared" ref="BA17" si="122">SUM(BA10:BA16)</f>
        <v>-1294445.3242934784</v>
      </c>
      <c r="BB17" s="18">
        <f t="shared" ref="BB17" si="123">SUM(BB10:BB16)</f>
        <v>-684112.03775967588</v>
      </c>
      <c r="BD17" s="18">
        <f t="shared" ref="BD17" si="124">SUM(BD10:BD16)</f>
        <v>-457152.46850240033</v>
      </c>
      <c r="BE17" s="18">
        <f t="shared" ref="BE17" si="125">SUM(BE10:BE16)</f>
        <v>-676769.3679468456</v>
      </c>
      <c r="BF17" s="18">
        <f t="shared" ref="BF17" si="126">SUM(BF10:BF16)</f>
        <v>-493206.78666666686</v>
      </c>
      <c r="BG17" s="18">
        <f t="shared" ref="BG17" si="127">SUM(BG10:BG16)</f>
        <v>-253445.34259259235</v>
      </c>
      <c r="BH17" s="18">
        <f t="shared" ref="BH17" si="128">SUM(BH10:BH16)</f>
        <v>966269.02870370424</v>
      </c>
      <c r="BJ17" s="18">
        <f t="shared" ref="BJ17:BN17" si="129">SUM(BJ10:BJ16)</f>
        <v>2222520.2399069723</v>
      </c>
      <c r="BK17" s="18">
        <f t="shared" si="129"/>
        <v>894253.84753430216</v>
      </c>
      <c r="BL17" s="18">
        <f t="shared" si="129"/>
        <v>-549864.91988212662</v>
      </c>
      <c r="BM17" s="18">
        <f t="shared" si="129"/>
        <v>410807.85856346134</v>
      </c>
      <c r="BN17" s="18">
        <f t="shared" si="129"/>
        <v>1467323.4536913356</v>
      </c>
      <c r="BP17" s="18">
        <f t="shared" ref="BP17:BQ17" si="130">SUM(BP10:BP16)</f>
        <v>4245162.931869952</v>
      </c>
      <c r="BQ17" s="18">
        <f t="shared" si="130"/>
        <v>1766672.2342492396</v>
      </c>
      <c r="BR17" s="18">
        <f t="shared" ref="BR17" si="131">SUM(BR10:BR16)</f>
        <v>-290194.36470002611</v>
      </c>
      <c r="BS17" s="18">
        <f t="shared" ref="BS17:BT17" si="132">SUM(BS10:BS16)</f>
        <v>719858.1382241617</v>
      </c>
      <c r="BT17" s="18">
        <f t="shared" si="132"/>
        <v>2048826.9240965769</v>
      </c>
      <c r="BV17" s="18">
        <f t="shared" ref="BV17:BW17" si="133">SUM(BV10:BV16)</f>
        <v>10892038.074298158</v>
      </c>
      <c r="BW17" s="18">
        <f t="shared" si="133"/>
        <v>2488433.8685056996</v>
      </c>
      <c r="BX17" s="18">
        <f t="shared" ref="BX17:BZ17" si="134">SUM(BX10:BX16)</f>
        <v>1739856.7747475812</v>
      </c>
      <c r="BY17" s="18">
        <f t="shared" si="134"/>
        <v>2399206.1157188853</v>
      </c>
      <c r="BZ17" s="18">
        <f t="shared" si="134"/>
        <v>4264541.3153259913</v>
      </c>
    </row>
    <row r="18" spans="1:78" s="16" customFormat="1" x14ac:dyDescent="0.25"/>
    <row r="19" spans="1:78" s="16" customFormat="1" x14ac:dyDescent="0.25">
      <c r="A19" s="16" t="s">
        <v>332</v>
      </c>
    </row>
    <row r="20" spans="1:78" s="16" customFormat="1" x14ac:dyDescent="0.25">
      <c r="B20" s="16" t="s">
        <v>336</v>
      </c>
      <c r="E20" s="16">
        <f>+BS!D13-BS!E13-'Cash Flow'!E8</f>
        <v>-219940</v>
      </c>
      <c r="F20" s="16">
        <f>+BS!E13-BS!F13-'Cash Flow'!F8</f>
        <v>0</v>
      </c>
      <c r="G20" s="16">
        <f>+BS!F13-BS!G13-'Cash Flow'!G8</f>
        <v>0</v>
      </c>
      <c r="H20" s="16">
        <f>+BS!G13-BS!H13-'Cash Flow'!H8</f>
        <v>-80425</v>
      </c>
      <c r="I20" s="16">
        <f>+BS!H13-BS!I13-'Cash Flow'!I8</f>
        <v>0</v>
      </c>
      <c r="J20" s="16">
        <f>+BS!I13-BS!J13-'Cash Flow'!J8</f>
        <v>0</v>
      </c>
      <c r="K20" s="16">
        <f>+BS!J13-BS!K13-'Cash Flow'!K8</f>
        <v>0</v>
      </c>
      <c r="L20" s="16">
        <f>+BS!K13-BS!L13-'Cash Flow'!L8</f>
        <v>0</v>
      </c>
      <c r="M20" s="16">
        <f>+BS!L13-BS!M13-'Cash Flow'!M8</f>
        <v>0</v>
      </c>
      <c r="N20" s="16">
        <f>+BS!M13-BS!N13-'Cash Flow'!N8</f>
        <v>0</v>
      </c>
      <c r="O20" s="16">
        <f>+BS!N13-BS!O13-'Cash Flow'!O8</f>
        <v>0</v>
      </c>
      <c r="P20" s="16">
        <f>+BS!O13-BS!P13-'Cash Flow'!P8</f>
        <v>0</v>
      </c>
      <c r="R20" s="16">
        <f>+BS!P13-BS!R13-'Cash Flow'!R8</f>
        <v>-6999.99999999999</v>
      </c>
      <c r="S20" s="16">
        <f>+BS!R13-BS!S13-'Cash Flow'!S8</f>
        <v>1.0004441719502211E-11</v>
      </c>
      <c r="T20" s="16">
        <f>+BS!S13-BS!T13-'Cash Flow'!T8</f>
        <v>1.0004441719502211E-11</v>
      </c>
      <c r="U20" s="16">
        <f>+BS!T13-BS!U13-'Cash Flow'!U8</f>
        <v>1.0004441719502211E-11</v>
      </c>
      <c r="V20" s="16">
        <f>+BS!U13-BS!V13-'Cash Flow'!V8</f>
        <v>1.0004441719502211E-11</v>
      </c>
      <c r="W20" s="16">
        <f>+BS!V13-BS!W13-'Cash Flow'!W8</f>
        <v>1.0004441719502211E-11</v>
      </c>
      <c r="X20" s="16">
        <f>+BS!W13-BS!X13-'Cash Flow'!X8</f>
        <v>1.0004441719502211E-11</v>
      </c>
      <c r="Y20" s="16">
        <f>+BS!X13-BS!Y13-'Cash Flow'!Y8</f>
        <v>1.0004441719502211E-11</v>
      </c>
      <c r="Z20" s="16">
        <f>+BS!Y13-BS!Z13-'Cash Flow'!Z8</f>
        <v>1.0004441719502211E-11</v>
      </c>
      <c r="AA20" s="16">
        <f>+BS!Z13-BS!AA13-'Cash Flow'!AA8</f>
        <v>1.0004441719502211E-11</v>
      </c>
      <c r="AB20" s="16">
        <f>+BS!AA13-BS!AB13-'Cash Flow'!AB8</f>
        <v>1.0004441719502211E-11</v>
      </c>
      <c r="AC20" s="16">
        <f>+BS!AB13-BS!AC13-'Cash Flow'!AC8</f>
        <v>1.0004441719502211E-11</v>
      </c>
      <c r="AE20" s="16">
        <f>+BS!AC13-BS!AE13-'Cash Flow'!AE8</f>
        <v>1.0004441719502211E-11</v>
      </c>
      <c r="AF20" s="16">
        <f>+BS!AE13-BS!AF13-'Cash Flow'!AF8</f>
        <v>1.0004441719502211E-11</v>
      </c>
      <c r="AG20" s="16">
        <f>+BS!AF13-BS!AG13-'Cash Flow'!AG8</f>
        <v>1.0004441719502211E-11</v>
      </c>
      <c r="AH20" s="16">
        <f>+BS!AG13-BS!AH13-'Cash Flow'!AH8</f>
        <v>1.0004441719502211E-11</v>
      </c>
      <c r="AI20" s="16">
        <f>+BS!AH13-BS!AI13-'Cash Flow'!AI8</f>
        <v>1.0004441719502211E-11</v>
      </c>
      <c r="AJ20" s="16">
        <f>+BS!AI13-BS!AJ13-'Cash Flow'!AJ8</f>
        <v>-350000</v>
      </c>
      <c r="AK20" s="16">
        <f>+BS!AJ13-BS!AK13-'Cash Flow'!AK8</f>
        <v>0</v>
      </c>
      <c r="AL20" s="16">
        <f>+BS!AK13-BS!AL13-'Cash Flow'!AL8</f>
        <v>0</v>
      </c>
      <c r="AM20" s="16">
        <f>+BS!AL13-BS!AM13-'Cash Flow'!AM8</f>
        <v>0</v>
      </c>
      <c r="AN20" s="16">
        <f>+BS!AM13-BS!AN13-'Cash Flow'!AN8</f>
        <v>0</v>
      </c>
      <c r="AO20" s="16">
        <f>+BS!AN13-BS!AO13-'Cash Flow'!AO8</f>
        <v>0</v>
      </c>
      <c r="AP20" s="16">
        <f>+BS!AO13-BS!AP13-'Cash Flow'!AP8</f>
        <v>0</v>
      </c>
      <c r="AR20" s="16">
        <f t="shared" ref="AR20" si="135">SUM(E20:P20)</f>
        <v>-300365</v>
      </c>
      <c r="AS20" s="16">
        <f t="shared" ref="AS20" si="136">SUM(E20:G20)</f>
        <v>-219940</v>
      </c>
      <c r="AT20" s="16">
        <f t="shared" ref="AT20" si="137">SUM(H20:J20)</f>
        <v>-80425</v>
      </c>
      <c r="AU20" s="16">
        <f t="shared" ref="AU20" si="138">SUM(K20:M20)</f>
        <v>0</v>
      </c>
      <c r="AV20" s="16">
        <f t="shared" ref="AV20" si="139">SUM(N20:P20)</f>
        <v>0</v>
      </c>
      <c r="AX20" s="16">
        <f t="shared" ref="AX20" si="140">SUM(R20:AC20)</f>
        <v>-6999.9999999998799</v>
      </c>
      <c r="AY20" s="16">
        <f t="shared" ref="AY20" si="141">SUM(R20:T20)</f>
        <v>-6999.99999999997</v>
      </c>
      <c r="AZ20" s="16">
        <f t="shared" ref="AZ20" si="142">SUM(U20:W20)</f>
        <v>3.0013325158506632E-11</v>
      </c>
      <c r="BA20" s="16">
        <f t="shared" ref="BA20" si="143">SUM(X20:Z20)</f>
        <v>3.0013325158506632E-11</v>
      </c>
      <c r="BB20" s="16">
        <f t="shared" ref="BB20" si="144">SUM(AA20:AC20)</f>
        <v>3.0013325158506632E-11</v>
      </c>
      <c r="BD20" s="16">
        <f t="shared" ref="BD20" si="145">SUM(AE20:AP20)</f>
        <v>-349999.99999999994</v>
      </c>
      <c r="BE20" s="16">
        <f t="shared" ref="BE20" si="146">SUM(AE20:AG20)</f>
        <v>3.0013325158506632E-11</v>
      </c>
      <c r="BF20" s="16">
        <f t="shared" ref="BF20" si="147">SUM(AH20:AJ20)</f>
        <v>-350000</v>
      </c>
      <c r="BG20" s="16">
        <f t="shared" ref="BG20" si="148">SUM(AK20:AM20)</f>
        <v>0</v>
      </c>
      <c r="BH20" s="16">
        <f t="shared" ref="BH20" si="149">SUM(AN20:AP20)</f>
        <v>0</v>
      </c>
      <c r="BJ20" s="16">
        <f>SUM(BK20:BN20)</f>
        <v>0</v>
      </c>
      <c r="BK20" s="16">
        <f>+BS!AP13-BS!AR13-BK8</f>
        <v>0</v>
      </c>
      <c r="BL20" s="16">
        <f>+BS!AR13-BS!AS13-BL8</f>
        <v>0</v>
      </c>
      <c r="BM20" s="16">
        <f>+BS!AS13-BS!AT13-BM8</f>
        <v>0</v>
      </c>
      <c r="BN20" s="16">
        <f>+BS!AT13-BS!AU13-BN8</f>
        <v>0</v>
      </c>
      <c r="BP20" s="16">
        <f>SUM(BQ20:BT20)</f>
        <v>0</v>
      </c>
      <c r="BQ20" s="16">
        <f>+BS!AU13-BS!AW13-BQ8</f>
        <v>0</v>
      </c>
      <c r="BR20" s="16">
        <f>+BS!AW13-BS!AX13-BR8</f>
        <v>0</v>
      </c>
      <c r="BS20" s="16">
        <f>+BS!AX13-BS!AY13-BS8</f>
        <v>0</v>
      </c>
      <c r="BT20" s="16">
        <f>+BS!AY13-BS!AZ13-BT8</f>
        <v>0</v>
      </c>
      <c r="BV20" s="16">
        <f>SUM(BW20:BZ20)</f>
        <v>0</v>
      </c>
      <c r="BW20" s="16">
        <f>+BS!AZ13-BS!BB13-BW8</f>
        <v>0</v>
      </c>
      <c r="BX20" s="16">
        <f>+BS!BB13-BS!BC13-BX8</f>
        <v>0</v>
      </c>
      <c r="BY20" s="16">
        <f>+BS!BC13-BS!BD13-BY8</f>
        <v>0</v>
      </c>
      <c r="BZ20" s="16">
        <f>+BS!BD13-BS!BE13-BZ8</f>
        <v>0</v>
      </c>
    </row>
    <row r="21" spans="1:78" s="16" customFormat="1" x14ac:dyDescent="0.25"/>
    <row r="22" spans="1:78" s="16" customFormat="1" x14ac:dyDescent="0.25">
      <c r="B22" s="16" t="s">
        <v>333</v>
      </c>
      <c r="E22" s="18">
        <f>SUM(E20:E21)</f>
        <v>-219940</v>
      </c>
      <c r="F22" s="18">
        <f t="shared" ref="F22:P22" si="150">SUM(F20:F21)</f>
        <v>0</v>
      </c>
      <c r="G22" s="18">
        <f t="shared" si="150"/>
        <v>0</v>
      </c>
      <c r="H22" s="18">
        <f t="shared" si="150"/>
        <v>-80425</v>
      </c>
      <c r="I22" s="18">
        <f t="shared" si="150"/>
        <v>0</v>
      </c>
      <c r="J22" s="18">
        <f t="shared" si="150"/>
        <v>0</v>
      </c>
      <c r="K22" s="18">
        <f t="shared" si="150"/>
        <v>0</v>
      </c>
      <c r="L22" s="18">
        <f t="shared" si="150"/>
        <v>0</v>
      </c>
      <c r="M22" s="18">
        <f t="shared" si="150"/>
        <v>0</v>
      </c>
      <c r="N22" s="18">
        <f t="shared" si="150"/>
        <v>0</v>
      </c>
      <c r="O22" s="18">
        <f t="shared" si="150"/>
        <v>0</v>
      </c>
      <c r="P22" s="18">
        <f t="shared" si="150"/>
        <v>0</v>
      </c>
      <c r="R22" s="18">
        <f>SUM(R20:R21)</f>
        <v>-6999.99999999999</v>
      </c>
      <c r="S22" s="18">
        <f t="shared" ref="S22" si="151">SUM(S20:S21)</f>
        <v>1.0004441719502211E-11</v>
      </c>
      <c r="T22" s="18">
        <f t="shared" ref="T22" si="152">SUM(T20:T21)</f>
        <v>1.0004441719502211E-11</v>
      </c>
      <c r="U22" s="18">
        <f t="shared" ref="U22" si="153">SUM(U20:U21)</f>
        <v>1.0004441719502211E-11</v>
      </c>
      <c r="V22" s="18">
        <f t="shared" ref="V22" si="154">SUM(V20:V21)</f>
        <v>1.0004441719502211E-11</v>
      </c>
      <c r="W22" s="18">
        <f t="shared" ref="W22" si="155">SUM(W20:W21)</f>
        <v>1.0004441719502211E-11</v>
      </c>
      <c r="X22" s="18">
        <f t="shared" ref="X22" si="156">SUM(X20:X21)</f>
        <v>1.0004441719502211E-11</v>
      </c>
      <c r="Y22" s="18">
        <f t="shared" ref="Y22" si="157">SUM(Y20:Y21)</f>
        <v>1.0004441719502211E-11</v>
      </c>
      <c r="Z22" s="18">
        <f t="shared" ref="Z22" si="158">SUM(Z20:Z21)</f>
        <v>1.0004441719502211E-11</v>
      </c>
      <c r="AA22" s="18">
        <f t="shared" ref="AA22" si="159">SUM(AA20:AA21)</f>
        <v>1.0004441719502211E-11</v>
      </c>
      <c r="AB22" s="18">
        <f t="shared" ref="AB22" si="160">SUM(AB20:AB21)</f>
        <v>1.0004441719502211E-11</v>
      </c>
      <c r="AC22" s="18">
        <f t="shared" ref="AC22" si="161">SUM(AC20:AC21)</f>
        <v>1.0004441719502211E-11</v>
      </c>
      <c r="AE22" s="18">
        <f>SUM(AE20:AE21)</f>
        <v>1.0004441719502211E-11</v>
      </c>
      <c r="AF22" s="18">
        <f t="shared" ref="AF22" si="162">SUM(AF20:AF21)</f>
        <v>1.0004441719502211E-11</v>
      </c>
      <c r="AG22" s="18">
        <f t="shared" ref="AG22" si="163">SUM(AG20:AG21)</f>
        <v>1.0004441719502211E-11</v>
      </c>
      <c r="AH22" s="18">
        <f t="shared" ref="AH22" si="164">SUM(AH20:AH21)</f>
        <v>1.0004441719502211E-11</v>
      </c>
      <c r="AI22" s="18">
        <f t="shared" ref="AI22" si="165">SUM(AI20:AI21)</f>
        <v>1.0004441719502211E-11</v>
      </c>
      <c r="AJ22" s="18">
        <f t="shared" ref="AJ22" si="166">SUM(AJ20:AJ21)</f>
        <v>-350000</v>
      </c>
      <c r="AK22" s="18">
        <f t="shared" ref="AK22" si="167">SUM(AK20:AK21)</f>
        <v>0</v>
      </c>
      <c r="AL22" s="18">
        <f t="shared" ref="AL22" si="168">SUM(AL20:AL21)</f>
        <v>0</v>
      </c>
      <c r="AM22" s="18">
        <f t="shared" ref="AM22" si="169">SUM(AM20:AM21)</f>
        <v>0</v>
      </c>
      <c r="AN22" s="18">
        <f t="shared" ref="AN22" si="170">SUM(AN20:AN21)</f>
        <v>0</v>
      </c>
      <c r="AO22" s="18">
        <f t="shared" ref="AO22" si="171">SUM(AO20:AO21)</f>
        <v>0</v>
      </c>
      <c r="AP22" s="18">
        <f t="shared" ref="AP22" si="172">SUM(AP20:AP21)</f>
        <v>0</v>
      </c>
      <c r="AR22" s="18">
        <f t="shared" ref="AR22" si="173">SUM(AR20:AR21)</f>
        <v>-300365</v>
      </c>
      <c r="AS22" s="18">
        <f t="shared" ref="AS22" si="174">SUM(AS20:AS21)</f>
        <v>-219940</v>
      </c>
      <c r="AT22" s="18">
        <f t="shared" ref="AT22" si="175">SUM(AT20:AT21)</f>
        <v>-80425</v>
      </c>
      <c r="AU22" s="18">
        <f t="shared" ref="AU22" si="176">SUM(AU20:AU21)</f>
        <v>0</v>
      </c>
      <c r="AV22" s="18">
        <f t="shared" ref="AV22" si="177">SUM(AV20:AV21)</f>
        <v>0</v>
      </c>
      <c r="AX22" s="18">
        <f t="shared" ref="AX22" si="178">SUM(AX20:AX21)</f>
        <v>-6999.9999999998799</v>
      </c>
      <c r="AY22" s="18">
        <f t="shared" ref="AY22" si="179">SUM(AY20:AY21)</f>
        <v>-6999.99999999997</v>
      </c>
      <c r="AZ22" s="18">
        <f t="shared" ref="AZ22" si="180">SUM(AZ20:AZ21)</f>
        <v>3.0013325158506632E-11</v>
      </c>
      <c r="BA22" s="18">
        <f t="shared" ref="BA22" si="181">SUM(BA20:BA21)</f>
        <v>3.0013325158506632E-11</v>
      </c>
      <c r="BB22" s="18">
        <f t="shared" ref="BB22" si="182">SUM(BB20:BB21)</f>
        <v>3.0013325158506632E-11</v>
      </c>
      <c r="BD22" s="18">
        <f t="shared" ref="BD22" si="183">SUM(BD20:BD21)</f>
        <v>-349999.99999999994</v>
      </c>
      <c r="BE22" s="18">
        <f t="shared" ref="BE22" si="184">SUM(BE20:BE21)</f>
        <v>3.0013325158506632E-11</v>
      </c>
      <c r="BF22" s="18">
        <f t="shared" ref="BF22" si="185">SUM(BF20:BF21)</f>
        <v>-350000</v>
      </c>
      <c r="BG22" s="18">
        <f t="shared" ref="BG22" si="186">SUM(BG20:BG21)</f>
        <v>0</v>
      </c>
      <c r="BH22" s="18">
        <f t="shared" ref="BH22" si="187">SUM(BH20:BH21)</f>
        <v>0</v>
      </c>
      <c r="BJ22" s="18">
        <f t="shared" ref="BJ22:BN22" si="188">SUM(BJ20:BJ21)</f>
        <v>0</v>
      </c>
      <c r="BK22" s="18">
        <f t="shared" si="188"/>
        <v>0</v>
      </c>
      <c r="BL22" s="18">
        <f t="shared" si="188"/>
        <v>0</v>
      </c>
      <c r="BM22" s="18">
        <f t="shared" si="188"/>
        <v>0</v>
      </c>
      <c r="BN22" s="18">
        <f t="shared" si="188"/>
        <v>0</v>
      </c>
      <c r="BP22" s="18">
        <f t="shared" ref="BP22:BQ22" si="189">SUM(BP20:BP21)</f>
        <v>0</v>
      </c>
      <c r="BQ22" s="18">
        <f t="shared" si="189"/>
        <v>0</v>
      </c>
      <c r="BR22" s="18">
        <f t="shared" ref="BR22" si="190">SUM(BR20:BR21)</f>
        <v>0</v>
      </c>
      <c r="BS22" s="18">
        <f t="shared" ref="BS22:BT22" si="191">SUM(BS20:BS21)</f>
        <v>0</v>
      </c>
      <c r="BT22" s="18">
        <f t="shared" si="191"/>
        <v>0</v>
      </c>
      <c r="BV22" s="18">
        <f t="shared" ref="BV22:BW22" si="192">SUM(BV20:BV21)</f>
        <v>0</v>
      </c>
      <c r="BW22" s="18">
        <f t="shared" si="192"/>
        <v>0</v>
      </c>
      <c r="BX22" s="18">
        <f t="shared" ref="BX22:BZ22" si="193">SUM(BX20:BX21)</f>
        <v>0</v>
      </c>
      <c r="BY22" s="18">
        <f t="shared" si="193"/>
        <v>0</v>
      </c>
      <c r="BZ22" s="18">
        <f t="shared" si="193"/>
        <v>0</v>
      </c>
    </row>
    <row r="23" spans="1:78" s="16" customFormat="1" x14ac:dyDescent="0.25"/>
    <row r="24" spans="1:78" s="16" customFormat="1" x14ac:dyDescent="0.25">
      <c r="A24" s="16" t="s">
        <v>334</v>
      </c>
    </row>
    <row r="25" spans="1:78" s="16" customFormat="1" x14ac:dyDescent="0.25">
      <c r="B25" s="16" t="s">
        <v>335</v>
      </c>
      <c r="E25" s="16">
        <f>+BS!E27-BS!D27</f>
        <v>4000000</v>
      </c>
      <c r="F25" s="16">
        <f>+BS!F27-BS!E27</f>
        <v>0</v>
      </c>
      <c r="G25" s="16">
        <f>+BS!G27-BS!F27</f>
        <v>0</v>
      </c>
      <c r="H25" s="16">
        <f>+BS!H27-BS!G27</f>
        <v>0</v>
      </c>
      <c r="I25" s="16">
        <f>+BS!I27-BS!H27</f>
        <v>0</v>
      </c>
      <c r="J25" s="16">
        <f>+BS!J27-BS!I27</f>
        <v>0</v>
      </c>
      <c r="K25" s="16">
        <f>+BS!K27-BS!J27</f>
        <v>0</v>
      </c>
      <c r="L25" s="16">
        <f>+BS!L27-BS!K27</f>
        <v>0</v>
      </c>
      <c r="M25" s="16">
        <f>+BS!M27-BS!L27</f>
        <v>0</v>
      </c>
      <c r="N25" s="16">
        <f>+BS!N27-BS!M27</f>
        <v>0</v>
      </c>
      <c r="O25" s="16">
        <f>+BS!O27-BS!N27</f>
        <v>0</v>
      </c>
      <c r="P25" s="16">
        <f>+BS!P27-BS!O27</f>
        <v>0</v>
      </c>
      <c r="R25" s="16">
        <f>+BS!R27-BS!P27</f>
        <v>0</v>
      </c>
      <c r="S25" s="16">
        <f>+BS!S27-BS!R27</f>
        <v>0</v>
      </c>
      <c r="T25" s="16">
        <f>+BS!T27-BS!S27</f>
        <v>0</v>
      </c>
      <c r="U25" s="16">
        <f>+BS!U27-BS!T27</f>
        <v>0</v>
      </c>
      <c r="V25" s="16">
        <f>+BS!V27-BS!U27</f>
        <v>2500000</v>
      </c>
      <c r="W25" s="16">
        <f>+BS!W27-BS!V27</f>
        <v>0</v>
      </c>
      <c r="X25" s="16">
        <f>+BS!X27-BS!W27</f>
        <v>0</v>
      </c>
      <c r="Y25" s="16">
        <f>+BS!Y27-BS!X27</f>
        <v>0</v>
      </c>
      <c r="Z25" s="16">
        <f>+BS!Z27-BS!Y27</f>
        <v>0</v>
      </c>
      <c r="AA25" s="16">
        <f>+BS!AA27-BS!Z27</f>
        <v>0</v>
      </c>
      <c r="AB25" s="16">
        <f>+BS!AB27-BS!AA27</f>
        <v>0</v>
      </c>
      <c r="AC25" s="16">
        <f>+BS!AC27-BS!AB27</f>
        <v>0</v>
      </c>
      <c r="AE25" s="16">
        <f>+BS!AE27-BS!AC27</f>
        <v>2500000</v>
      </c>
      <c r="AF25" s="16">
        <f>+BS!AF27-BS!AE27</f>
        <v>0</v>
      </c>
      <c r="AG25" s="16">
        <f>+BS!AG27-BS!AF27</f>
        <v>0</v>
      </c>
      <c r="AH25" s="16">
        <f>+BS!AH27-BS!AG27</f>
        <v>0</v>
      </c>
      <c r="AI25" s="16">
        <f>+BS!AI27-BS!AH27</f>
        <v>0</v>
      </c>
      <c r="AJ25" s="16">
        <f>+BS!AJ27-BS!AI27</f>
        <v>0</v>
      </c>
      <c r="AK25" s="16">
        <f>+BS!AK27-BS!AJ27</f>
        <v>0</v>
      </c>
      <c r="AL25" s="16">
        <f>+BS!AL27-BS!AK27</f>
        <v>0</v>
      </c>
      <c r="AM25" s="16">
        <f>+BS!AM27-BS!AL27</f>
        <v>0</v>
      </c>
      <c r="AN25" s="16">
        <f>+BS!AN27-BS!AM27</f>
        <v>0</v>
      </c>
      <c r="AO25" s="16">
        <f>+BS!AO27-BS!AN27</f>
        <v>0</v>
      </c>
      <c r="AP25" s="16">
        <f>+BS!AP27-BS!AO27</f>
        <v>0</v>
      </c>
      <c r="AR25" s="16">
        <f t="shared" ref="AR25" si="194">SUM(E25:P25)</f>
        <v>4000000</v>
      </c>
      <c r="AS25" s="16">
        <f t="shared" ref="AS25" si="195">SUM(E25:G25)</f>
        <v>4000000</v>
      </c>
      <c r="AT25" s="16">
        <f t="shared" ref="AT25" si="196">SUM(H25:J25)</f>
        <v>0</v>
      </c>
      <c r="AU25" s="16">
        <f t="shared" ref="AU25" si="197">SUM(K25:M25)</f>
        <v>0</v>
      </c>
      <c r="AV25" s="16">
        <f t="shared" ref="AV25" si="198">SUM(N25:P25)</f>
        <v>0</v>
      </c>
      <c r="AX25" s="16">
        <f t="shared" ref="AX25" si="199">SUM(R25:AC25)</f>
        <v>2500000</v>
      </c>
      <c r="AY25" s="16">
        <f t="shared" ref="AY25" si="200">SUM(R25:T25)</f>
        <v>0</v>
      </c>
      <c r="AZ25" s="16">
        <f t="shared" ref="AZ25" si="201">SUM(U25:W25)</f>
        <v>2500000</v>
      </c>
      <c r="BA25" s="16">
        <f t="shared" ref="BA25" si="202">SUM(X25:Z25)</f>
        <v>0</v>
      </c>
      <c r="BB25" s="16">
        <f t="shared" ref="BB25" si="203">SUM(AA25:AC25)</f>
        <v>0</v>
      </c>
      <c r="BD25" s="16">
        <f t="shared" ref="BD25" si="204">SUM(AE25:AP25)</f>
        <v>2500000</v>
      </c>
      <c r="BE25" s="16">
        <f t="shared" ref="BE25" si="205">SUM(AE25:AG25)</f>
        <v>2500000</v>
      </c>
      <c r="BF25" s="16">
        <f t="shared" ref="BF25" si="206">SUM(AH25:AJ25)</f>
        <v>0</v>
      </c>
      <c r="BG25" s="16">
        <f t="shared" ref="BG25" si="207">SUM(AK25:AM25)</f>
        <v>0</v>
      </c>
      <c r="BH25" s="16">
        <f t="shared" ref="BH25" si="208">SUM(AN25:AP25)</f>
        <v>0</v>
      </c>
      <c r="BJ25" s="16">
        <f>SUM(BK25:BN25)</f>
        <v>0</v>
      </c>
      <c r="BK25" s="16">
        <f>+BS!AR27-BS!AP27</f>
        <v>0</v>
      </c>
      <c r="BL25" s="16">
        <f>+BS!AS27-BS!AR27</f>
        <v>0</v>
      </c>
      <c r="BM25" s="16">
        <f>+BS!AT27-BS!AS27</f>
        <v>0</v>
      </c>
      <c r="BN25" s="16">
        <f>+BS!AU27-BS!AT27</f>
        <v>0</v>
      </c>
      <c r="BP25" s="16">
        <f>SUM(BQ25:BT25)</f>
        <v>0</v>
      </c>
      <c r="BQ25" s="16">
        <f>+BS!AX27-BS!AW27</f>
        <v>0</v>
      </c>
      <c r="BR25" s="16">
        <f>+BS!AW27-BS!AX27</f>
        <v>0</v>
      </c>
      <c r="BS25" s="16">
        <f>+BS!AX27-BS!AY27</f>
        <v>0</v>
      </c>
      <c r="BT25" s="16">
        <f>+BS!AY27-BS!AZ27</f>
        <v>0</v>
      </c>
      <c r="BV25" s="16">
        <f>SUM(BW25:BZ25)</f>
        <v>0</v>
      </c>
      <c r="BW25" s="16">
        <f>+BS!BB27-BS!AZ27</f>
        <v>0</v>
      </c>
      <c r="BX25" s="16">
        <f>+BS!BC27-BS!BB27</f>
        <v>0</v>
      </c>
      <c r="BY25" s="16">
        <f>+BS!BD27-BS!BC27</f>
        <v>0</v>
      </c>
      <c r="BZ25" s="16">
        <f>+BS!BE27-BS!BD27</f>
        <v>0</v>
      </c>
    </row>
    <row r="26" spans="1:78" s="16" customFormat="1" x14ac:dyDescent="0.25"/>
    <row r="27" spans="1:78" s="16" customFormat="1" x14ac:dyDescent="0.25">
      <c r="B27" s="16" t="s">
        <v>337</v>
      </c>
      <c r="E27" s="18">
        <f>SUM(E25:E26)</f>
        <v>4000000</v>
      </c>
      <c r="F27" s="18">
        <f t="shared" ref="F27:P27" si="209">SUM(F25:F26)</f>
        <v>0</v>
      </c>
      <c r="G27" s="18">
        <f t="shared" si="209"/>
        <v>0</v>
      </c>
      <c r="H27" s="18">
        <f t="shared" si="209"/>
        <v>0</v>
      </c>
      <c r="I27" s="18">
        <f t="shared" si="209"/>
        <v>0</v>
      </c>
      <c r="J27" s="18">
        <f t="shared" si="209"/>
        <v>0</v>
      </c>
      <c r="K27" s="18">
        <f t="shared" si="209"/>
        <v>0</v>
      </c>
      <c r="L27" s="18">
        <f t="shared" si="209"/>
        <v>0</v>
      </c>
      <c r="M27" s="18">
        <f t="shared" si="209"/>
        <v>0</v>
      </c>
      <c r="N27" s="18">
        <f t="shared" si="209"/>
        <v>0</v>
      </c>
      <c r="O27" s="18">
        <f t="shared" si="209"/>
        <v>0</v>
      </c>
      <c r="P27" s="18">
        <f t="shared" si="209"/>
        <v>0</v>
      </c>
      <c r="R27" s="18">
        <f>SUM(R25:R26)</f>
        <v>0</v>
      </c>
      <c r="S27" s="18">
        <f t="shared" ref="S27" si="210">SUM(S25:S26)</f>
        <v>0</v>
      </c>
      <c r="T27" s="18">
        <f t="shared" ref="T27" si="211">SUM(T25:T26)</f>
        <v>0</v>
      </c>
      <c r="U27" s="18">
        <f t="shared" ref="U27" si="212">SUM(U25:U26)</f>
        <v>0</v>
      </c>
      <c r="V27" s="18">
        <f t="shared" ref="V27" si="213">SUM(V25:V26)</f>
        <v>2500000</v>
      </c>
      <c r="W27" s="18">
        <f t="shared" ref="W27" si="214">SUM(W25:W26)</f>
        <v>0</v>
      </c>
      <c r="X27" s="18">
        <f t="shared" ref="X27" si="215">SUM(X25:X26)</f>
        <v>0</v>
      </c>
      <c r="Y27" s="18">
        <f t="shared" ref="Y27" si="216">SUM(Y25:Y26)</f>
        <v>0</v>
      </c>
      <c r="Z27" s="18">
        <f t="shared" ref="Z27" si="217">SUM(Z25:Z26)</f>
        <v>0</v>
      </c>
      <c r="AA27" s="18">
        <f t="shared" ref="AA27" si="218">SUM(AA25:AA26)</f>
        <v>0</v>
      </c>
      <c r="AB27" s="18">
        <f t="shared" ref="AB27" si="219">SUM(AB25:AB26)</f>
        <v>0</v>
      </c>
      <c r="AC27" s="18">
        <f t="shared" ref="AC27" si="220">SUM(AC25:AC26)</f>
        <v>0</v>
      </c>
      <c r="AE27" s="18">
        <f>SUM(AE25:AE26)</f>
        <v>2500000</v>
      </c>
      <c r="AF27" s="18">
        <f t="shared" ref="AF27" si="221">SUM(AF25:AF26)</f>
        <v>0</v>
      </c>
      <c r="AG27" s="18">
        <f t="shared" ref="AG27" si="222">SUM(AG25:AG26)</f>
        <v>0</v>
      </c>
      <c r="AH27" s="18">
        <f t="shared" ref="AH27" si="223">SUM(AH25:AH26)</f>
        <v>0</v>
      </c>
      <c r="AI27" s="18">
        <f t="shared" ref="AI27" si="224">SUM(AI25:AI26)</f>
        <v>0</v>
      </c>
      <c r="AJ27" s="18">
        <f t="shared" ref="AJ27" si="225">SUM(AJ25:AJ26)</f>
        <v>0</v>
      </c>
      <c r="AK27" s="18">
        <f t="shared" ref="AK27" si="226">SUM(AK25:AK26)</f>
        <v>0</v>
      </c>
      <c r="AL27" s="18">
        <f t="shared" ref="AL27" si="227">SUM(AL25:AL26)</f>
        <v>0</v>
      </c>
      <c r="AM27" s="18">
        <f t="shared" ref="AM27" si="228">SUM(AM25:AM26)</f>
        <v>0</v>
      </c>
      <c r="AN27" s="18">
        <f t="shared" ref="AN27" si="229">SUM(AN25:AN26)</f>
        <v>0</v>
      </c>
      <c r="AO27" s="18">
        <f t="shared" ref="AO27" si="230">SUM(AO25:AO26)</f>
        <v>0</v>
      </c>
      <c r="AP27" s="18">
        <f t="shared" ref="AP27" si="231">SUM(AP25:AP26)</f>
        <v>0</v>
      </c>
      <c r="AR27" s="18">
        <f t="shared" ref="AR27" si="232">SUM(AR25:AR26)</f>
        <v>4000000</v>
      </c>
      <c r="AS27" s="18">
        <f t="shared" ref="AS27" si="233">SUM(AS25:AS26)</f>
        <v>4000000</v>
      </c>
      <c r="AT27" s="18">
        <f t="shared" ref="AT27" si="234">SUM(AT25:AT26)</f>
        <v>0</v>
      </c>
      <c r="AU27" s="18">
        <f t="shared" ref="AU27" si="235">SUM(AU25:AU26)</f>
        <v>0</v>
      </c>
      <c r="AV27" s="18">
        <f t="shared" ref="AV27" si="236">SUM(AV25:AV26)</f>
        <v>0</v>
      </c>
      <c r="AX27" s="18">
        <f t="shared" ref="AX27" si="237">SUM(AX25:AX26)</f>
        <v>2500000</v>
      </c>
      <c r="AY27" s="18">
        <f t="shared" ref="AY27" si="238">SUM(AY25:AY26)</f>
        <v>0</v>
      </c>
      <c r="AZ27" s="18">
        <f t="shared" ref="AZ27" si="239">SUM(AZ25:AZ26)</f>
        <v>2500000</v>
      </c>
      <c r="BA27" s="18">
        <f t="shared" ref="BA27" si="240">SUM(BA25:BA26)</f>
        <v>0</v>
      </c>
      <c r="BB27" s="18">
        <f t="shared" ref="BB27" si="241">SUM(BB25:BB26)</f>
        <v>0</v>
      </c>
      <c r="BD27" s="18">
        <f t="shared" ref="BD27" si="242">SUM(BD25:BD26)</f>
        <v>2500000</v>
      </c>
      <c r="BE27" s="18">
        <f t="shared" ref="BE27" si="243">SUM(BE25:BE26)</f>
        <v>2500000</v>
      </c>
      <c r="BF27" s="18">
        <f t="shared" ref="BF27" si="244">SUM(BF25:BF26)</f>
        <v>0</v>
      </c>
      <c r="BG27" s="18">
        <f t="shared" ref="BG27" si="245">SUM(BG25:BG26)</f>
        <v>0</v>
      </c>
      <c r="BH27" s="18">
        <f t="shared" ref="BH27" si="246">SUM(BH25:BH26)</f>
        <v>0</v>
      </c>
      <c r="BJ27" s="18">
        <f t="shared" ref="BJ27:BN27" si="247">SUM(BJ25:BJ26)</f>
        <v>0</v>
      </c>
      <c r="BK27" s="18">
        <f t="shared" si="247"/>
        <v>0</v>
      </c>
      <c r="BL27" s="18">
        <f t="shared" si="247"/>
        <v>0</v>
      </c>
      <c r="BM27" s="18">
        <f t="shared" si="247"/>
        <v>0</v>
      </c>
      <c r="BN27" s="18">
        <f t="shared" si="247"/>
        <v>0</v>
      </c>
      <c r="BP27" s="18">
        <f t="shared" ref="BP27:BT27" si="248">SUM(BP25:BP26)</f>
        <v>0</v>
      </c>
      <c r="BQ27" s="18">
        <f t="shared" si="248"/>
        <v>0</v>
      </c>
      <c r="BR27" s="18">
        <f t="shared" si="248"/>
        <v>0</v>
      </c>
      <c r="BS27" s="18">
        <f t="shared" si="248"/>
        <v>0</v>
      </c>
      <c r="BT27" s="18">
        <f t="shared" si="248"/>
        <v>0</v>
      </c>
      <c r="BV27" s="18">
        <f t="shared" ref="BV27:BZ27" si="249">SUM(BV25:BV26)</f>
        <v>0</v>
      </c>
      <c r="BW27" s="18">
        <f t="shared" si="249"/>
        <v>0</v>
      </c>
      <c r="BX27" s="18">
        <f t="shared" si="249"/>
        <v>0</v>
      </c>
      <c r="BY27" s="18">
        <f t="shared" si="249"/>
        <v>0</v>
      </c>
      <c r="BZ27" s="18">
        <f t="shared" si="249"/>
        <v>0</v>
      </c>
    </row>
    <row r="28" spans="1:78" s="16" customFormat="1" x14ac:dyDescent="0.25"/>
    <row r="29" spans="1:78" s="16" customFormat="1" x14ac:dyDescent="0.25">
      <c r="A29" s="16" t="s">
        <v>338</v>
      </c>
    </row>
    <row r="30" spans="1:78" s="16" customFormat="1" x14ac:dyDescent="0.25">
      <c r="B30" s="16" t="s">
        <v>1067</v>
      </c>
      <c r="E30" s="16">
        <f>+E17+E22+E27</f>
        <v>3849819.5833333335</v>
      </c>
      <c r="F30" s="16">
        <f t="shared" ref="F30:P30" si="250">+F17+F22+F27</f>
        <v>-539374.41666666674</v>
      </c>
      <c r="G30" s="16">
        <f t="shared" si="250"/>
        <v>-145463.41666666669</v>
      </c>
      <c r="H30" s="16">
        <f t="shared" si="250"/>
        <v>-177655.91666666669</v>
      </c>
      <c r="I30" s="16">
        <f t="shared" si="250"/>
        <v>-264468.91666666669</v>
      </c>
      <c r="J30" s="16">
        <f t="shared" si="250"/>
        <v>-165655.91666666666</v>
      </c>
      <c r="K30" s="16">
        <f t="shared" si="250"/>
        <v>-201881.66666666666</v>
      </c>
      <c r="L30" s="16">
        <f t="shared" si="250"/>
        <v>-206206.66666666666</v>
      </c>
      <c r="M30" s="16">
        <f t="shared" si="250"/>
        <v>-217289.16666666666</v>
      </c>
      <c r="N30" s="16">
        <f t="shared" si="250"/>
        <v>-236896.66666666666</v>
      </c>
      <c r="O30" s="16">
        <f t="shared" si="250"/>
        <v>-156406.66666666666</v>
      </c>
      <c r="P30" s="16">
        <f t="shared" si="250"/>
        <v>-73233.333333333314</v>
      </c>
      <c r="R30" s="16">
        <f>+R17+R22+R27</f>
        <v>-366711.24999999994</v>
      </c>
      <c r="S30" s="16">
        <f t="shared" ref="S30:AC30" si="251">+S17+S22+S27</f>
        <v>-223907.91666666666</v>
      </c>
      <c r="T30" s="16">
        <f t="shared" si="251"/>
        <v>-204465.41666666666</v>
      </c>
      <c r="U30" s="16">
        <f t="shared" si="251"/>
        <v>-264879.16666666663</v>
      </c>
      <c r="V30" s="16">
        <f t="shared" si="251"/>
        <v>2180147.5</v>
      </c>
      <c r="W30" s="16">
        <f t="shared" si="251"/>
        <v>-448888.33333333331</v>
      </c>
      <c r="X30" s="16">
        <f t="shared" si="251"/>
        <v>-819140.71676940669</v>
      </c>
      <c r="Y30" s="16">
        <f t="shared" si="251"/>
        <v>-7931.0637677182867</v>
      </c>
      <c r="Z30" s="16">
        <f t="shared" si="251"/>
        <v>-467373.54375635344</v>
      </c>
      <c r="AA30" s="16">
        <f t="shared" si="251"/>
        <v>-254226.15316569983</v>
      </c>
      <c r="AB30" s="16">
        <f t="shared" si="251"/>
        <v>-838.12576826209715</v>
      </c>
      <c r="AC30" s="16">
        <f t="shared" si="251"/>
        <v>-429047.758825714</v>
      </c>
      <c r="AE30" s="16">
        <f>+AE17+AE22+AE27</f>
        <v>2241423.754183339</v>
      </c>
      <c r="AF30" s="16">
        <f t="shared" ref="AF30:BH30" si="252">+AF17+AF22+AF27</f>
        <v>-15693.109579305823</v>
      </c>
      <c r="AG30" s="16">
        <f t="shared" si="252"/>
        <v>-402500.01255087898</v>
      </c>
      <c r="AH30" s="16">
        <f t="shared" si="252"/>
        <v>-87342.262222222242</v>
      </c>
      <c r="AI30" s="16">
        <f t="shared" si="252"/>
        <v>30437.737777777726</v>
      </c>
      <c r="AJ30" s="16">
        <f t="shared" si="252"/>
        <v>-786302.26222222229</v>
      </c>
      <c r="AK30" s="16">
        <f t="shared" si="252"/>
        <v>-646496.93444444449</v>
      </c>
      <c r="AL30" s="16">
        <f t="shared" si="252"/>
        <v>817002.71259259293</v>
      </c>
      <c r="AM30" s="16">
        <f t="shared" si="252"/>
        <v>-423951.12074074068</v>
      </c>
      <c r="AN30" s="16">
        <f t="shared" si="252"/>
        <v>84550.492592592782</v>
      </c>
      <c r="AO30" s="16">
        <f t="shared" si="252"/>
        <v>881597.7777777781</v>
      </c>
      <c r="AP30" s="16">
        <f t="shared" si="252"/>
        <v>120.7583333333605</v>
      </c>
      <c r="AR30" s="16">
        <f t="shared" si="252"/>
        <v>1465286.833333334</v>
      </c>
      <c r="AS30" s="16">
        <f t="shared" si="252"/>
        <v>3164981.75</v>
      </c>
      <c r="AT30" s="16">
        <f t="shared" si="252"/>
        <v>-607780.75</v>
      </c>
      <c r="AU30" s="16">
        <f t="shared" si="252"/>
        <v>-625377.5</v>
      </c>
      <c r="AV30" s="16">
        <f t="shared" si="252"/>
        <v>-466536.66666666663</v>
      </c>
      <c r="AX30" s="16">
        <f t="shared" si="252"/>
        <v>-1307261.9453864875</v>
      </c>
      <c r="AY30" s="16">
        <f t="shared" si="252"/>
        <v>-795084.58333333337</v>
      </c>
      <c r="AZ30" s="16">
        <f t="shared" si="252"/>
        <v>1466380</v>
      </c>
      <c r="BA30" s="16">
        <f t="shared" si="252"/>
        <v>-1294445.3242934784</v>
      </c>
      <c r="BB30" s="16">
        <f t="shared" si="252"/>
        <v>-684112.03775967588</v>
      </c>
      <c r="BD30" s="16">
        <f t="shared" si="252"/>
        <v>1692847.5314975998</v>
      </c>
      <c r="BE30" s="16">
        <f t="shared" si="252"/>
        <v>1823230.6320531545</v>
      </c>
      <c r="BF30" s="16">
        <f t="shared" si="252"/>
        <v>-843206.78666666686</v>
      </c>
      <c r="BG30" s="16">
        <f t="shared" si="252"/>
        <v>-253445.34259259235</v>
      </c>
      <c r="BH30" s="16">
        <f t="shared" si="252"/>
        <v>966269.02870370424</v>
      </c>
      <c r="BJ30" s="16">
        <f t="shared" ref="BJ30:BN30" si="253">+BJ17+BJ22+BJ27</f>
        <v>2222520.2399069723</v>
      </c>
      <c r="BK30" s="16">
        <f t="shared" si="253"/>
        <v>894253.84753430216</v>
      </c>
      <c r="BL30" s="16">
        <f t="shared" si="253"/>
        <v>-549864.91988212662</v>
      </c>
      <c r="BM30" s="16">
        <f t="shared" si="253"/>
        <v>410807.85856346134</v>
      </c>
      <c r="BN30" s="16">
        <f t="shared" si="253"/>
        <v>1467323.4536913356</v>
      </c>
      <c r="BP30" s="16">
        <f t="shared" ref="BP30:BT30" si="254">+BP17+BP22+BP27</f>
        <v>4245162.931869952</v>
      </c>
      <c r="BQ30" s="16">
        <f t="shared" si="254"/>
        <v>1766672.2342492396</v>
      </c>
      <c r="BR30" s="16">
        <f t="shared" si="254"/>
        <v>-290194.36470002611</v>
      </c>
      <c r="BS30" s="16">
        <f t="shared" si="254"/>
        <v>719858.1382241617</v>
      </c>
      <c r="BT30" s="16">
        <f t="shared" si="254"/>
        <v>2048826.9240965769</v>
      </c>
      <c r="BV30" s="16">
        <f t="shared" ref="BV30:BZ30" si="255">+BV17+BV22+BV27</f>
        <v>10892038.074298158</v>
      </c>
      <c r="BW30" s="16">
        <f t="shared" si="255"/>
        <v>2488433.8685056996</v>
      </c>
      <c r="BX30" s="16">
        <f t="shared" si="255"/>
        <v>1739856.7747475812</v>
      </c>
      <c r="BY30" s="16">
        <f t="shared" si="255"/>
        <v>2399206.1157188853</v>
      </c>
      <c r="BZ30" s="16">
        <f t="shared" si="255"/>
        <v>4264541.3153259913</v>
      </c>
    </row>
    <row r="31" spans="1:78" s="16" customFormat="1" x14ac:dyDescent="0.25">
      <c r="B31" s="16" t="s">
        <v>339</v>
      </c>
      <c r="F31" s="16">
        <f>+E32</f>
        <v>3849819.5833333335</v>
      </c>
      <c r="G31" s="16">
        <f t="shared" ref="G31:P31" si="256">+F32</f>
        <v>3310445.166666667</v>
      </c>
      <c r="H31" s="16">
        <f t="shared" si="256"/>
        <v>3164981.7500000005</v>
      </c>
      <c r="I31" s="16">
        <f t="shared" si="256"/>
        <v>2987325.833333334</v>
      </c>
      <c r="J31" s="16">
        <f t="shared" si="256"/>
        <v>2722856.9166666674</v>
      </c>
      <c r="K31" s="16">
        <f t="shared" si="256"/>
        <v>2557201.0000000009</v>
      </c>
      <c r="L31" s="16">
        <f t="shared" si="256"/>
        <v>2355319.3333333344</v>
      </c>
      <c r="M31" s="16">
        <f t="shared" si="256"/>
        <v>2149112.6666666679</v>
      </c>
      <c r="N31" s="16">
        <f t="shared" si="256"/>
        <v>1931823.5000000012</v>
      </c>
      <c r="O31" s="16">
        <f t="shared" si="256"/>
        <v>1694926.8333333344</v>
      </c>
      <c r="P31" s="16">
        <f t="shared" si="256"/>
        <v>1538520.1666666677</v>
      </c>
      <c r="R31" s="16">
        <f>+P32</f>
        <v>1465286.8333333344</v>
      </c>
      <c r="S31" s="16">
        <f>+R32</f>
        <v>1098575.5833333344</v>
      </c>
      <c r="T31" s="16">
        <f t="shared" ref="T31:AC31" si="257">+S32</f>
        <v>874667.66666666779</v>
      </c>
      <c r="U31" s="16">
        <f t="shared" si="257"/>
        <v>670202.25000000116</v>
      </c>
      <c r="V31" s="16">
        <f t="shared" si="257"/>
        <v>405323.08333333454</v>
      </c>
      <c r="W31" s="16">
        <f t="shared" si="257"/>
        <v>2585470.5833333344</v>
      </c>
      <c r="X31" s="16">
        <f t="shared" si="257"/>
        <v>2136582.2500000009</v>
      </c>
      <c r="Y31" s="16">
        <f t="shared" si="257"/>
        <v>1317441.5332305944</v>
      </c>
      <c r="Z31" s="16">
        <f t="shared" si="257"/>
        <v>1309510.469462876</v>
      </c>
      <c r="AA31" s="16">
        <f t="shared" si="257"/>
        <v>842136.92570652254</v>
      </c>
      <c r="AB31" s="16">
        <f t="shared" si="257"/>
        <v>587910.77254082274</v>
      </c>
      <c r="AC31" s="16">
        <f t="shared" si="257"/>
        <v>587072.64677256066</v>
      </c>
      <c r="AE31" s="16">
        <f>+AC32</f>
        <v>158024.88794684666</v>
      </c>
      <c r="AF31" s="16">
        <f>+AE32</f>
        <v>2399448.6421301858</v>
      </c>
      <c r="AG31" s="16">
        <f t="shared" ref="AG31:AP31" si="258">+AF32</f>
        <v>2383755.5325508802</v>
      </c>
      <c r="AH31" s="16">
        <f t="shared" si="258"/>
        <v>1981255.5200000012</v>
      </c>
      <c r="AI31" s="16">
        <f t="shared" si="258"/>
        <v>1893913.2577777789</v>
      </c>
      <c r="AJ31" s="16">
        <f t="shared" si="258"/>
        <v>1924350.9955555566</v>
      </c>
      <c r="AK31" s="16">
        <f t="shared" si="258"/>
        <v>1138048.7333333343</v>
      </c>
      <c r="AL31" s="16">
        <f t="shared" si="258"/>
        <v>491551.79888888984</v>
      </c>
      <c r="AM31" s="16">
        <f t="shared" si="258"/>
        <v>1308554.5114814828</v>
      </c>
      <c r="AN31" s="16">
        <f t="shared" si="258"/>
        <v>884603.39074074209</v>
      </c>
      <c r="AO31" s="16">
        <f t="shared" si="258"/>
        <v>969153.88333333493</v>
      </c>
      <c r="AP31" s="16">
        <f t="shared" si="258"/>
        <v>1850751.6611111131</v>
      </c>
      <c r="AT31" s="16">
        <f>+AS32</f>
        <v>3164981.75</v>
      </c>
      <c r="AU31" s="16">
        <f t="shared" ref="AU31:AV31" si="259">+AT32</f>
        <v>2557201</v>
      </c>
      <c r="AV31" s="16">
        <f t="shared" si="259"/>
        <v>1931823.5</v>
      </c>
      <c r="AX31" s="16">
        <f>+AV32</f>
        <v>1465286.8333333335</v>
      </c>
      <c r="AY31" s="16">
        <f>+AV32</f>
        <v>1465286.8333333335</v>
      </c>
      <c r="AZ31" s="16">
        <f>+AY32</f>
        <v>670202.25000000012</v>
      </c>
      <c r="BA31" s="16">
        <f t="shared" ref="BA31:BB31" si="260">+AZ32</f>
        <v>2136582.25</v>
      </c>
      <c r="BB31" s="16">
        <f t="shared" si="260"/>
        <v>842136.92570652161</v>
      </c>
      <c r="BD31" s="16">
        <f>+BB32</f>
        <v>158024.88794684573</v>
      </c>
      <c r="BE31" s="16">
        <f>+BD31</f>
        <v>158024.88794684573</v>
      </c>
      <c r="BF31" s="16">
        <f>+BE32</f>
        <v>1981255.5200000003</v>
      </c>
      <c r="BG31" s="16">
        <f t="shared" ref="BG31:BH31" si="261">+BF32</f>
        <v>1138048.7333333334</v>
      </c>
      <c r="BH31" s="16">
        <f t="shared" si="261"/>
        <v>884603.39074074104</v>
      </c>
      <c r="BJ31" s="16">
        <f>+BD32</f>
        <v>1850872.4194444455</v>
      </c>
      <c r="BK31" s="16">
        <f>+BJ31</f>
        <v>1850872.4194444455</v>
      </c>
      <c r="BL31" s="16">
        <f>+BK32</f>
        <v>2745126.2669787477</v>
      </c>
      <c r="BM31" s="16">
        <f t="shared" ref="BM31" si="262">+BL32</f>
        <v>2195261.3470966211</v>
      </c>
      <c r="BN31" s="16">
        <f t="shared" ref="BN31" si="263">+BM32</f>
        <v>2606069.2056600824</v>
      </c>
      <c r="BP31" s="16">
        <f>+BJ32</f>
        <v>4073392.6593514178</v>
      </c>
      <c r="BQ31" s="16">
        <f>+BP31</f>
        <v>4073392.6593514178</v>
      </c>
      <c r="BR31" s="16">
        <f>+BQ32</f>
        <v>5840064.8936006576</v>
      </c>
      <c r="BS31" s="16">
        <f t="shared" ref="BS31" si="264">+BR32</f>
        <v>5549870.5289006317</v>
      </c>
      <c r="BT31" s="16">
        <f t="shared" ref="BT31" si="265">+BS32</f>
        <v>6269728.6671247929</v>
      </c>
      <c r="BV31" s="16">
        <f>+BP32</f>
        <v>8318555.5912213698</v>
      </c>
      <c r="BW31" s="16">
        <f>+BV31</f>
        <v>8318555.5912213698</v>
      </c>
      <c r="BX31" s="16">
        <f>+BW32</f>
        <v>10806989.459727069</v>
      </c>
      <c r="BY31" s="16">
        <f t="shared" ref="BY31" si="266">+BX32</f>
        <v>12546846.234474652</v>
      </c>
      <c r="BZ31" s="16">
        <f t="shared" ref="BZ31" si="267">+BY32</f>
        <v>14946052.350193538</v>
      </c>
    </row>
    <row r="32" spans="1:78" s="16" customFormat="1" ht="16.5" thickBot="1" x14ac:dyDescent="0.3">
      <c r="B32" s="16" t="s">
        <v>340</v>
      </c>
      <c r="E32" s="43">
        <f>+E31+E30</f>
        <v>3849819.5833333335</v>
      </c>
      <c r="F32" s="43">
        <f t="shared" ref="F32:P32" si="268">+F31+F30</f>
        <v>3310445.166666667</v>
      </c>
      <c r="G32" s="43">
        <f t="shared" si="268"/>
        <v>3164981.7500000005</v>
      </c>
      <c r="H32" s="43">
        <f t="shared" si="268"/>
        <v>2987325.833333334</v>
      </c>
      <c r="I32" s="43">
        <f t="shared" si="268"/>
        <v>2722856.9166666674</v>
      </c>
      <c r="J32" s="43">
        <f t="shared" si="268"/>
        <v>2557201.0000000009</v>
      </c>
      <c r="K32" s="43">
        <f t="shared" si="268"/>
        <v>2355319.3333333344</v>
      </c>
      <c r="L32" s="43">
        <f t="shared" si="268"/>
        <v>2149112.6666666679</v>
      </c>
      <c r="M32" s="43">
        <f t="shared" si="268"/>
        <v>1931823.5000000012</v>
      </c>
      <c r="N32" s="43">
        <f t="shared" si="268"/>
        <v>1694926.8333333344</v>
      </c>
      <c r="O32" s="43">
        <f t="shared" si="268"/>
        <v>1538520.1666666677</v>
      </c>
      <c r="P32" s="43">
        <f t="shared" si="268"/>
        <v>1465286.8333333344</v>
      </c>
      <c r="R32" s="43">
        <f>+R31+R30</f>
        <v>1098575.5833333344</v>
      </c>
      <c r="S32" s="43">
        <f t="shared" ref="S32" si="269">+S31+S30</f>
        <v>874667.66666666779</v>
      </c>
      <c r="T32" s="43">
        <f t="shared" ref="T32" si="270">+T31+T30</f>
        <v>670202.25000000116</v>
      </c>
      <c r="U32" s="43">
        <f t="shared" ref="U32" si="271">+U31+U30</f>
        <v>405323.08333333454</v>
      </c>
      <c r="V32" s="43">
        <f t="shared" ref="V32" si="272">+V31+V30</f>
        <v>2585470.5833333344</v>
      </c>
      <c r="W32" s="43">
        <f t="shared" ref="W32" si="273">+W31+W30</f>
        <v>2136582.2500000009</v>
      </c>
      <c r="X32" s="43">
        <f t="shared" ref="X32" si="274">+X31+X30</f>
        <v>1317441.5332305944</v>
      </c>
      <c r="Y32" s="43">
        <f t="shared" ref="Y32" si="275">+Y31+Y30</f>
        <v>1309510.469462876</v>
      </c>
      <c r="Z32" s="43">
        <f t="shared" ref="Z32" si="276">+Z31+Z30</f>
        <v>842136.92570652254</v>
      </c>
      <c r="AA32" s="43">
        <f t="shared" ref="AA32" si="277">+AA31+AA30</f>
        <v>587910.77254082274</v>
      </c>
      <c r="AB32" s="43">
        <f t="shared" ref="AB32" si="278">+AB31+AB30</f>
        <v>587072.64677256066</v>
      </c>
      <c r="AC32" s="43">
        <f t="shared" ref="AC32" si="279">+AC31+AC30</f>
        <v>158024.88794684666</v>
      </c>
      <c r="AE32" s="43">
        <f>+AE31+AE30</f>
        <v>2399448.6421301858</v>
      </c>
      <c r="AF32" s="43">
        <f t="shared" ref="AF32" si="280">+AF31+AF30</f>
        <v>2383755.5325508802</v>
      </c>
      <c r="AG32" s="43">
        <f t="shared" ref="AG32" si="281">+AG31+AG30</f>
        <v>1981255.5200000012</v>
      </c>
      <c r="AH32" s="43">
        <f t="shared" ref="AH32" si="282">+AH31+AH30</f>
        <v>1893913.2577777789</v>
      </c>
      <c r="AI32" s="43">
        <f t="shared" ref="AI32" si="283">+AI31+AI30</f>
        <v>1924350.9955555566</v>
      </c>
      <c r="AJ32" s="43">
        <f t="shared" ref="AJ32" si="284">+AJ31+AJ30</f>
        <v>1138048.7333333343</v>
      </c>
      <c r="AK32" s="43">
        <f t="shared" ref="AK32" si="285">+AK31+AK30</f>
        <v>491551.79888888984</v>
      </c>
      <c r="AL32" s="43">
        <f t="shared" ref="AL32" si="286">+AL31+AL30</f>
        <v>1308554.5114814828</v>
      </c>
      <c r="AM32" s="43">
        <f t="shared" ref="AM32" si="287">+AM31+AM30</f>
        <v>884603.39074074209</v>
      </c>
      <c r="AN32" s="43">
        <f t="shared" ref="AN32" si="288">+AN31+AN30</f>
        <v>969153.88333333493</v>
      </c>
      <c r="AO32" s="43">
        <f t="shared" ref="AO32" si="289">+AO31+AO30</f>
        <v>1850751.6611111131</v>
      </c>
      <c r="AP32" s="43">
        <f t="shared" ref="AP32" si="290">+AP31+AP30</f>
        <v>1850872.4194444465</v>
      </c>
      <c r="AR32" s="43">
        <f t="shared" ref="AR32" si="291">+AR31+AR30</f>
        <v>1465286.833333334</v>
      </c>
      <c r="AS32" s="43">
        <f t="shared" ref="AS32" si="292">+AS31+AS30</f>
        <v>3164981.75</v>
      </c>
      <c r="AT32" s="43">
        <f t="shared" ref="AT32" si="293">+AT31+AT30</f>
        <v>2557201</v>
      </c>
      <c r="AU32" s="43">
        <f t="shared" ref="AU32" si="294">+AU31+AU30</f>
        <v>1931823.5</v>
      </c>
      <c r="AV32" s="43">
        <f t="shared" ref="AV32" si="295">+AV31+AV30</f>
        <v>1465286.8333333335</v>
      </c>
      <c r="AX32" s="43">
        <f t="shared" ref="AX32" si="296">+AX31+AX30</f>
        <v>158024.88794684596</v>
      </c>
      <c r="AY32" s="43">
        <f t="shared" ref="AY32" si="297">+AY31+AY30</f>
        <v>670202.25000000012</v>
      </c>
      <c r="AZ32" s="43">
        <f t="shared" ref="AZ32" si="298">+AZ31+AZ30</f>
        <v>2136582.25</v>
      </c>
      <c r="BA32" s="43">
        <f t="shared" ref="BA32" si="299">+BA31+BA30</f>
        <v>842136.92570652161</v>
      </c>
      <c r="BB32" s="43">
        <f t="shared" ref="BB32" si="300">+BB31+BB30</f>
        <v>158024.88794684573</v>
      </c>
      <c r="BD32" s="43">
        <f t="shared" ref="BD32" si="301">+BD31+BD30</f>
        <v>1850872.4194444455</v>
      </c>
      <c r="BE32" s="43">
        <f t="shared" ref="BE32" si="302">+BE31+BE30</f>
        <v>1981255.5200000003</v>
      </c>
      <c r="BF32" s="43">
        <f t="shared" ref="BF32" si="303">+BF31+BF30</f>
        <v>1138048.7333333334</v>
      </c>
      <c r="BG32" s="43">
        <f t="shared" ref="BG32" si="304">+BG31+BG30</f>
        <v>884603.39074074104</v>
      </c>
      <c r="BH32" s="43">
        <f t="shared" ref="BH32" si="305">+BH31+BH30</f>
        <v>1850872.4194444453</v>
      </c>
      <c r="BJ32" s="43">
        <f t="shared" ref="BJ32:BN32" si="306">+BJ31+BJ30</f>
        <v>4073392.6593514178</v>
      </c>
      <c r="BK32" s="43">
        <f t="shared" si="306"/>
        <v>2745126.2669787477</v>
      </c>
      <c r="BL32" s="43">
        <f t="shared" si="306"/>
        <v>2195261.3470966211</v>
      </c>
      <c r="BM32" s="43">
        <f t="shared" si="306"/>
        <v>2606069.2056600824</v>
      </c>
      <c r="BN32" s="43">
        <f t="shared" si="306"/>
        <v>4073392.6593514178</v>
      </c>
      <c r="BP32" s="43">
        <f t="shared" ref="BP32:BT32" si="307">+BP31+BP30</f>
        <v>8318555.5912213698</v>
      </c>
      <c r="BQ32" s="43">
        <f t="shared" si="307"/>
        <v>5840064.8936006576</v>
      </c>
      <c r="BR32" s="43">
        <f t="shared" si="307"/>
        <v>5549870.5289006317</v>
      </c>
      <c r="BS32" s="43">
        <f t="shared" si="307"/>
        <v>6269728.6671247929</v>
      </c>
      <c r="BT32" s="43">
        <f t="shared" si="307"/>
        <v>8318555.5912213698</v>
      </c>
      <c r="BV32" s="43">
        <f t="shared" ref="BV32:BZ32" si="308">+BV31+BV30</f>
        <v>19210593.665519528</v>
      </c>
      <c r="BW32" s="43">
        <f t="shared" si="308"/>
        <v>10806989.459727069</v>
      </c>
      <c r="BX32" s="43">
        <f t="shared" si="308"/>
        <v>12546846.234474652</v>
      </c>
      <c r="BY32" s="43">
        <f t="shared" si="308"/>
        <v>14946052.350193538</v>
      </c>
      <c r="BZ32" s="43">
        <f t="shared" si="308"/>
        <v>19210593.665519528</v>
      </c>
    </row>
    <row r="33" spans="2:78" s="16" customFormat="1" ht="16.5" thickTop="1" x14ac:dyDescent="0.25"/>
    <row r="34" spans="2:78" s="16" customFormat="1" x14ac:dyDescent="0.25">
      <c r="B34" s="16" t="s">
        <v>341</v>
      </c>
      <c r="E34" s="16">
        <f>+BS!E6</f>
        <v>3849819.5833333335</v>
      </c>
      <c r="F34" s="16">
        <f>+BS!F6</f>
        <v>3310445.1666666665</v>
      </c>
      <c r="G34" s="16">
        <f>+BS!G6</f>
        <v>3164981.75</v>
      </c>
      <c r="H34" s="16">
        <f>+BS!H6</f>
        <v>2987325.833333334</v>
      </c>
      <c r="I34" s="16">
        <f>+BS!I6</f>
        <v>2722856.9166666665</v>
      </c>
      <c r="J34" s="16">
        <f>+BS!J6</f>
        <v>2557201</v>
      </c>
      <c r="K34" s="16">
        <f>+BS!K6</f>
        <v>2355319.3333333335</v>
      </c>
      <c r="L34" s="16">
        <f>+BS!L6</f>
        <v>2149112.666666667</v>
      </c>
      <c r="M34" s="16">
        <f>+BS!M6</f>
        <v>1931823.5</v>
      </c>
      <c r="N34" s="16">
        <f>+BS!N6</f>
        <v>1694926.8333333333</v>
      </c>
      <c r="O34" s="16">
        <f>+BS!O6</f>
        <v>1538520.1666666667</v>
      </c>
      <c r="P34" s="16">
        <f>+BS!P6</f>
        <v>1465286.8333333335</v>
      </c>
      <c r="R34" s="16">
        <f>+BS!R6</f>
        <v>1098575.583333334</v>
      </c>
      <c r="S34" s="16">
        <f>+BS!S6</f>
        <v>874667.66666666721</v>
      </c>
      <c r="T34" s="16">
        <f>+BS!T6</f>
        <v>670202.25000000047</v>
      </c>
      <c r="U34" s="16">
        <f>+BS!U6</f>
        <v>405323.08333333378</v>
      </c>
      <c r="V34" s="16">
        <f>+BS!V6</f>
        <v>2585470.583333334</v>
      </c>
      <c r="W34" s="16">
        <f>+BS!W6</f>
        <v>2136582.2500000009</v>
      </c>
      <c r="X34" s="16">
        <f>+BS!X6</f>
        <v>1317441.5332305944</v>
      </c>
      <c r="Y34" s="16">
        <f>+BS!Y6</f>
        <v>1309510.4694628767</v>
      </c>
      <c r="Z34" s="16">
        <f>+BS!Z6</f>
        <v>842136.92570652242</v>
      </c>
      <c r="AA34" s="16">
        <f>+BS!AA6</f>
        <v>587910.77254082274</v>
      </c>
      <c r="AB34" s="16">
        <f>+BS!AB6</f>
        <v>587072.6467725609</v>
      </c>
      <c r="AC34" s="16">
        <f>+BS!AC6</f>
        <v>158024.88794684666</v>
      </c>
      <c r="AE34" s="16">
        <f>+BS!AE6</f>
        <v>2399448.6421301858</v>
      </c>
      <c r="AF34" s="16">
        <f>+BS!AF6</f>
        <v>2383755.5325508798</v>
      </c>
      <c r="AG34" s="16">
        <f>+BS!AG6</f>
        <v>1981255.5200000007</v>
      </c>
      <c r="AH34" s="16">
        <f>+BS!AH6</f>
        <v>1893913.2577777789</v>
      </c>
      <c r="AI34" s="16">
        <f>+BS!AI6</f>
        <v>1924350.9955555564</v>
      </c>
      <c r="AJ34" s="16">
        <f>+BS!AJ6</f>
        <v>1138048.7333333348</v>
      </c>
      <c r="AK34" s="16">
        <f>+BS!AK6</f>
        <v>491551.79888888961</v>
      </c>
      <c r="AL34" s="16">
        <f>+BS!AL6</f>
        <v>1308554.5114814825</v>
      </c>
      <c r="AM34" s="16">
        <f>+BS!AM6</f>
        <v>884603.39074074151</v>
      </c>
      <c r="AN34" s="16">
        <f>+BS!AN6</f>
        <v>969153.8833333347</v>
      </c>
      <c r="AO34" s="16">
        <f>+BS!AO6</f>
        <v>1850751.6611111122</v>
      </c>
      <c r="AP34" s="16">
        <f>+BS!AP6</f>
        <v>1850872.419444446</v>
      </c>
      <c r="AR34" s="16">
        <f>+P34</f>
        <v>1465286.8333333335</v>
      </c>
      <c r="AS34" s="16">
        <f>+G34</f>
        <v>3164981.75</v>
      </c>
      <c r="AT34" s="16">
        <f>+J34</f>
        <v>2557201</v>
      </c>
      <c r="AU34" s="16">
        <f>+M34</f>
        <v>1931823.5</v>
      </c>
      <c r="AV34" s="16">
        <f>+AR34</f>
        <v>1465286.8333333335</v>
      </c>
      <c r="AX34" s="16">
        <f>+AC34</f>
        <v>158024.88794684666</v>
      </c>
      <c r="AY34" s="16">
        <f>+T34</f>
        <v>670202.25000000047</v>
      </c>
      <c r="AZ34" s="16">
        <f>+W34</f>
        <v>2136582.2500000009</v>
      </c>
      <c r="BA34" s="16">
        <f>+Z34</f>
        <v>842136.92570652242</v>
      </c>
      <c r="BB34" s="16">
        <f>+AC34</f>
        <v>158024.88794684666</v>
      </c>
      <c r="BD34" s="16">
        <f>+AP34</f>
        <v>1850872.419444446</v>
      </c>
      <c r="BE34" s="16">
        <f>+AG34</f>
        <v>1981255.5200000007</v>
      </c>
      <c r="BF34" s="16">
        <f>+AJ34</f>
        <v>1138048.7333333348</v>
      </c>
      <c r="BG34" s="16">
        <f>+AM34</f>
        <v>884603.39074074151</v>
      </c>
      <c r="BH34" s="16">
        <f>+AP34</f>
        <v>1850872.419444446</v>
      </c>
      <c r="BJ34" s="16">
        <f>+BN34</f>
        <v>4073392.6593514178</v>
      </c>
      <c r="BK34" s="16">
        <f>+BS!AR6</f>
        <v>2745126.2669787472</v>
      </c>
      <c r="BL34" s="16">
        <f>+BS!AS6</f>
        <v>2195261.3470966211</v>
      </c>
      <c r="BM34" s="16">
        <f>+BS!AT6</f>
        <v>2606069.2056600833</v>
      </c>
      <c r="BN34" s="16">
        <f>+BS!AU6</f>
        <v>4073392.6593514178</v>
      </c>
      <c r="BP34" s="16">
        <f>+BT34</f>
        <v>8318555.5912213698</v>
      </c>
      <c r="BQ34" s="16">
        <f>+BS!AW6</f>
        <v>5840064.8936006594</v>
      </c>
      <c r="BR34" s="16">
        <f>+BS!AX6</f>
        <v>5549870.5289006326</v>
      </c>
      <c r="BS34" s="16">
        <f>+BS!AY6</f>
        <v>6269728.6671247948</v>
      </c>
      <c r="BT34" s="16">
        <f>+BS!AZ6</f>
        <v>8318555.5912213698</v>
      </c>
      <c r="BV34" s="16">
        <f>+BZ34</f>
        <v>19210593.665519532</v>
      </c>
      <c r="BW34" s="16">
        <f>+BS!BB6</f>
        <v>10806989.459727068</v>
      </c>
      <c r="BX34" s="16">
        <f>+BS!BC6</f>
        <v>12546846.234474652</v>
      </c>
      <c r="BY34" s="16">
        <f>+BS!BD6</f>
        <v>14946052.350193534</v>
      </c>
      <c r="BZ34" s="16">
        <f>+BS!BE6</f>
        <v>19210593.665519532</v>
      </c>
    </row>
    <row r="35" spans="2:78" s="16" customFormat="1" x14ac:dyDescent="0.25">
      <c r="B35" s="16" t="s">
        <v>202</v>
      </c>
      <c r="E35" s="17">
        <f>+E34-E32</f>
        <v>0</v>
      </c>
      <c r="F35" s="17">
        <f t="shared" ref="F35:P35" si="309">+F34-F32</f>
        <v>0</v>
      </c>
      <c r="G35" s="17">
        <f t="shared" si="309"/>
        <v>0</v>
      </c>
      <c r="H35" s="17">
        <f t="shared" si="309"/>
        <v>0</v>
      </c>
      <c r="I35" s="17">
        <f t="shared" si="309"/>
        <v>0</v>
      </c>
      <c r="J35" s="17">
        <f t="shared" si="309"/>
        <v>0</v>
      </c>
      <c r="K35" s="17">
        <f t="shared" si="309"/>
        <v>0</v>
      </c>
      <c r="L35" s="17">
        <f t="shared" si="309"/>
        <v>0</v>
      </c>
      <c r="M35" s="17">
        <f t="shared" si="309"/>
        <v>0</v>
      </c>
      <c r="N35" s="17">
        <f t="shared" si="309"/>
        <v>0</v>
      </c>
      <c r="O35" s="17">
        <f t="shared" si="309"/>
        <v>0</v>
      </c>
      <c r="P35" s="17">
        <f t="shared" si="309"/>
        <v>0</v>
      </c>
      <c r="R35" s="17">
        <f>+R34-R32</f>
        <v>0</v>
      </c>
      <c r="S35" s="17">
        <f t="shared" ref="S35" si="310">+S34-S32</f>
        <v>0</v>
      </c>
      <c r="T35" s="17">
        <f t="shared" ref="T35" si="311">+T34-T32</f>
        <v>0</v>
      </c>
      <c r="U35" s="17">
        <f t="shared" ref="U35" si="312">+U34-U32</f>
        <v>-7.5669959187507629E-10</v>
      </c>
      <c r="V35" s="17">
        <f t="shared" ref="V35" si="313">+V34-V32</f>
        <v>0</v>
      </c>
      <c r="W35" s="17">
        <f t="shared" ref="W35" si="314">+W34-W32</f>
        <v>0</v>
      </c>
      <c r="X35" s="17">
        <f t="shared" ref="X35" si="315">+X34-X32</f>
        <v>0</v>
      </c>
      <c r="Y35" s="17">
        <f t="shared" ref="Y35" si="316">+Y34-Y32</f>
        <v>0</v>
      </c>
      <c r="Z35" s="17">
        <f t="shared" ref="Z35" si="317">+Z34-Z32</f>
        <v>0</v>
      </c>
      <c r="AA35" s="17">
        <f t="shared" ref="AA35" si="318">+AA34-AA32</f>
        <v>0</v>
      </c>
      <c r="AB35" s="17">
        <f t="shared" ref="AB35" si="319">+AB34-AB32</f>
        <v>0</v>
      </c>
      <c r="AC35" s="17">
        <f t="shared" ref="AC35" si="320">+AC34-AC32</f>
        <v>0</v>
      </c>
      <c r="AE35" s="17">
        <f>+AE34-AE32</f>
        <v>0</v>
      </c>
      <c r="AF35" s="17">
        <f t="shared" ref="AF35" si="321">+AF34-AF32</f>
        <v>0</v>
      </c>
      <c r="AG35" s="17">
        <f t="shared" ref="AG35" si="322">+AG34-AG32</f>
        <v>0</v>
      </c>
      <c r="AH35" s="17">
        <f t="shared" ref="AH35" si="323">+AH34-AH32</f>
        <v>0</v>
      </c>
      <c r="AI35" s="17">
        <f t="shared" ref="AI35" si="324">+AI34-AI32</f>
        <v>0</v>
      </c>
      <c r="AJ35" s="17">
        <f t="shared" ref="AJ35" si="325">+AJ34-AJ32</f>
        <v>0</v>
      </c>
      <c r="AK35" s="17">
        <f t="shared" ref="AK35" si="326">+AK34-AK32</f>
        <v>0</v>
      </c>
      <c r="AL35" s="17">
        <f t="shared" ref="AL35" si="327">+AL34-AL32</f>
        <v>0</v>
      </c>
      <c r="AM35" s="17">
        <f t="shared" ref="AM35" si="328">+AM34-AM32</f>
        <v>0</v>
      </c>
      <c r="AN35" s="17">
        <f t="shared" ref="AN35" si="329">+AN34-AN32</f>
        <v>0</v>
      </c>
      <c r="AO35" s="17">
        <f t="shared" ref="AO35" si="330">+AO34-AO32</f>
        <v>0</v>
      </c>
      <c r="AP35" s="17">
        <f t="shared" ref="AP35" si="331">+AP34-AP32</f>
        <v>0</v>
      </c>
      <c r="AR35" s="17">
        <f t="shared" ref="AR35" si="332">+AR34-AR32</f>
        <v>0</v>
      </c>
      <c r="AS35" s="17">
        <f t="shared" ref="AS35" si="333">+AS34-AS32</f>
        <v>0</v>
      </c>
      <c r="AT35" s="17">
        <f t="shared" ref="AT35" si="334">+AT34-AT32</f>
        <v>0</v>
      </c>
      <c r="AU35" s="17">
        <f t="shared" ref="AU35" si="335">+AU34-AU32</f>
        <v>0</v>
      </c>
      <c r="AV35" s="17">
        <f t="shared" ref="AV35" si="336">+AV34-AV32</f>
        <v>0</v>
      </c>
      <c r="AX35" s="17">
        <f t="shared" ref="AX35" si="337">+AX34-AX32</f>
        <v>6.9849193096160889E-10</v>
      </c>
      <c r="AY35" s="17">
        <f t="shared" ref="AY35" si="338">+AY34-AY32</f>
        <v>0</v>
      </c>
      <c r="AZ35" s="17">
        <f t="shared" ref="AZ35" si="339">+AZ34-AZ32</f>
        <v>0</v>
      </c>
      <c r="BA35" s="17">
        <f t="shared" ref="BA35" si="340">+BA34-BA32</f>
        <v>0</v>
      </c>
      <c r="BB35" s="17">
        <f t="shared" ref="BB35" si="341">+BB34-BB32</f>
        <v>9.3132257461547852E-10</v>
      </c>
      <c r="BD35" s="17">
        <f t="shared" ref="BD35" si="342">+BD34-BD32</f>
        <v>0</v>
      </c>
      <c r="BE35" s="17">
        <f t="shared" ref="BE35" si="343">+BE34-BE32</f>
        <v>0</v>
      </c>
      <c r="BF35" s="17">
        <f t="shared" ref="BF35" si="344">+BF34-BF32</f>
        <v>0</v>
      </c>
      <c r="BG35" s="17">
        <f t="shared" ref="BG35" si="345">+BG34-BG32</f>
        <v>0</v>
      </c>
      <c r="BH35" s="17">
        <f t="shared" ref="BH35" si="346">+BH34-BH32</f>
        <v>0</v>
      </c>
      <c r="BJ35" s="17">
        <f t="shared" ref="BJ35:BN35" si="347">+BJ34-BJ32</f>
        <v>0</v>
      </c>
      <c r="BK35" s="17">
        <f t="shared" si="347"/>
        <v>0</v>
      </c>
      <c r="BL35" s="17">
        <f t="shared" si="347"/>
        <v>0</v>
      </c>
      <c r="BM35" s="17">
        <f t="shared" si="347"/>
        <v>0</v>
      </c>
      <c r="BN35" s="17">
        <f t="shared" si="347"/>
        <v>0</v>
      </c>
      <c r="BP35" s="17">
        <f t="shared" ref="BP35:BT35" si="348">+BP34-BP32</f>
        <v>0</v>
      </c>
      <c r="BQ35" s="17">
        <f t="shared" si="348"/>
        <v>0</v>
      </c>
      <c r="BR35" s="17">
        <f t="shared" si="348"/>
        <v>0</v>
      </c>
      <c r="BS35" s="17">
        <f t="shared" si="348"/>
        <v>0</v>
      </c>
      <c r="BT35" s="17">
        <f t="shared" si="348"/>
        <v>0</v>
      </c>
      <c r="BV35" s="17">
        <f t="shared" ref="BV35:BZ35" si="349">+BV34-BV32</f>
        <v>0</v>
      </c>
      <c r="BW35" s="17">
        <f t="shared" si="349"/>
        <v>0</v>
      </c>
      <c r="BX35" s="17">
        <f t="shared" si="349"/>
        <v>0</v>
      </c>
      <c r="BY35" s="17">
        <f t="shared" si="349"/>
        <v>0</v>
      </c>
      <c r="BZ35" s="17">
        <f t="shared" si="349"/>
        <v>0</v>
      </c>
    </row>
    <row r="36" spans="2:78" s="16" customFormat="1" x14ac:dyDescent="0.25"/>
    <row r="37" spans="2:78" s="16" customFormat="1" x14ac:dyDescent="0.25"/>
    <row r="38" spans="2:78" s="16" customFormat="1" x14ac:dyDescent="0.25"/>
    <row r="39" spans="2:78" s="16" customFormat="1" x14ac:dyDescent="0.25"/>
    <row r="40" spans="2:78" s="16" customFormat="1" x14ac:dyDescent="0.25"/>
    <row r="41" spans="2:78" s="16" customFormat="1" x14ac:dyDescent="0.25"/>
    <row r="42" spans="2:78" s="16" customFormat="1" x14ac:dyDescent="0.25"/>
    <row r="43" spans="2:78" s="16" customFormat="1" x14ac:dyDescent="0.25"/>
    <row r="44" spans="2:78" s="16" customFormat="1" x14ac:dyDescent="0.25"/>
    <row r="45" spans="2:78" s="16" customFormat="1" x14ac:dyDescent="0.25"/>
    <row r="46" spans="2:78" s="16" customFormat="1" x14ac:dyDescent="0.25"/>
    <row r="47" spans="2:78" s="16" customFormat="1" x14ac:dyDescent="0.25"/>
    <row r="48" spans="2:78" s="16" customFormat="1" x14ac:dyDescent="0.25"/>
    <row r="49" s="16" customFormat="1" x14ac:dyDescent="0.25"/>
    <row r="50" s="16" customFormat="1" x14ac:dyDescent="0.25"/>
    <row r="51" s="16" customFormat="1" x14ac:dyDescent="0.25"/>
    <row r="52" s="16" customFormat="1" x14ac:dyDescent="0.25"/>
    <row r="53" s="16" customFormat="1" x14ac:dyDescent="0.25"/>
    <row r="54" s="16" customFormat="1" x14ac:dyDescent="0.25"/>
    <row r="55" s="16" customFormat="1" x14ac:dyDescent="0.25"/>
    <row r="56" s="16" customFormat="1" x14ac:dyDescent="0.25"/>
    <row r="57" s="16" customFormat="1" x14ac:dyDescent="0.25"/>
    <row r="58" s="16" customFormat="1" x14ac:dyDescent="0.25"/>
    <row r="59" s="16" customFormat="1" x14ac:dyDescent="0.25"/>
    <row r="60" s="16" customFormat="1" x14ac:dyDescent="0.25"/>
    <row r="61" s="16" customFormat="1" x14ac:dyDescent="0.25"/>
    <row r="62" s="16" customFormat="1" x14ac:dyDescent="0.25"/>
    <row r="63" s="16" customFormat="1" x14ac:dyDescent="0.25"/>
    <row r="64" s="16" customFormat="1" x14ac:dyDescent="0.25"/>
    <row r="65" s="16" customFormat="1" x14ac:dyDescent="0.25"/>
    <row r="66" s="16" customFormat="1" x14ac:dyDescent="0.25"/>
    <row r="67" s="16" customFormat="1" x14ac:dyDescent="0.25"/>
    <row r="68" s="16" customFormat="1" x14ac:dyDescent="0.25"/>
    <row r="69" s="16" customFormat="1" x14ac:dyDescent="0.25"/>
    <row r="70" s="16" customFormat="1" x14ac:dyDescent="0.25"/>
    <row r="71" s="16" customFormat="1" x14ac:dyDescent="0.25"/>
    <row r="72" s="16" customFormat="1" x14ac:dyDescent="0.25"/>
    <row r="73" s="16" customFormat="1" x14ac:dyDescent="0.25"/>
    <row r="74" s="16" customFormat="1" x14ac:dyDescent="0.25"/>
    <row r="75" s="16" customFormat="1" x14ac:dyDescent="0.25"/>
    <row r="76" s="16" customFormat="1" x14ac:dyDescent="0.25"/>
    <row r="77" s="16" customFormat="1" x14ac:dyDescent="0.25"/>
    <row r="78" s="16" customFormat="1" x14ac:dyDescent="0.25"/>
    <row r="79" s="16" customFormat="1" x14ac:dyDescent="0.25"/>
    <row r="80" s="16" customFormat="1" x14ac:dyDescent="0.25"/>
    <row r="81" s="16" customFormat="1" x14ac:dyDescent="0.25"/>
    <row r="82" s="16" customFormat="1" x14ac:dyDescent="0.25"/>
    <row r="83" s="16" customFormat="1" x14ac:dyDescent="0.25"/>
    <row r="84" s="16" customFormat="1" x14ac:dyDescent="0.25"/>
    <row r="85" s="16" customFormat="1" x14ac:dyDescent="0.25"/>
    <row r="86" s="16" customFormat="1" x14ac:dyDescent="0.25"/>
    <row r="87" s="16" customFormat="1" x14ac:dyDescent="0.25"/>
    <row r="88" s="16" customFormat="1" x14ac:dyDescent="0.25"/>
    <row r="89" s="16" customFormat="1" x14ac:dyDescent="0.25"/>
    <row r="90" s="16" customFormat="1" x14ac:dyDescent="0.25"/>
    <row r="91" s="16" customFormat="1" x14ac:dyDescent="0.25"/>
    <row r="92" s="16" customFormat="1" x14ac:dyDescent="0.25"/>
    <row r="93" s="16" customFormat="1" x14ac:dyDescent="0.25"/>
    <row r="94" s="16" customFormat="1" x14ac:dyDescent="0.25"/>
    <row r="95" s="16" customFormat="1" x14ac:dyDescent="0.25"/>
    <row r="96" s="16" customFormat="1" x14ac:dyDescent="0.25"/>
    <row r="97" s="16" customFormat="1" x14ac:dyDescent="0.25"/>
    <row r="98" s="16" customFormat="1" x14ac:dyDescent="0.25"/>
    <row r="99" s="16" customFormat="1" x14ac:dyDescent="0.25"/>
    <row r="100" s="16" customFormat="1" x14ac:dyDescent="0.25"/>
    <row r="101" s="16" customFormat="1" x14ac:dyDescent="0.25"/>
    <row r="102" s="16" customFormat="1" x14ac:dyDescent="0.25"/>
    <row r="103" s="16" customFormat="1" x14ac:dyDescent="0.25"/>
    <row r="104" s="16" customFormat="1" x14ac:dyDescent="0.25"/>
    <row r="105" s="16" customFormat="1" x14ac:dyDescent="0.25"/>
    <row r="106" s="16" customFormat="1" x14ac:dyDescent="0.25"/>
    <row r="107" s="16" customFormat="1" x14ac:dyDescent="0.25"/>
    <row r="108" s="16" customFormat="1" x14ac:dyDescent="0.25"/>
    <row r="109" s="16" customFormat="1" x14ac:dyDescent="0.25"/>
    <row r="110" s="16" customFormat="1" x14ac:dyDescent="0.25"/>
    <row r="111" s="16" customFormat="1" x14ac:dyDescent="0.25"/>
    <row r="112"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row r="150" s="16" customFormat="1" x14ac:dyDescent="0.25"/>
    <row r="151" s="16" customFormat="1" x14ac:dyDescent="0.25"/>
    <row r="152" s="16" customFormat="1" x14ac:dyDescent="0.25"/>
    <row r="153" s="16" customFormat="1" x14ac:dyDescent="0.25"/>
    <row r="154" s="16" customFormat="1" x14ac:dyDescent="0.25"/>
    <row r="155" s="16" customFormat="1" x14ac:dyDescent="0.25"/>
    <row r="156" s="16" customFormat="1" x14ac:dyDescent="0.25"/>
    <row r="157" s="16" customFormat="1" x14ac:dyDescent="0.25"/>
    <row r="158" s="16" customFormat="1" x14ac:dyDescent="0.25"/>
    <row r="159" s="16" customFormat="1" x14ac:dyDescent="0.25"/>
    <row r="160" s="16" customFormat="1" x14ac:dyDescent="0.25"/>
    <row r="161" s="16" customFormat="1" x14ac:dyDescent="0.25"/>
    <row r="162" s="16" customFormat="1" x14ac:dyDescent="0.25"/>
    <row r="163" s="16" customFormat="1" x14ac:dyDescent="0.25"/>
    <row r="164" s="16" customFormat="1" x14ac:dyDescent="0.25"/>
    <row r="165" s="16" customFormat="1" x14ac:dyDescent="0.25"/>
    <row r="166" s="16" customFormat="1" x14ac:dyDescent="0.25"/>
    <row r="167" s="16" customFormat="1" x14ac:dyDescent="0.25"/>
    <row r="168" s="16" customFormat="1" x14ac:dyDescent="0.25"/>
    <row r="169" s="16" customFormat="1" x14ac:dyDescent="0.25"/>
    <row r="170" s="16" customFormat="1" x14ac:dyDescent="0.25"/>
    <row r="171" s="16" customFormat="1" x14ac:dyDescent="0.25"/>
    <row r="172" s="16" customFormat="1" x14ac:dyDescent="0.25"/>
    <row r="173" s="16" customFormat="1" x14ac:dyDescent="0.25"/>
    <row r="174" s="16" customFormat="1" x14ac:dyDescent="0.25"/>
    <row r="175" s="16" customFormat="1" x14ac:dyDescent="0.25"/>
    <row r="176" s="16" customFormat="1" x14ac:dyDescent="0.25"/>
    <row r="177" s="16" customFormat="1" x14ac:dyDescent="0.25"/>
    <row r="178" s="16" customFormat="1" x14ac:dyDescent="0.25"/>
    <row r="179" s="16" customFormat="1" x14ac:dyDescent="0.25"/>
    <row r="180" s="16" customFormat="1" x14ac:dyDescent="0.25"/>
    <row r="181" s="16" customFormat="1" x14ac:dyDescent="0.25"/>
    <row r="182" s="16" customFormat="1" x14ac:dyDescent="0.25"/>
    <row r="183" s="16" customFormat="1" x14ac:dyDescent="0.25"/>
    <row r="184" s="16" customFormat="1" x14ac:dyDescent="0.25"/>
    <row r="185" s="16" customFormat="1" x14ac:dyDescent="0.25"/>
    <row r="186" s="16" customFormat="1" x14ac:dyDescent="0.25"/>
    <row r="187" s="16" customFormat="1" x14ac:dyDescent="0.25"/>
    <row r="188" s="16" customFormat="1" x14ac:dyDescent="0.25"/>
    <row r="189" s="16" customFormat="1" x14ac:dyDescent="0.25"/>
    <row r="190" s="16" customFormat="1" x14ac:dyDescent="0.25"/>
    <row r="191" s="16" customFormat="1" x14ac:dyDescent="0.25"/>
    <row r="19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row r="363" s="16" customFormat="1" x14ac:dyDescent="0.25"/>
  </sheetData>
  <mergeCells count="9">
    <mergeCell ref="BJ3:BN3"/>
    <mergeCell ref="BP3:BT3"/>
    <mergeCell ref="BV3:BZ3"/>
    <mergeCell ref="BD3:BH3"/>
    <mergeCell ref="E3:P3"/>
    <mergeCell ref="R3:AC3"/>
    <mergeCell ref="AE3:AP3"/>
    <mergeCell ref="AR3:AV3"/>
    <mergeCell ref="AX3:BB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view="pageBreakPreview" zoomScale="90" zoomScaleNormal="75" zoomScaleSheetLayoutView="90" workbookViewId="0">
      <pane xSplit="1" topLeftCell="L1" activePane="topRight" state="frozen"/>
      <selection pane="topRight" activeCell="C2" sqref="C2"/>
    </sheetView>
  </sheetViews>
  <sheetFormatPr defaultRowHeight="14.25" x14ac:dyDescent="0.2"/>
  <cols>
    <col min="1" max="1" width="45.625" style="349" bestFit="1" customWidth="1"/>
    <col min="2" max="2" width="13.375" style="349" bestFit="1" customWidth="1"/>
    <col min="3" max="3" width="12.875" style="349" bestFit="1" customWidth="1"/>
    <col min="4" max="4" width="13.75" style="349" bestFit="1" customWidth="1"/>
    <col min="5" max="7" width="12.875" style="349" bestFit="1" customWidth="1"/>
    <col min="8" max="8" width="14.75" style="349" bestFit="1" customWidth="1"/>
    <col min="9" max="11" width="12.875" style="349" bestFit="1" customWidth="1"/>
    <col min="12" max="12" width="12.25" style="349" bestFit="1" customWidth="1"/>
    <col min="13" max="13" width="13.75" style="367" bestFit="1" customWidth="1"/>
    <col min="14" max="14" width="14.25" style="368" bestFit="1" customWidth="1"/>
    <col min="15" max="16" width="14.25" style="369" bestFit="1" customWidth="1"/>
    <col min="17" max="256" width="9" style="348"/>
    <col min="257" max="257" width="27.75" style="348" customWidth="1"/>
    <col min="258" max="269" width="8.5" style="348" customWidth="1"/>
    <col min="270" max="272" width="10" style="348" customWidth="1"/>
    <col min="273" max="512" width="9" style="348"/>
    <col min="513" max="513" width="27.75" style="348" customWidth="1"/>
    <col min="514" max="525" width="8.5" style="348" customWidth="1"/>
    <col min="526" max="528" width="10" style="348" customWidth="1"/>
    <col min="529" max="768" width="9" style="348"/>
    <col min="769" max="769" width="27.75" style="348" customWidth="1"/>
    <col min="770" max="781" width="8.5" style="348" customWidth="1"/>
    <col min="782" max="784" width="10" style="348" customWidth="1"/>
    <col min="785" max="1024" width="9" style="348"/>
    <col min="1025" max="1025" width="27.75" style="348" customWidth="1"/>
    <col min="1026" max="1037" width="8.5" style="348" customWidth="1"/>
    <col min="1038" max="1040" width="10" style="348" customWidth="1"/>
    <col min="1041" max="1280" width="9" style="348"/>
    <col min="1281" max="1281" width="27.75" style="348" customWidth="1"/>
    <col min="1282" max="1293" width="8.5" style="348" customWidth="1"/>
    <col min="1294" max="1296" width="10" style="348" customWidth="1"/>
    <col min="1297" max="1536" width="9" style="348"/>
    <col min="1537" max="1537" width="27.75" style="348" customWidth="1"/>
    <col min="1538" max="1549" width="8.5" style="348" customWidth="1"/>
    <col min="1550" max="1552" width="10" style="348" customWidth="1"/>
    <col min="1553" max="1792" width="9" style="348"/>
    <col min="1793" max="1793" width="27.75" style="348" customWidth="1"/>
    <col min="1794" max="1805" width="8.5" style="348" customWidth="1"/>
    <col min="1806" max="1808" width="10" style="348" customWidth="1"/>
    <col min="1809" max="2048" width="9" style="348"/>
    <col min="2049" max="2049" width="27.75" style="348" customWidth="1"/>
    <col min="2050" max="2061" width="8.5" style="348" customWidth="1"/>
    <col min="2062" max="2064" width="10" style="348" customWidth="1"/>
    <col min="2065" max="2304" width="9" style="348"/>
    <col min="2305" max="2305" width="27.75" style="348" customWidth="1"/>
    <col min="2306" max="2317" width="8.5" style="348" customWidth="1"/>
    <col min="2318" max="2320" width="10" style="348" customWidth="1"/>
    <col min="2321" max="2560" width="9" style="348"/>
    <col min="2561" max="2561" width="27.75" style="348" customWidth="1"/>
    <col min="2562" max="2573" width="8.5" style="348" customWidth="1"/>
    <col min="2574" max="2576" width="10" style="348" customWidth="1"/>
    <col min="2577" max="2816" width="9" style="348"/>
    <col min="2817" max="2817" width="27.75" style="348" customWidth="1"/>
    <col min="2818" max="2829" width="8.5" style="348" customWidth="1"/>
    <col min="2830" max="2832" width="10" style="348" customWidth="1"/>
    <col min="2833" max="3072" width="9" style="348"/>
    <col min="3073" max="3073" width="27.75" style="348" customWidth="1"/>
    <col min="3074" max="3085" width="8.5" style="348" customWidth="1"/>
    <col min="3086" max="3088" width="10" style="348" customWidth="1"/>
    <col min="3089" max="3328" width="9" style="348"/>
    <col min="3329" max="3329" width="27.75" style="348" customWidth="1"/>
    <col min="3330" max="3341" width="8.5" style="348" customWidth="1"/>
    <col min="3342" max="3344" width="10" style="348" customWidth="1"/>
    <col min="3345" max="3584" width="9" style="348"/>
    <col min="3585" max="3585" width="27.75" style="348" customWidth="1"/>
    <col min="3586" max="3597" width="8.5" style="348" customWidth="1"/>
    <col min="3598" max="3600" width="10" style="348" customWidth="1"/>
    <col min="3601" max="3840" width="9" style="348"/>
    <col min="3841" max="3841" width="27.75" style="348" customWidth="1"/>
    <col min="3842" max="3853" width="8.5" style="348" customWidth="1"/>
    <col min="3854" max="3856" width="10" style="348" customWidth="1"/>
    <col min="3857" max="4096" width="9" style="348"/>
    <col min="4097" max="4097" width="27.75" style="348" customWidth="1"/>
    <col min="4098" max="4109" width="8.5" style="348" customWidth="1"/>
    <col min="4110" max="4112" width="10" style="348" customWidth="1"/>
    <col min="4113" max="4352" width="9" style="348"/>
    <col min="4353" max="4353" width="27.75" style="348" customWidth="1"/>
    <col min="4354" max="4365" width="8.5" style="348" customWidth="1"/>
    <col min="4366" max="4368" width="10" style="348" customWidth="1"/>
    <col min="4369" max="4608" width="9" style="348"/>
    <col min="4609" max="4609" width="27.75" style="348" customWidth="1"/>
    <col min="4610" max="4621" width="8.5" style="348" customWidth="1"/>
    <col min="4622" max="4624" width="10" style="348" customWidth="1"/>
    <col min="4625" max="4864" width="9" style="348"/>
    <col min="4865" max="4865" width="27.75" style="348" customWidth="1"/>
    <col min="4866" max="4877" width="8.5" style="348" customWidth="1"/>
    <col min="4878" max="4880" width="10" style="348" customWidth="1"/>
    <col min="4881" max="5120" width="9" style="348"/>
    <col min="5121" max="5121" width="27.75" style="348" customWidth="1"/>
    <col min="5122" max="5133" width="8.5" style="348" customWidth="1"/>
    <col min="5134" max="5136" width="10" style="348" customWidth="1"/>
    <col min="5137" max="5376" width="9" style="348"/>
    <col min="5377" max="5377" width="27.75" style="348" customWidth="1"/>
    <col min="5378" max="5389" width="8.5" style="348" customWidth="1"/>
    <col min="5390" max="5392" width="10" style="348" customWidth="1"/>
    <col min="5393" max="5632" width="9" style="348"/>
    <col min="5633" max="5633" width="27.75" style="348" customWidth="1"/>
    <col min="5634" max="5645" width="8.5" style="348" customWidth="1"/>
    <col min="5646" max="5648" width="10" style="348" customWidth="1"/>
    <col min="5649" max="5888" width="9" style="348"/>
    <col min="5889" max="5889" width="27.75" style="348" customWidth="1"/>
    <col min="5890" max="5901" width="8.5" style="348" customWidth="1"/>
    <col min="5902" max="5904" width="10" style="348" customWidth="1"/>
    <col min="5905" max="6144" width="9" style="348"/>
    <col min="6145" max="6145" width="27.75" style="348" customWidth="1"/>
    <col min="6146" max="6157" width="8.5" style="348" customWidth="1"/>
    <col min="6158" max="6160" width="10" style="348" customWidth="1"/>
    <col min="6161" max="6400" width="9" style="348"/>
    <col min="6401" max="6401" width="27.75" style="348" customWidth="1"/>
    <col min="6402" max="6413" width="8.5" style="348" customWidth="1"/>
    <col min="6414" max="6416" width="10" style="348" customWidth="1"/>
    <col min="6417" max="6656" width="9" style="348"/>
    <col min="6657" max="6657" width="27.75" style="348" customWidth="1"/>
    <col min="6658" max="6669" width="8.5" style="348" customWidth="1"/>
    <col min="6670" max="6672" width="10" style="348" customWidth="1"/>
    <col min="6673" max="6912" width="9" style="348"/>
    <col min="6913" max="6913" width="27.75" style="348" customWidth="1"/>
    <col min="6914" max="6925" width="8.5" style="348" customWidth="1"/>
    <col min="6926" max="6928" width="10" style="348" customWidth="1"/>
    <col min="6929" max="7168" width="9" style="348"/>
    <col min="7169" max="7169" width="27.75" style="348" customWidth="1"/>
    <col min="7170" max="7181" width="8.5" style="348" customWidth="1"/>
    <col min="7182" max="7184" width="10" style="348" customWidth="1"/>
    <col min="7185" max="7424" width="9" style="348"/>
    <col min="7425" max="7425" width="27.75" style="348" customWidth="1"/>
    <col min="7426" max="7437" width="8.5" style="348" customWidth="1"/>
    <col min="7438" max="7440" width="10" style="348" customWidth="1"/>
    <col min="7441" max="7680" width="9" style="348"/>
    <col min="7681" max="7681" width="27.75" style="348" customWidth="1"/>
    <col min="7682" max="7693" width="8.5" style="348" customWidth="1"/>
    <col min="7694" max="7696" width="10" style="348" customWidth="1"/>
    <col min="7697" max="7936" width="9" style="348"/>
    <col min="7937" max="7937" width="27.75" style="348" customWidth="1"/>
    <col min="7938" max="7949" width="8.5" style="348" customWidth="1"/>
    <col min="7950" max="7952" width="10" style="348" customWidth="1"/>
    <col min="7953" max="8192" width="9" style="348"/>
    <col min="8193" max="8193" width="27.75" style="348" customWidth="1"/>
    <col min="8194" max="8205" width="8.5" style="348" customWidth="1"/>
    <col min="8206" max="8208" width="10" style="348" customWidth="1"/>
    <col min="8209" max="8448" width="9" style="348"/>
    <col min="8449" max="8449" width="27.75" style="348" customWidth="1"/>
    <col min="8450" max="8461" width="8.5" style="348" customWidth="1"/>
    <col min="8462" max="8464" width="10" style="348" customWidth="1"/>
    <col min="8465" max="8704" width="9" style="348"/>
    <col min="8705" max="8705" width="27.75" style="348" customWidth="1"/>
    <col min="8706" max="8717" width="8.5" style="348" customWidth="1"/>
    <col min="8718" max="8720" width="10" style="348" customWidth="1"/>
    <col min="8721" max="8960" width="9" style="348"/>
    <col min="8961" max="8961" width="27.75" style="348" customWidth="1"/>
    <col min="8962" max="8973" width="8.5" style="348" customWidth="1"/>
    <col min="8974" max="8976" width="10" style="348" customWidth="1"/>
    <col min="8977" max="9216" width="9" style="348"/>
    <col min="9217" max="9217" width="27.75" style="348" customWidth="1"/>
    <col min="9218" max="9229" width="8.5" style="348" customWidth="1"/>
    <col min="9230" max="9232" width="10" style="348" customWidth="1"/>
    <col min="9233" max="9472" width="9" style="348"/>
    <col min="9473" max="9473" width="27.75" style="348" customWidth="1"/>
    <col min="9474" max="9485" width="8.5" style="348" customWidth="1"/>
    <col min="9486" max="9488" width="10" style="348" customWidth="1"/>
    <col min="9489" max="9728" width="9" style="348"/>
    <col min="9729" max="9729" width="27.75" style="348" customWidth="1"/>
    <col min="9730" max="9741" width="8.5" style="348" customWidth="1"/>
    <col min="9742" max="9744" width="10" style="348" customWidth="1"/>
    <col min="9745" max="9984" width="9" style="348"/>
    <col min="9985" max="9985" width="27.75" style="348" customWidth="1"/>
    <col min="9986" max="9997" width="8.5" style="348" customWidth="1"/>
    <col min="9998" max="10000" width="10" style="348" customWidth="1"/>
    <col min="10001" max="10240" width="9" style="348"/>
    <col min="10241" max="10241" width="27.75" style="348" customWidth="1"/>
    <col min="10242" max="10253" width="8.5" style="348" customWidth="1"/>
    <col min="10254" max="10256" width="10" style="348" customWidth="1"/>
    <col min="10257" max="10496" width="9" style="348"/>
    <col min="10497" max="10497" width="27.75" style="348" customWidth="1"/>
    <col min="10498" max="10509" width="8.5" style="348" customWidth="1"/>
    <col min="10510" max="10512" width="10" style="348" customWidth="1"/>
    <col min="10513" max="10752" width="9" style="348"/>
    <col min="10753" max="10753" width="27.75" style="348" customWidth="1"/>
    <col min="10754" max="10765" width="8.5" style="348" customWidth="1"/>
    <col min="10766" max="10768" width="10" style="348" customWidth="1"/>
    <col min="10769" max="11008" width="9" style="348"/>
    <col min="11009" max="11009" width="27.75" style="348" customWidth="1"/>
    <col min="11010" max="11021" width="8.5" style="348" customWidth="1"/>
    <col min="11022" max="11024" width="10" style="348" customWidth="1"/>
    <col min="11025" max="11264" width="9" style="348"/>
    <col min="11265" max="11265" width="27.75" style="348" customWidth="1"/>
    <col min="11266" max="11277" width="8.5" style="348" customWidth="1"/>
    <col min="11278" max="11280" width="10" style="348" customWidth="1"/>
    <col min="11281" max="11520" width="9" style="348"/>
    <col min="11521" max="11521" width="27.75" style="348" customWidth="1"/>
    <col min="11522" max="11533" width="8.5" style="348" customWidth="1"/>
    <col min="11534" max="11536" width="10" style="348" customWidth="1"/>
    <col min="11537" max="11776" width="9" style="348"/>
    <col min="11777" max="11777" width="27.75" style="348" customWidth="1"/>
    <col min="11778" max="11789" width="8.5" style="348" customWidth="1"/>
    <col min="11790" max="11792" width="10" style="348" customWidth="1"/>
    <col min="11793" max="12032" width="9" style="348"/>
    <col min="12033" max="12033" width="27.75" style="348" customWidth="1"/>
    <col min="12034" max="12045" width="8.5" style="348" customWidth="1"/>
    <col min="12046" max="12048" width="10" style="348" customWidth="1"/>
    <col min="12049" max="12288" width="9" style="348"/>
    <col min="12289" max="12289" width="27.75" style="348" customWidth="1"/>
    <col min="12290" max="12301" width="8.5" style="348" customWidth="1"/>
    <col min="12302" max="12304" width="10" style="348" customWidth="1"/>
    <col min="12305" max="12544" width="9" style="348"/>
    <col min="12545" max="12545" width="27.75" style="348" customWidth="1"/>
    <col min="12546" max="12557" width="8.5" style="348" customWidth="1"/>
    <col min="12558" max="12560" width="10" style="348" customWidth="1"/>
    <col min="12561" max="12800" width="9" style="348"/>
    <col min="12801" max="12801" width="27.75" style="348" customWidth="1"/>
    <col min="12802" max="12813" width="8.5" style="348" customWidth="1"/>
    <col min="12814" max="12816" width="10" style="348" customWidth="1"/>
    <col min="12817" max="13056" width="9" style="348"/>
    <col min="13057" max="13057" width="27.75" style="348" customWidth="1"/>
    <col min="13058" max="13069" width="8.5" style="348" customWidth="1"/>
    <col min="13070" max="13072" width="10" style="348" customWidth="1"/>
    <col min="13073" max="13312" width="9" style="348"/>
    <col min="13313" max="13313" width="27.75" style="348" customWidth="1"/>
    <col min="13314" max="13325" width="8.5" style="348" customWidth="1"/>
    <col min="13326" max="13328" width="10" style="348" customWidth="1"/>
    <col min="13329" max="13568" width="9" style="348"/>
    <col min="13569" max="13569" width="27.75" style="348" customWidth="1"/>
    <col min="13570" max="13581" width="8.5" style="348" customWidth="1"/>
    <col min="13582" max="13584" width="10" style="348" customWidth="1"/>
    <col min="13585" max="13824" width="9" style="348"/>
    <col min="13825" max="13825" width="27.75" style="348" customWidth="1"/>
    <col min="13826" max="13837" width="8.5" style="348" customWidth="1"/>
    <col min="13838" max="13840" width="10" style="348" customWidth="1"/>
    <col min="13841" max="14080" width="9" style="348"/>
    <col min="14081" max="14081" width="27.75" style="348" customWidth="1"/>
    <col min="14082" max="14093" width="8.5" style="348" customWidth="1"/>
    <col min="14094" max="14096" width="10" style="348" customWidth="1"/>
    <col min="14097" max="14336" width="9" style="348"/>
    <col min="14337" max="14337" width="27.75" style="348" customWidth="1"/>
    <col min="14338" max="14349" width="8.5" style="348" customWidth="1"/>
    <col min="14350" max="14352" width="10" style="348" customWidth="1"/>
    <col min="14353" max="14592" width="9" style="348"/>
    <col min="14593" max="14593" width="27.75" style="348" customWidth="1"/>
    <col min="14594" max="14605" width="8.5" style="348" customWidth="1"/>
    <col min="14606" max="14608" width="10" style="348" customWidth="1"/>
    <col min="14609" max="14848" width="9" style="348"/>
    <col min="14849" max="14849" width="27.75" style="348" customWidth="1"/>
    <col min="14850" max="14861" width="8.5" style="348" customWidth="1"/>
    <col min="14862" max="14864" width="10" style="348" customWidth="1"/>
    <col min="14865" max="15104" width="9" style="348"/>
    <col min="15105" max="15105" width="27.75" style="348" customWidth="1"/>
    <col min="15106" max="15117" width="8.5" style="348" customWidth="1"/>
    <col min="15118" max="15120" width="10" style="348" customWidth="1"/>
    <col min="15121" max="15360" width="9" style="348"/>
    <col min="15361" max="15361" width="27.75" style="348" customWidth="1"/>
    <col min="15362" max="15373" width="8.5" style="348" customWidth="1"/>
    <col min="15374" max="15376" width="10" style="348" customWidth="1"/>
    <col min="15377" max="15616" width="9" style="348"/>
    <col min="15617" max="15617" width="27.75" style="348" customWidth="1"/>
    <col min="15618" max="15629" width="8.5" style="348" customWidth="1"/>
    <col min="15630" max="15632" width="10" style="348" customWidth="1"/>
    <col min="15633" max="15872" width="9" style="348"/>
    <col min="15873" max="15873" width="27.75" style="348" customWidth="1"/>
    <col min="15874" max="15885" width="8.5" style="348" customWidth="1"/>
    <col min="15886" max="15888" width="10" style="348" customWidth="1"/>
    <col min="15889" max="16128" width="9" style="348"/>
    <col min="16129" max="16129" width="27.75" style="348" customWidth="1"/>
    <col min="16130" max="16141" width="8.5" style="348" customWidth="1"/>
    <col min="16142" max="16144" width="10" style="348" customWidth="1"/>
    <col min="16145" max="16384" width="9" style="348"/>
  </cols>
  <sheetData>
    <row r="1" spans="1:18" s="328" customFormat="1" ht="39" thickBot="1" x14ac:dyDescent="0.3">
      <c r="A1" s="316" t="s">
        <v>1010</v>
      </c>
      <c r="B1" s="317" t="s">
        <v>1011</v>
      </c>
      <c r="C1" s="318">
        <v>600</v>
      </c>
      <c r="D1" s="319" t="s">
        <v>1012</v>
      </c>
      <c r="E1" s="320">
        <v>1.5</v>
      </c>
      <c r="F1" s="321">
        <v>109347</v>
      </c>
      <c r="G1" s="322" t="s">
        <v>1013</v>
      </c>
      <c r="H1" s="320">
        <v>0.1</v>
      </c>
      <c r="I1" s="323">
        <v>150458</v>
      </c>
      <c r="J1" s="324" t="s">
        <v>1014</v>
      </c>
      <c r="K1" s="370">
        <f>200*(1+0.35)</f>
        <v>270</v>
      </c>
      <c r="L1" s="371" t="s">
        <v>1065</v>
      </c>
      <c r="M1" s="325" t="s">
        <v>1015</v>
      </c>
      <c r="N1" s="326" t="s">
        <v>1016</v>
      </c>
      <c r="O1" s="326" t="s">
        <v>1017</v>
      </c>
      <c r="P1" s="327" t="s">
        <v>1018</v>
      </c>
      <c r="R1" s="329"/>
    </row>
    <row r="2" spans="1:18" s="328" customFormat="1" ht="39" thickBot="1" x14ac:dyDescent="0.3">
      <c r="A2" s="330" t="s">
        <v>1019</v>
      </c>
      <c r="B2" s="331" t="s">
        <v>1020</v>
      </c>
      <c r="C2" s="332">
        <f>0.4*C1</f>
        <v>240</v>
      </c>
      <c r="D2" s="333" t="s">
        <v>1021</v>
      </c>
      <c r="E2" s="334">
        <v>1</v>
      </c>
      <c r="F2" s="335">
        <v>52445</v>
      </c>
      <c r="G2" s="336" t="s">
        <v>1022</v>
      </c>
      <c r="H2" s="337">
        <v>0.28000000000000003</v>
      </c>
      <c r="I2" s="338"/>
      <c r="J2" s="339" t="s">
        <v>1066</v>
      </c>
      <c r="K2" s="372">
        <f>5*(1+0.35)</f>
        <v>6.75</v>
      </c>
      <c r="L2" s="373">
        <f>3.5*(1+0.35)</f>
        <v>4.7250000000000005</v>
      </c>
      <c r="M2" s="340">
        <v>167.94</v>
      </c>
      <c r="N2" s="341">
        <v>144.59</v>
      </c>
      <c r="O2" s="341">
        <v>9.39</v>
      </c>
      <c r="P2" s="342">
        <v>68.959999999999994</v>
      </c>
      <c r="R2" s="329"/>
    </row>
    <row r="4" spans="1:18" ht="15" x14ac:dyDescent="0.25">
      <c r="A4" s="343" t="s">
        <v>1023</v>
      </c>
      <c r="B4" s="344" t="s">
        <v>1024</v>
      </c>
      <c r="C4" s="344" t="s">
        <v>1025</v>
      </c>
      <c r="D4" s="344" t="s">
        <v>1026</v>
      </c>
      <c r="E4" s="344" t="s">
        <v>1027</v>
      </c>
      <c r="F4" s="344" t="s">
        <v>1028</v>
      </c>
      <c r="G4" s="344" t="s">
        <v>1029</v>
      </c>
      <c r="H4" s="344" t="s">
        <v>1030</v>
      </c>
      <c r="I4" s="344" t="s">
        <v>1031</v>
      </c>
      <c r="J4" s="344" t="s">
        <v>1032</v>
      </c>
      <c r="K4" s="344" t="s">
        <v>1033</v>
      </c>
      <c r="L4" s="344" t="s">
        <v>1034</v>
      </c>
      <c r="M4" s="345" t="s">
        <v>1035</v>
      </c>
      <c r="N4" s="346" t="s">
        <v>1036</v>
      </c>
      <c r="O4" s="347" t="s">
        <v>1037</v>
      </c>
      <c r="P4" s="347" t="s">
        <v>1038</v>
      </c>
    </row>
    <row r="5" spans="1:18" x14ac:dyDescent="0.2">
      <c r="B5" s="350"/>
      <c r="C5" s="350"/>
      <c r="D5" s="350"/>
      <c r="E5" s="350"/>
      <c r="F5" s="350"/>
      <c r="G5" s="350"/>
      <c r="H5" s="350"/>
      <c r="I5" s="350"/>
      <c r="J5" s="350"/>
      <c r="K5" s="350"/>
      <c r="L5" s="350"/>
      <c r="M5" s="351"/>
      <c r="N5" s="350"/>
      <c r="O5" s="350"/>
      <c r="P5" s="350"/>
    </row>
    <row r="6" spans="1:18" ht="15" x14ac:dyDescent="0.25">
      <c r="A6" s="352" t="s">
        <v>1039</v>
      </c>
      <c r="B6" s="350">
        <v>0</v>
      </c>
      <c r="C6" s="350">
        <f>B33</f>
        <v>-127301.372</v>
      </c>
      <c r="D6" s="350">
        <f t="shared" ref="D6:O6" si="0">C33</f>
        <v>-99519.244000000006</v>
      </c>
      <c r="E6" s="350">
        <f t="shared" si="0"/>
        <v>-53259.516000000011</v>
      </c>
      <c r="F6" s="350">
        <f t="shared" si="0"/>
        <v>-56864.088000000011</v>
      </c>
      <c r="G6" s="350">
        <f t="shared" si="0"/>
        <v>-28757.160000000011</v>
      </c>
      <c r="H6" s="350">
        <f t="shared" si="0"/>
        <v>-650.23200000001088</v>
      </c>
      <c r="I6" s="350">
        <f t="shared" si="0"/>
        <v>-9254.804000000011</v>
      </c>
      <c r="J6" s="350">
        <f t="shared" si="0"/>
        <v>18852.123999999989</v>
      </c>
      <c r="K6" s="350">
        <f t="shared" si="0"/>
        <v>41959.051999999989</v>
      </c>
      <c r="L6" s="350">
        <f t="shared" si="0"/>
        <v>38354.479999999989</v>
      </c>
      <c r="M6" s="351">
        <f t="shared" si="0"/>
        <v>66461.407999999996</v>
      </c>
      <c r="N6" s="350">
        <f>B6</f>
        <v>0</v>
      </c>
      <c r="O6" s="353">
        <f t="shared" si="0"/>
        <v>94568.336000000127</v>
      </c>
      <c r="P6" s="353">
        <f>O33</f>
        <v>296105.47200000013</v>
      </c>
    </row>
    <row r="7" spans="1:18" ht="15" x14ac:dyDescent="0.25">
      <c r="A7" s="352"/>
      <c r="B7" s="350"/>
      <c r="C7" s="350"/>
      <c r="D7" s="350"/>
      <c r="E7" s="350"/>
      <c r="F7" s="350"/>
      <c r="G7" s="350"/>
      <c r="H7" s="350"/>
      <c r="I7" s="350"/>
      <c r="J7" s="350"/>
      <c r="K7" s="350"/>
      <c r="L7" s="350"/>
      <c r="M7" s="351"/>
      <c r="N7" s="354"/>
      <c r="O7" s="354"/>
      <c r="P7" s="354"/>
    </row>
    <row r="8" spans="1:18" ht="15" x14ac:dyDescent="0.25">
      <c r="A8" s="352" t="s">
        <v>1040</v>
      </c>
      <c r="B8" s="350"/>
      <c r="C8" s="350"/>
      <c r="D8" s="350"/>
      <c r="E8" s="350"/>
      <c r="F8" s="350"/>
      <c r="G8" s="350"/>
      <c r="H8" s="350"/>
      <c r="I8" s="350"/>
      <c r="J8" s="350"/>
      <c r="K8" s="350"/>
      <c r="L8" s="350"/>
      <c r="M8" s="351"/>
      <c r="N8" s="350"/>
      <c r="O8" s="350"/>
      <c r="P8" s="350"/>
    </row>
    <row r="9" spans="1:18" x14ac:dyDescent="0.2">
      <c r="A9" s="349" t="s">
        <v>1041</v>
      </c>
      <c r="B9" s="350">
        <v>0</v>
      </c>
      <c r="C9" s="350">
        <f>M2*C2/2</f>
        <v>20152.8</v>
      </c>
      <c r="D9" s="350">
        <f>M2*C2/2</f>
        <v>20152.8</v>
      </c>
      <c r="E9" s="350">
        <v>0</v>
      </c>
      <c r="F9" s="350">
        <v>0</v>
      </c>
      <c r="G9" s="350">
        <v>0</v>
      </c>
      <c r="H9" s="350">
        <v>0</v>
      </c>
      <c r="I9" s="350">
        <v>0</v>
      </c>
      <c r="J9" s="350">
        <v>0</v>
      </c>
      <c r="K9" s="350">
        <v>0</v>
      </c>
      <c r="L9" s="350">
        <v>0</v>
      </c>
      <c r="M9" s="350">
        <v>0</v>
      </c>
      <c r="N9" s="355">
        <f t="shared" ref="N9:N14" si="1">SUM(B9:M9)</f>
        <v>40305.599999999999</v>
      </c>
      <c r="O9" s="350">
        <v>0</v>
      </c>
      <c r="P9" s="350">
        <v>0</v>
      </c>
    </row>
    <row r="10" spans="1:18" x14ac:dyDescent="0.2">
      <c r="A10" s="349" t="s">
        <v>1042</v>
      </c>
      <c r="B10" s="350">
        <v>0</v>
      </c>
      <c r="C10" s="350">
        <f>N2*C2/2</f>
        <v>17350.8</v>
      </c>
      <c r="D10" s="350">
        <f>N2*C2</f>
        <v>34701.599999999999</v>
      </c>
      <c r="E10" s="350">
        <f>$D$10</f>
        <v>34701.599999999999</v>
      </c>
      <c r="F10" s="350">
        <f>$D$10</f>
        <v>34701.599999999999</v>
      </c>
      <c r="G10" s="350">
        <f>$D$10</f>
        <v>34701.599999999999</v>
      </c>
      <c r="H10" s="350">
        <f>$D$10</f>
        <v>34701.599999999999</v>
      </c>
      <c r="I10" s="350">
        <f t="shared" ref="I10:M10" si="2">$D$10</f>
        <v>34701.599999999999</v>
      </c>
      <c r="J10" s="350">
        <f t="shared" si="2"/>
        <v>34701.599999999999</v>
      </c>
      <c r="K10" s="350">
        <f t="shared" si="2"/>
        <v>34701.599999999999</v>
      </c>
      <c r="L10" s="350">
        <f t="shared" si="2"/>
        <v>34701.599999999999</v>
      </c>
      <c r="M10" s="350">
        <f t="shared" si="2"/>
        <v>34701.599999999999</v>
      </c>
      <c r="N10" s="355">
        <f t="shared" si="1"/>
        <v>364366.8</v>
      </c>
      <c r="O10" s="350">
        <f>N2*12*C2</f>
        <v>416419.19999999995</v>
      </c>
      <c r="P10" s="350">
        <f>$O$10</f>
        <v>416419.19999999995</v>
      </c>
    </row>
    <row r="11" spans="1:18" x14ac:dyDescent="0.2">
      <c r="A11" s="349" t="s">
        <v>1043</v>
      </c>
      <c r="B11" s="350">
        <v>0</v>
      </c>
      <c r="C11" s="350">
        <f>O2*C2/2</f>
        <v>1126.8000000000002</v>
      </c>
      <c r="D11" s="350">
        <f>O2*C2</f>
        <v>2253.6000000000004</v>
      </c>
      <c r="E11" s="350">
        <f>$D$11</f>
        <v>2253.6000000000004</v>
      </c>
      <c r="F11" s="350">
        <f t="shared" ref="F11:M11" si="3">$D$11</f>
        <v>2253.6000000000004</v>
      </c>
      <c r="G11" s="350">
        <f t="shared" si="3"/>
        <v>2253.6000000000004</v>
      </c>
      <c r="H11" s="350">
        <f t="shared" si="3"/>
        <v>2253.6000000000004</v>
      </c>
      <c r="I11" s="350">
        <f t="shared" si="3"/>
        <v>2253.6000000000004</v>
      </c>
      <c r="J11" s="350">
        <f t="shared" si="3"/>
        <v>2253.6000000000004</v>
      </c>
      <c r="K11" s="350">
        <f t="shared" si="3"/>
        <v>2253.6000000000004</v>
      </c>
      <c r="L11" s="350">
        <f t="shared" si="3"/>
        <v>2253.6000000000004</v>
      </c>
      <c r="M11" s="351">
        <f t="shared" si="3"/>
        <v>2253.6000000000004</v>
      </c>
      <c r="N11" s="350">
        <f>SUM(B11:M11)</f>
        <v>23662.799999999996</v>
      </c>
      <c r="O11" s="350">
        <f>C2*O2*12</f>
        <v>27043.200000000004</v>
      </c>
      <c r="P11" s="350">
        <f>$O$11</f>
        <v>27043.200000000004</v>
      </c>
    </row>
    <row r="12" spans="1:18" x14ac:dyDescent="0.2">
      <c r="A12" s="349" t="s">
        <v>1044</v>
      </c>
      <c r="B12" s="350">
        <f>P2*(C1*6/12)</f>
        <v>20687.999999999996</v>
      </c>
      <c r="C12" s="350">
        <f>P2*(((C1-C2)*6/12)+(C2*4/12))</f>
        <v>17929.599999999999</v>
      </c>
      <c r="D12" s="350">
        <f>$C$12</f>
        <v>17929.599999999999</v>
      </c>
      <c r="E12" s="350">
        <f t="shared" ref="E12:M12" si="4">$C$12</f>
        <v>17929.599999999999</v>
      </c>
      <c r="F12" s="350">
        <f t="shared" si="4"/>
        <v>17929.599999999999</v>
      </c>
      <c r="G12" s="350">
        <f t="shared" si="4"/>
        <v>17929.599999999999</v>
      </c>
      <c r="H12" s="350">
        <f t="shared" si="4"/>
        <v>17929.599999999999</v>
      </c>
      <c r="I12" s="350">
        <f t="shared" si="4"/>
        <v>17929.599999999999</v>
      </c>
      <c r="J12" s="350">
        <f t="shared" si="4"/>
        <v>17929.599999999999</v>
      </c>
      <c r="K12" s="350">
        <f t="shared" si="4"/>
        <v>17929.599999999999</v>
      </c>
      <c r="L12" s="350">
        <f t="shared" si="4"/>
        <v>17929.599999999999</v>
      </c>
      <c r="M12" s="351">
        <f t="shared" si="4"/>
        <v>17929.599999999999</v>
      </c>
      <c r="N12" s="350">
        <f>SUM(B12:M12)</f>
        <v>217913.60000000003</v>
      </c>
      <c r="O12" s="350">
        <f>P2*(((C1-C2)*6)+(C2*4))</f>
        <v>215155.19999999998</v>
      </c>
      <c r="P12" s="350">
        <f>$O$12</f>
        <v>215155.19999999998</v>
      </c>
    </row>
    <row r="13" spans="1:18" x14ac:dyDescent="0.2">
      <c r="A13" s="349" t="s">
        <v>1045</v>
      </c>
      <c r="B13" s="350">
        <v>0</v>
      </c>
      <c r="C13" s="350">
        <v>0</v>
      </c>
      <c r="D13" s="350">
        <v>0</v>
      </c>
      <c r="E13" s="350">
        <v>0</v>
      </c>
      <c r="F13" s="350">
        <v>0</v>
      </c>
      <c r="G13" s="350">
        <v>0</v>
      </c>
      <c r="H13" s="350">
        <v>0</v>
      </c>
      <c r="I13" s="350">
        <v>0</v>
      </c>
      <c r="J13" s="350">
        <v>0</v>
      </c>
      <c r="K13" s="350">
        <v>0</v>
      </c>
      <c r="L13" s="350">
        <v>0</v>
      </c>
      <c r="M13" s="351">
        <v>0</v>
      </c>
      <c r="N13" s="350">
        <f t="shared" si="1"/>
        <v>0</v>
      </c>
      <c r="O13" s="350">
        <v>0</v>
      </c>
      <c r="P13" s="350">
        <v>0</v>
      </c>
    </row>
    <row r="14" spans="1:18" x14ac:dyDescent="0.2">
      <c r="A14" s="349" t="s">
        <v>1046</v>
      </c>
      <c r="B14" s="350">
        <v>0</v>
      </c>
      <c r="C14" s="350">
        <v>0</v>
      </c>
      <c r="D14" s="350">
        <v>0</v>
      </c>
      <c r="E14" s="350">
        <v>0</v>
      </c>
      <c r="F14" s="350">
        <v>0</v>
      </c>
      <c r="G14" s="350">
        <v>0</v>
      </c>
      <c r="H14" s="350">
        <v>0</v>
      </c>
      <c r="I14" s="350">
        <v>0</v>
      </c>
      <c r="J14" s="350">
        <v>0</v>
      </c>
      <c r="K14" s="350">
        <v>0</v>
      </c>
      <c r="L14" s="350">
        <v>0</v>
      </c>
      <c r="M14" s="351">
        <v>0</v>
      </c>
      <c r="N14" s="350">
        <f t="shared" si="1"/>
        <v>0</v>
      </c>
      <c r="O14" s="350">
        <v>0</v>
      </c>
      <c r="P14" s="350">
        <v>0</v>
      </c>
    </row>
    <row r="15" spans="1:18" ht="15" x14ac:dyDescent="0.25">
      <c r="A15" s="352" t="s">
        <v>1047</v>
      </c>
      <c r="B15" s="356">
        <f t="shared" ref="B15:P15" si="5">SUM(B9:B14)</f>
        <v>20687.999999999996</v>
      </c>
      <c r="C15" s="356">
        <f t="shared" si="5"/>
        <v>56560</v>
      </c>
      <c r="D15" s="356">
        <f t="shared" si="5"/>
        <v>75037.599999999991</v>
      </c>
      <c r="E15" s="356">
        <f t="shared" si="5"/>
        <v>54884.799999999996</v>
      </c>
      <c r="F15" s="356">
        <f t="shared" si="5"/>
        <v>54884.799999999996</v>
      </c>
      <c r="G15" s="356">
        <f t="shared" si="5"/>
        <v>54884.799999999996</v>
      </c>
      <c r="H15" s="356">
        <f t="shared" si="5"/>
        <v>54884.799999999996</v>
      </c>
      <c r="I15" s="356">
        <f t="shared" si="5"/>
        <v>54884.799999999996</v>
      </c>
      <c r="J15" s="356">
        <f t="shared" si="5"/>
        <v>54884.799999999996</v>
      </c>
      <c r="K15" s="356">
        <f t="shared" si="5"/>
        <v>54884.799999999996</v>
      </c>
      <c r="L15" s="356">
        <f t="shared" si="5"/>
        <v>54884.799999999996</v>
      </c>
      <c r="M15" s="357">
        <f t="shared" si="5"/>
        <v>54884.799999999996</v>
      </c>
      <c r="N15" s="356">
        <f t="shared" si="5"/>
        <v>646248.80000000005</v>
      </c>
      <c r="O15" s="356">
        <f t="shared" si="5"/>
        <v>658617.59999999998</v>
      </c>
      <c r="P15" s="356">
        <f t="shared" si="5"/>
        <v>658617.59999999998</v>
      </c>
    </row>
    <row r="16" spans="1:18" x14ac:dyDescent="0.2">
      <c r="B16" s="350"/>
      <c r="C16" s="350"/>
      <c r="D16" s="350"/>
      <c r="E16" s="350"/>
      <c r="F16" s="350"/>
      <c r="G16" s="350"/>
      <c r="H16" s="350"/>
      <c r="I16" s="350"/>
      <c r="J16" s="350"/>
      <c r="K16" s="350"/>
      <c r="L16" s="350"/>
      <c r="M16" s="351"/>
      <c r="N16" s="350"/>
      <c r="O16" s="350"/>
      <c r="P16" s="350"/>
    </row>
    <row r="17" spans="1:16" x14ac:dyDescent="0.2">
      <c r="A17" s="349" t="s">
        <v>1048</v>
      </c>
      <c r="B17" s="350">
        <f>K1*(10+C2)+K2*C2*3*6+L2*(C1-C2)*6/4</f>
        <v>99211.5</v>
      </c>
      <c r="C17" s="350">
        <v>0</v>
      </c>
      <c r="D17" s="350">
        <v>0</v>
      </c>
      <c r="E17" s="350">
        <f>K2*C2*3*6+L2*(C1-C2)*6/4</f>
        <v>31711.5</v>
      </c>
      <c r="F17" s="350">
        <v>0</v>
      </c>
      <c r="G17" s="350">
        <v>0</v>
      </c>
      <c r="H17" s="350">
        <f>$E$17</f>
        <v>31711.5</v>
      </c>
      <c r="I17" s="350">
        <v>0</v>
      </c>
      <c r="J17" s="350">
        <v>0</v>
      </c>
      <c r="K17" s="350">
        <f>$E$17</f>
        <v>31711.5</v>
      </c>
      <c r="L17" s="350">
        <v>0</v>
      </c>
      <c r="M17" s="351">
        <v>0</v>
      </c>
      <c r="N17" s="350">
        <f t="shared" ref="N17:N29" si="6">SUM(B17:M17)</f>
        <v>194346</v>
      </c>
      <c r="O17" s="350">
        <f>K2*C2*12*6+L2*(C1-C2)*6</f>
        <v>126846</v>
      </c>
      <c r="P17" s="350">
        <f>$O$17</f>
        <v>126846</v>
      </c>
    </row>
    <row r="18" spans="1:16" x14ac:dyDescent="0.2">
      <c r="A18" s="349" t="s">
        <v>1049</v>
      </c>
      <c r="B18" s="350">
        <f>10000+IF(C2&gt;0,1,0)*10000</f>
        <v>20000</v>
      </c>
      <c r="C18" s="350">
        <v>0</v>
      </c>
      <c r="D18" s="350">
        <v>0</v>
      </c>
      <c r="E18" s="350">
        <v>0</v>
      </c>
      <c r="F18" s="350">
        <v>0</v>
      </c>
      <c r="G18" s="350">
        <v>0</v>
      </c>
      <c r="H18" s="350">
        <v>0</v>
      </c>
      <c r="I18" s="350">
        <v>0</v>
      </c>
      <c r="J18" s="350">
        <v>5000</v>
      </c>
      <c r="K18" s="350">
        <v>0</v>
      </c>
      <c r="L18" s="350">
        <v>0</v>
      </c>
      <c r="M18" s="351">
        <v>0</v>
      </c>
      <c r="N18" s="350">
        <f t="shared" si="6"/>
        <v>25000</v>
      </c>
      <c r="O18" s="350">
        <v>5000</v>
      </c>
      <c r="P18" s="350">
        <v>5000</v>
      </c>
    </row>
    <row r="19" spans="1:16" x14ac:dyDescent="0.2">
      <c r="A19" s="349" t="s">
        <v>1050</v>
      </c>
      <c r="B19" s="350">
        <f>IF(C2&gt;0,1,0)*10000/12</f>
        <v>833.33333333333337</v>
      </c>
      <c r="C19" s="350">
        <f>$B$19</f>
        <v>833.33333333333337</v>
      </c>
      <c r="D19" s="350">
        <f t="shared" ref="D19:M19" si="7">$B$19</f>
        <v>833.33333333333337</v>
      </c>
      <c r="E19" s="350">
        <f t="shared" si="7"/>
        <v>833.33333333333337</v>
      </c>
      <c r="F19" s="350">
        <f t="shared" si="7"/>
        <v>833.33333333333337</v>
      </c>
      <c r="G19" s="350">
        <f t="shared" si="7"/>
        <v>833.33333333333337</v>
      </c>
      <c r="H19" s="350">
        <f t="shared" si="7"/>
        <v>833.33333333333337</v>
      </c>
      <c r="I19" s="350">
        <f t="shared" si="7"/>
        <v>833.33333333333337</v>
      </c>
      <c r="J19" s="350">
        <f t="shared" si="7"/>
        <v>833.33333333333337</v>
      </c>
      <c r="K19" s="350">
        <f t="shared" si="7"/>
        <v>833.33333333333337</v>
      </c>
      <c r="L19" s="350">
        <f t="shared" si="7"/>
        <v>833.33333333333337</v>
      </c>
      <c r="M19" s="350">
        <f t="shared" si="7"/>
        <v>833.33333333333337</v>
      </c>
      <c r="N19" s="355">
        <f>IF(C2&gt;0,1,0)*SUM(B19:M19)</f>
        <v>10000</v>
      </c>
      <c r="O19" s="350">
        <f>IF(C2&gt;0,1,0)*10000</f>
        <v>10000</v>
      </c>
      <c r="P19" s="350">
        <f>$O$19</f>
        <v>10000</v>
      </c>
    </row>
    <row r="20" spans="1:16" x14ac:dyDescent="0.2">
      <c r="A20" s="349" t="s">
        <v>1051</v>
      </c>
      <c r="B20" s="350">
        <f>(F1*E1+F2*E2+I1*H1)*(1+H2)/12</f>
        <v>24694.538666666664</v>
      </c>
      <c r="C20" s="350">
        <f>$B$20</f>
        <v>24694.538666666664</v>
      </c>
      <c r="D20" s="350">
        <f t="shared" ref="D20:M20" si="8">$B$20</f>
        <v>24694.538666666664</v>
      </c>
      <c r="E20" s="350">
        <f t="shared" si="8"/>
        <v>24694.538666666664</v>
      </c>
      <c r="F20" s="350">
        <f t="shared" si="8"/>
        <v>24694.538666666664</v>
      </c>
      <c r="G20" s="350">
        <f t="shared" si="8"/>
        <v>24694.538666666664</v>
      </c>
      <c r="H20" s="350">
        <f t="shared" si="8"/>
        <v>24694.538666666664</v>
      </c>
      <c r="I20" s="350">
        <f t="shared" si="8"/>
        <v>24694.538666666664</v>
      </c>
      <c r="J20" s="350">
        <f t="shared" si="8"/>
        <v>24694.538666666664</v>
      </c>
      <c r="K20" s="350">
        <f t="shared" si="8"/>
        <v>24694.538666666664</v>
      </c>
      <c r="L20" s="350">
        <f t="shared" si="8"/>
        <v>24694.538666666664</v>
      </c>
      <c r="M20" s="350">
        <f t="shared" si="8"/>
        <v>24694.538666666664</v>
      </c>
      <c r="N20" s="355">
        <f t="shared" si="6"/>
        <v>296334.46399999998</v>
      </c>
      <c r="O20" s="350">
        <f>(F1*E1+F2*E2+I1*H1)*(1+H2)</f>
        <v>296334.46399999998</v>
      </c>
      <c r="P20" s="350">
        <f>$O$20</f>
        <v>296334.46399999998</v>
      </c>
    </row>
    <row r="21" spans="1:16" x14ac:dyDescent="0.2">
      <c r="A21" s="349" t="s">
        <v>51</v>
      </c>
      <c r="B21" s="350">
        <v>300</v>
      </c>
      <c r="C21" s="350">
        <v>300</v>
      </c>
      <c r="D21" s="350">
        <v>300</v>
      </c>
      <c r="E21" s="350">
        <v>300</v>
      </c>
      <c r="F21" s="350">
        <v>300</v>
      </c>
      <c r="G21" s="350">
        <v>300</v>
      </c>
      <c r="H21" s="350">
        <v>300</v>
      </c>
      <c r="I21" s="350">
        <v>300</v>
      </c>
      <c r="J21" s="350">
        <v>300</v>
      </c>
      <c r="K21" s="350">
        <v>300</v>
      </c>
      <c r="L21" s="350">
        <v>300</v>
      </c>
      <c r="M21" s="351">
        <v>300</v>
      </c>
      <c r="N21" s="350">
        <f t="shared" si="6"/>
        <v>3600</v>
      </c>
      <c r="O21" s="350">
        <f>300*12</f>
        <v>3600</v>
      </c>
      <c r="P21" s="350">
        <f>300*12</f>
        <v>3600</v>
      </c>
    </row>
    <row r="22" spans="1:16" x14ac:dyDescent="0.2">
      <c r="A22" s="349" t="s">
        <v>1052</v>
      </c>
      <c r="B22" s="350">
        <v>50</v>
      </c>
      <c r="C22" s="350">
        <v>50</v>
      </c>
      <c r="D22" s="350">
        <v>50</v>
      </c>
      <c r="E22" s="350">
        <v>50</v>
      </c>
      <c r="F22" s="350">
        <v>50</v>
      </c>
      <c r="G22" s="350">
        <v>50</v>
      </c>
      <c r="H22" s="350">
        <v>50</v>
      </c>
      <c r="I22" s="350">
        <v>50</v>
      </c>
      <c r="J22" s="350">
        <v>50</v>
      </c>
      <c r="K22" s="350">
        <v>50</v>
      </c>
      <c r="L22" s="350">
        <v>50</v>
      </c>
      <c r="M22" s="351">
        <v>50</v>
      </c>
      <c r="N22" s="350">
        <f t="shared" si="6"/>
        <v>600</v>
      </c>
      <c r="O22" s="350">
        <v>600</v>
      </c>
      <c r="P22" s="350">
        <v>600</v>
      </c>
    </row>
    <row r="23" spans="1:16" x14ac:dyDescent="0.2">
      <c r="A23" s="349" t="s">
        <v>1053</v>
      </c>
      <c r="B23" s="350">
        <v>50</v>
      </c>
      <c r="C23" s="350">
        <v>50</v>
      </c>
      <c r="D23" s="350">
        <v>50</v>
      </c>
      <c r="E23" s="350">
        <v>50</v>
      </c>
      <c r="F23" s="350">
        <v>50</v>
      </c>
      <c r="G23" s="350">
        <v>50</v>
      </c>
      <c r="H23" s="350">
        <v>50</v>
      </c>
      <c r="I23" s="350">
        <v>50</v>
      </c>
      <c r="J23" s="350">
        <v>50</v>
      </c>
      <c r="K23" s="350">
        <v>50</v>
      </c>
      <c r="L23" s="350">
        <v>50</v>
      </c>
      <c r="M23" s="351">
        <v>50</v>
      </c>
      <c r="N23" s="350">
        <f t="shared" si="6"/>
        <v>600</v>
      </c>
      <c r="O23" s="350">
        <f>50*12</f>
        <v>600</v>
      </c>
      <c r="P23" s="350">
        <f>50*12</f>
        <v>600</v>
      </c>
    </row>
    <row r="24" spans="1:16" x14ac:dyDescent="0.2">
      <c r="A24" s="349" t="s">
        <v>1054</v>
      </c>
      <c r="B24" s="350">
        <v>100</v>
      </c>
      <c r="C24" s="350">
        <v>100</v>
      </c>
      <c r="D24" s="350">
        <v>100</v>
      </c>
      <c r="E24" s="350">
        <v>100</v>
      </c>
      <c r="F24" s="350">
        <v>100</v>
      </c>
      <c r="G24" s="350">
        <v>100</v>
      </c>
      <c r="H24" s="350">
        <v>100</v>
      </c>
      <c r="I24" s="350">
        <v>100</v>
      </c>
      <c r="J24" s="350">
        <v>100</v>
      </c>
      <c r="K24" s="350">
        <v>100</v>
      </c>
      <c r="L24" s="350">
        <v>100</v>
      </c>
      <c r="M24" s="351">
        <v>100</v>
      </c>
      <c r="N24" s="350">
        <f t="shared" si="6"/>
        <v>1200</v>
      </c>
      <c r="O24" s="350">
        <v>1500</v>
      </c>
      <c r="P24" s="350">
        <v>1500</v>
      </c>
    </row>
    <row r="25" spans="1:16" x14ac:dyDescent="0.2">
      <c r="A25" s="349" t="s">
        <v>43</v>
      </c>
      <c r="B25" s="350">
        <v>100</v>
      </c>
      <c r="C25" s="350">
        <v>100</v>
      </c>
      <c r="D25" s="350">
        <v>100</v>
      </c>
      <c r="E25" s="350">
        <v>100</v>
      </c>
      <c r="F25" s="350">
        <v>100</v>
      </c>
      <c r="G25" s="350">
        <v>100</v>
      </c>
      <c r="H25" s="350">
        <v>100</v>
      </c>
      <c r="I25" s="350">
        <v>100</v>
      </c>
      <c r="J25" s="350">
        <v>100</v>
      </c>
      <c r="K25" s="350">
        <v>100</v>
      </c>
      <c r="L25" s="350">
        <v>100</v>
      </c>
      <c r="M25" s="351">
        <v>100</v>
      </c>
      <c r="N25" s="350">
        <f t="shared" si="6"/>
        <v>1200</v>
      </c>
      <c r="O25" s="350">
        <v>1500</v>
      </c>
      <c r="P25" s="350">
        <v>2000</v>
      </c>
    </row>
    <row r="26" spans="1:16" x14ac:dyDescent="0.2">
      <c r="A26" s="349" t="s">
        <v>1055</v>
      </c>
      <c r="B26" s="350">
        <v>100</v>
      </c>
      <c r="C26" s="350">
        <v>100</v>
      </c>
      <c r="D26" s="350">
        <v>100</v>
      </c>
      <c r="E26" s="350">
        <v>100</v>
      </c>
      <c r="F26" s="350">
        <v>100</v>
      </c>
      <c r="G26" s="350">
        <v>100</v>
      </c>
      <c r="H26" s="350">
        <v>100</v>
      </c>
      <c r="I26" s="350">
        <v>100</v>
      </c>
      <c r="J26" s="350">
        <v>100</v>
      </c>
      <c r="K26" s="350">
        <v>100</v>
      </c>
      <c r="L26" s="350">
        <v>100</v>
      </c>
      <c r="M26" s="351">
        <v>100</v>
      </c>
      <c r="N26" s="350">
        <f t="shared" si="6"/>
        <v>1200</v>
      </c>
      <c r="O26" s="350">
        <v>1500</v>
      </c>
      <c r="P26" s="350">
        <v>2000</v>
      </c>
    </row>
    <row r="27" spans="1:16" x14ac:dyDescent="0.2">
      <c r="A27" s="349" t="s">
        <v>1056</v>
      </c>
      <c r="B27" s="350">
        <v>50</v>
      </c>
      <c r="C27" s="350">
        <v>50</v>
      </c>
      <c r="D27" s="350">
        <v>50</v>
      </c>
      <c r="E27" s="350">
        <v>50</v>
      </c>
      <c r="F27" s="350">
        <v>50</v>
      </c>
      <c r="G27" s="350">
        <v>50</v>
      </c>
      <c r="H27" s="350">
        <v>50</v>
      </c>
      <c r="I27" s="350">
        <v>50</v>
      </c>
      <c r="J27" s="350">
        <v>50</v>
      </c>
      <c r="K27" s="350">
        <v>50</v>
      </c>
      <c r="L27" s="350">
        <v>50</v>
      </c>
      <c r="M27" s="351">
        <v>50</v>
      </c>
      <c r="N27" s="350">
        <f t="shared" si="6"/>
        <v>600</v>
      </c>
      <c r="O27" s="350">
        <v>600</v>
      </c>
      <c r="P27" s="350">
        <v>600</v>
      </c>
    </row>
    <row r="28" spans="1:16" x14ac:dyDescent="0.2">
      <c r="A28" s="349" t="s">
        <v>1057</v>
      </c>
      <c r="B28" s="350">
        <v>500</v>
      </c>
      <c r="C28" s="350">
        <v>500</v>
      </c>
      <c r="D28" s="350">
        <v>500</v>
      </c>
      <c r="E28" s="350">
        <v>500</v>
      </c>
      <c r="F28" s="350">
        <v>500</v>
      </c>
      <c r="G28" s="350">
        <v>500</v>
      </c>
      <c r="H28" s="350">
        <v>500</v>
      </c>
      <c r="I28" s="350">
        <v>500</v>
      </c>
      <c r="J28" s="350">
        <v>500</v>
      </c>
      <c r="K28" s="350">
        <v>500</v>
      </c>
      <c r="L28" s="350">
        <v>500</v>
      </c>
      <c r="M28" s="351">
        <v>500</v>
      </c>
      <c r="N28" s="350">
        <f t="shared" si="6"/>
        <v>6000</v>
      </c>
      <c r="O28" s="350">
        <v>9000</v>
      </c>
      <c r="P28" s="350">
        <v>12000</v>
      </c>
    </row>
    <row r="29" spans="1:16" x14ac:dyDescent="0.2">
      <c r="A29" s="349" t="s">
        <v>1058</v>
      </c>
      <c r="B29" s="350">
        <v>2000</v>
      </c>
      <c r="C29" s="350">
        <v>2000</v>
      </c>
      <c r="D29" s="350">
        <v>2000</v>
      </c>
      <c r="E29" s="350">
        <v>0</v>
      </c>
      <c r="F29" s="350">
        <v>0</v>
      </c>
      <c r="G29" s="350">
        <v>0</v>
      </c>
      <c r="H29" s="350">
        <v>5000</v>
      </c>
      <c r="I29" s="350">
        <v>0</v>
      </c>
      <c r="J29" s="350">
        <v>0</v>
      </c>
      <c r="K29" s="350">
        <v>0</v>
      </c>
      <c r="L29" s="350">
        <v>0</v>
      </c>
      <c r="M29" s="351">
        <v>0</v>
      </c>
      <c r="N29" s="350">
        <f t="shared" si="6"/>
        <v>11000</v>
      </c>
      <c r="O29" s="350">
        <v>0</v>
      </c>
      <c r="P29" s="350">
        <v>0</v>
      </c>
    </row>
    <row r="30" spans="1:16" s="358" customFormat="1" ht="15" x14ac:dyDescent="0.25">
      <c r="A30" s="352" t="s">
        <v>1059</v>
      </c>
      <c r="B30" s="356">
        <f t="shared" ref="B30:P30" si="9">SUM(B17:B29)</f>
        <v>147989.372</v>
      </c>
      <c r="C30" s="356">
        <f t="shared" si="9"/>
        <v>28777.871999999996</v>
      </c>
      <c r="D30" s="356">
        <f t="shared" si="9"/>
        <v>28777.871999999996</v>
      </c>
      <c r="E30" s="356">
        <f t="shared" si="9"/>
        <v>58489.371999999996</v>
      </c>
      <c r="F30" s="356">
        <f t="shared" si="9"/>
        <v>26777.871999999996</v>
      </c>
      <c r="G30" s="356">
        <f t="shared" si="9"/>
        <v>26777.871999999996</v>
      </c>
      <c r="H30" s="356">
        <f t="shared" si="9"/>
        <v>63489.371999999996</v>
      </c>
      <c r="I30" s="356">
        <f t="shared" si="9"/>
        <v>26777.871999999996</v>
      </c>
      <c r="J30" s="356">
        <f t="shared" si="9"/>
        <v>31777.871999999996</v>
      </c>
      <c r="K30" s="356">
        <f t="shared" si="9"/>
        <v>58489.371999999996</v>
      </c>
      <c r="L30" s="356">
        <f t="shared" si="9"/>
        <v>26777.871999999996</v>
      </c>
      <c r="M30" s="357">
        <f t="shared" si="9"/>
        <v>26777.871999999996</v>
      </c>
      <c r="N30" s="356">
        <f t="shared" si="9"/>
        <v>551680.46399999992</v>
      </c>
      <c r="O30" s="356">
        <f t="shared" si="9"/>
        <v>457080.46399999998</v>
      </c>
      <c r="P30" s="356">
        <f t="shared" si="9"/>
        <v>461080.46399999998</v>
      </c>
    </row>
    <row r="31" spans="1:16" x14ac:dyDescent="0.2">
      <c r="B31" s="359"/>
      <c r="C31" s="359"/>
      <c r="D31" s="359"/>
      <c r="E31" s="359"/>
      <c r="F31" s="359"/>
      <c r="G31" s="359"/>
      <c r="H31" s="359"/>
      <c r="I31" s="359"/>
      <c r="J31" s="359"/>
      <c r="K31" s="359"/>
      <c r="L31" s="359"/>
      <c r="M31" s="360"/>
      <c r="N31" s="350"/>
      <c r="O31" s="350"/>
      <c r="P31" s="350"/>
    </row>
    <row r="32" spans="1:16" ht="15" x14ac:dyDescent="0.25">
      <c r="A32" s="352" t="s">
        <v>1060</v>
      </c>
      <c r="B32" s="356">
        <f t="shared" ref="B32:P32" si="10">B15-B30</f>
        <v>-127301.372</v>
      </c>
      <c r="C32" s="356">
        <f t="shared" si="10"/>
        <v>27782.128000000004</v>
      </c>
      <c r="D32" s="356">
        <f t="shared" si="10"/>
        <v>46259.727999999996</v>
      </c>
      <c r="E32" s="356">
        <f t="shared" si="10"/>
        <v>-3604.5720000000001</v>
      </c>
      <c r="F32" s="356">
        <f t="shared" si="10"/>
        <v>28106.928</v>
      </c>
      <c r="G32" s="356">
        <f t="shared" si="10"/>
        <v>28106.928</v>
      </c>
      <c r="H32" s="356">
        <f t="shared" si="10"/>
        <v>-8604.5720000000001</v>
      </c>
      <c r="I32" s="356">
        <f t="shared" si="10"/>
        <v>28106.928</v>
      </c>
      <c r="J32" s="356">
        <f t="shared" si="10"/>
        <v>23106.928</v>
      </c>
      <c r="K32" s="356">
        <f t="shared" si="10"/>
        <v>-3604.5720000000001</v>
      </c>
      <c r="L32" s="356">
        <f t="shared" si="10"/>
        <v>28106.928</v>
      </c>
      <c r="M32" s="357">
        <f t="shared" si="10"/>
        <v>28106.928</v>
      </c>
      <c r="N32" s="356">
        <f t="shared" si="10"/>
        <v>94568.336000000127</v>
      </c>
      <c r="O32" s="356">
        <f t="shared" si="10"/>
        <v>201537.136</v>
      </c>
      <c r="P32" s="356">
        <f t="shared" si="10"/>
        <v>197537.136</v>
      </c>
    </row>
    <row r="33" spans="1:16" s="358" customFormat="1" ht="15" x14ac:dyDescent="0.25">
      <c r="A33" s="352" t="s">
        <v>1061</v>
      </c>
      <c r="B33" s="356">
        <f t="shared" ref="B33:P33" si="11">B6+B15-B30</f>
        <v>-127301.372</v>
      </c>
      <c r="C33" s="356">
        <f t="shared" si="11"/>
        <v>-99519.244000000006</v>
      </c>
      <c r="D33" s="356">
        <f t="shared" si="11"/>
        <v>-53259.516000000011</v>
      </c>
      <c r="E33" s="356">
        <f t="shared" si="11"/>
        <v>-56864.088000000011</v>
      </c>
      <c r="F33" s="356">
        <f t="shared" si="11"/>
        <v>-28757.160000000011</v>
      </c>
      <c r="G33" s="356">
        <f t="shared" si="11"/>
        <v>-650.23200000001088</v>
      </c>
      <c r="H33" s="356">
        <f t="shared" si="11"/>
        <v>-9254.804000000011</v>
      </c>
      <c r="I33" s="356">
        <f t="shared" si="11"/>
        <v>18852.123999999989</v>
      </c>
      <c r="J33" s="356">
        <f t="shared" si="11"/>
        <v>41959.051999999989</v>
      </c>
      <c r="K33" s="356">
        <f t="shared" si="11"/>
        <v>38354.479999999989</v>
      </c>
      <c r="L33" s="356">
        <f t="shared" si="11"/>
        <v>66461.407999999996</v>
      </c>
      <c r="M33" s="357">
        <f t="shared" si="11"/>
        <v>94568.335999999981</v>
      </c>
      <c r="N33" s="356">
        <f t="shared" si="11"/>
        <v>94568.336000000127</v>
      </c>
      <c r="O33" s="356">
        <f t="shared" si="11"/>
        <v>296105.47200000013</v>
      </c>
      <c r="P33" s="356">
        <f t="shared" si="11"/>
        <v>493642.60800000018</v>
      </c>
    </row>
    <row r="34" spans="1:16" s="358" customFormat="1" ht="15" x14ac:dyDescent="0.25">
      <c r="A34" s="352"/>
      <c r="B34" s="356"/>
      <c r="C34" s="356"/>
      <c r="D34" s="356"/>
      <c r="E34" s="356"/>
      <c r="F34" s="356"/>
      <c r="G34" s="356"/>
      <c r="H34" s="356"/>
      <c r="I34" s="356"/>
      <c r="J34" s="356"/>
      <c r="K34" s="356"/>
      <c r="L34" s="356"/>
      <c r="M34" s="357"/>
      <c r="N34" s="361">
        <f>(N15-N30)/650</f>
        <v>145.4897476923079</v>
      </c>
      <c r="O34" s="361">
        <f>(O15-O30)/650</f>
        <v>310.05713230769231</v>
      </c>
      <c r="P34" s="361">
        <f>(P15-P30)/650</f>
        <v>303.90328615384612</v>
      </c>
    </row>
    <row r="35" spans="1:16" x14ac:dyDescent="0.2">
      <c r="B35" s="359"/>
      <c r="C35" s="359"/>
      <c r="D35" s="359"/>
      <c r="E35" s="359"/>
      <c r="F35" s="359"/>
      <c r="G35" s="359"/>
      <c r="H35" s="359"/>
      <c r="I35" s="359"/>
      <c r="J35" s="359"/>
      <c r="K35" s="359"/>
      <c r="L35" s="359"/>
      <c r="M35" s="360"/>
      <c r="N35" s="350"/>
      <c r="O35" s="350"/>
      <c r="P35" s="350"/>
    </row>
    <row r="36" spans="1:16" s="365" customFormat="1" x14ac:dyDescent="0.2">
      <c r="A36" s="362" t="s">
        <v>1062</v>
      </c>
      <c r="B36" s="363">
        <f t="shared" ref="B36:P36" si="12">B9+B10+B11+B12</f>
        <v>20687.999999999996</v>
      </c>
      <c r="C36" s="363">
        <f t="shared" si="12"/>
        <v>56560</v>
      </c>
      <c r="D36" s="363">
        <f t="shared" si="12"/>
        <v>75037.599999999991</v>
      </c>
      <c r="E36" s="363">
        <f t="shared" si="12"/>
        <v>54884.799999999996</v>
      </c>
      <c r="F36" s="363">
        <f t="shared" si="12"/>
        <v>54884.799999999996</v>
      </c>
      <c r="G36" s="363">
        <f t="shared" si="12"/>
        <v>54884.799999999996</v>
      </c>
      <c r="H36" s="363">
        <f t="shared" si="12"/>
        <v>54884.799999999996</v>
      </c>
      <c r="I36" s="363">
        <f t="shared" si="12"/>
        <v>54884.799999999996</v>
      </c>
      <c r="J36" s="363">
        <f t="shared" si="12"/>
        <v>54884.799999999996</v>
      </c>
      <c r="K36" s="363">
        <f t="shared" si="12"/>
        <v>54884.799999999996</v>
      </c>
      <c r="L36" s="363">
        <f t="shared" si="12"/>
        <v>54884.799999999996</v>
      </c>
      <c r="M36" s="364">
        <f t="shared" si="12"/>
        <v>54884.799999999996</v>
      </c>
      <c r="N36" s="363">
        <f t="shared" si="12"/>
        <v>646248.80000000005</v>
      </c>
      <c r="O36" s="363">
        <f t="shared" si="12"/>
        <v>658617.59999999998</v>
      </c>
      <c r="P36" s="363">
        <f t="shared" si="12"/>
        <v>658617.59999999998</v>
      </c>
    </row>
    <row r="37" spans="1:16" s="365" customFormat="1" x14ac:dyDescent="0.2">
      <c r="A37" s="362" t="s">
        <v>1063</v>
      </c>
      <c r="B37" s="363">
        <f>B30</f>
        <v>147989.372</v>
      </c>
      <c r="C37" s="363">
        <f t="shared" ref="C37:P37" si="13">C30</f>
        <v>28777.871999999996</v>
      </c>
      <c r="D37" s="363">
        <f t="shared" si="13"/>
        <v>28777.871999999996</v>
      </c>
      <c r="E37" s="363">
        <f t="shared" si="13"/>
        <v>58489.371999999996</v>
      </c>
      <c r="F37" s="363">
        <f t="shared" si="13"/>
        <v>26777.871999999996</v>
      </c>
      <c r="G37" s="363">
        <f t="shared" si="13"/>
        <v>26777.871999999996</v>
      </c>
      <c r="H37" s="363">
        <f t="shared" si="13"/>
        <v>63489.371999999996</v>
      </c>
      <c r="I37" s="363">
        <f t="shared" si="13"/>
        <v>26777.871999999996</v>
      </c>
      <c r="J37" s="363">
        <f t="shared" si="13"/>
        <v>31777.871999999996</v>
      </c>
      <c r="K37" s="363">
        <f t="shared" si="13"/>
        <v>58489.371999999996</v>
      </c>
      <c r="L37" s="363">
        <f t="shared" si="13"/>
        <v>26777.871999999996</v>
      </c>
      <c r="M37" s="363">
        <f t="shared" si="13"/>
        <v>26777.871999999996</v>
      </c>
      <c r="N37" s="366">
        <f t="shared" si="13"/>
        <v>551680.46399999992</v>
      </c>
      <c r="O37" s="363">
        <f t="shared" si="13"/>
        <v>457080.46399999998</v>
      </c>
      <c r="P37" s="363">
        <f t="shared" si="13"/>
        <v>461080.46399999998</v>
      </c>
    </row>
    <row r="38" spans="1:16" s="365" customFormat="1" x14ac:dyDescent="0.2">
      <c r="A38" s="362" t="s">
        <v>1064</v>
      </c>
      <c r="B38" s="363">
        <f>B36-B37</f>
        <v>-127301.372</v>
      </c>
      <c r="C38" s="363">
        <f t="shared" ref="C38:P38" si="14">C36-C37</f>
        <v>27782.128000000004</v>
      </c>
      <c r="D38" s="363">
        <f t="shared" si="14"/>
        <v>46259.727999999996</v>
      </c>
      <c r="E38" s="363">
        <f t="shared" si="14"/>
        <v>-3604.5720000000001</v>
      </c>
      <c r="F38" s="363">
        <f t="shared" si="14"/>
        <v>28106.928</v>
      </c>
      <c r="G38" s="363">
        <f t="shared" si="14"/>
        <v>28106.928</v>
      </c>
      <c r="H38" s="363">
        <f t="shared" si="14"/>
        <v>-8604.5720000000001</v>
      </c>
      <c r="I38" s="363">
        <f t="shared" si="14"/>
        <v>28106.928</v>
      </c>
      <c r="J38" s="363">
        <f t="shared" si="14"/>
        <v>23106.928</v>
      </c>
      <c r="K38" s="363">
        <f t="shared" si="14"/>
        <v>-3604.5720000000001</v>
      </c>
      <c r="L38" s="363">
        <f t="shared" si="14"/>
        <v>28106.928</v>
      </c>
      <c r="M38" s="364">
        <f t="shared" si="14"/>
        <v>28106.928</v>
      </c>
      <c r="N38" s="363">
        <f t="shared" si="14"/>
        <v>94568.336000000127</v>
      </c>
      <c r="O38" s="363">
        <f t="shared" si="14"/>
        <v>201537.136</v>
      </c>
      <c r="P38" s="363">
        <f t="shared" si="14"/>
        <v>197537.136</v>
      </c>
    </row>
    <row r="39" spans="1:16" x14ac:dyDescent="0.2">
      <c r="B39" s="359"/>
      <c r="C39" s="359"/>
      <c r="D39" s="359"/>
      <c r="E39" s="359"/>
      <c r="F39" s="359"/>
      <c r="G39" s="359"/>
      <c r="H39" s="359"/>
      <c r="I39" s="359"/>
      <c r="J39" s="359"/>
      <c r="K39" s="359"/>
      <c r="L39" s="359"/>
      <c r="M39" s="360"/>
      <c r="N39" s="350"/>
      <c r="O39" s="350"/>
      <c r="P39" s="350"/>
    </row>
  </sheetData>
  <printOptions gridLines="1"/>
  <pageMargins left="0.72" right="0.4" top="0.71" bottom="0.61" header="0.67" footer="0.5"/>
  <pageSetup scale="70" orientation="landscape" horizontalDpi="4294967294"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6"/>
  <sheetViews>
    <sheetView topLeftCell="C1" zoomScale="85" zoomScaleNormal="85" workbookViewId="0">
      <pane ySplit="14" topLeftCell="A34" activePane="bottomLeft" state="frozen"/>
      <selection activeCell="A8" sqref="A8"/>
      <selection pane="bottomLeft" activeCell="A8" sqref="A8"/>
    </sheetView>
  </sheetViews>
  <sheetFormatPr defaultRowHeight="15" x14ac:dyDescent="0.25"/>
  <cols>
    <col min="1" max="1" width="32.125" style="165" customWidth="1"/>
    <col min="2" max="2" width="12.25" style="223" customWidth="1"/>
    <col min="3" max="10" width="12.25" style="165" customWidth="1"/>
    <col min="11" max="11" width="12.5" style="165" customWidth="1"/>
    <col min="12" max="22" width="12.25" style="165" customWidth="1"/>
    <col min="23" max="16384" width="9" style="165"/>
  </cols>
  <sheetData>
    <row r="1" spans="1:28" ht="15.75" thickBot="1" x14ac:dyDescent="0.3">
      <c r="B1" s="481" t="s">
        <v>469</v>
      </c>
      <c r="C1" s="482"/>
      <c r="D1" s="482"/>
      <c r="E1" s="483"/>
      <c r="F1" s="481" t="s">
        <v>470</v>
      </c>
      <c r="G1" s="483"/>
      <c r="H1" s="166"/>
      <c r="I1" s="166"/>
      <c r="J1" s="167"/>
      <c r="K1" s="166"/>
      <c r="L1" s="166"/>
      <c r="M1" s="167"/>
      <c r="N1" s="166"/>
      <c r="O1" s="166"/>
      <c r="P1" s="168"/>
      <c r="Q1" s="166"/>
      <c r="R1" s="166"/>
      <c r="S1" s="168"/>
      <c r="T1" s="166"/>
      <c r="U1" s="166"/>
      <c r="V1" s="168"/>
      <c r="W1" s="166"/>
      <c r="X1" s="166"/>
      <c r="Y1" s="169"/>
      <c r="AB1" s="169"/>
    </row>
    <row r="2" spans="1:28" ht="15.75" thickBot="1" x14ac:dyDescent="0.3">
      <c r="B2" s="484" t="s">
        <v>471</v>
      </c>
      <c r="C2" s="485"/>
      <c r="D2" s="486"/>
      <c r="E2" s="484" t="s">
        <v>472</v>
      </c>
      <c r="F2" s="485"/>
      <c r="G2" s="485"/>
      <c r="H2" s="487"/>
      <c r="I2" s="166"/>
      <c r="J2" s="167"/>
      <c r="K2" s="166"/>
      <c r="L2" s="166"/>
      <c r="M2" s="167"/>
      <c r="N2" s="166"/>
      <c r="O2" s="484" t="s">
        <v>473</v>
      </c>
      <c r="P2" s="485"/>
      <c r="Q2" s="485"/>
      <c r="R2" s="485"/>
      <c r="S2" s="485"/>
      <c r="T2" s="485"/>
      <c r="U2" s="485"/>
      <c r="V2" s="486"/>
      <c r="W2" s="166"/>
      <c r="X2" s="166"/>
      <c r="Y2" s="169"/>
      <c r="AB2" s="169"/>
    </row>
    <row r="3" spans="1:28" ht="15.75" thickBot="1" x14ac:dyDescent="0.3">
      <c r="B3" s="166"/>
      <c r="C3" s="166"/>
      <c r="D3" s="167"/>
      <c r="E3" s="166"/>
      <c r="F3" s="166"/>
      <c r="G3" s="166"/>
      <c r="H3" s="484" t="s">
        <v>474</v>
      </c>
      <c r="I3" s="485"/>
      <c r="J3" s="485"/>
      <c r="K3" s="486"/>
      <c r="L3" s="484" t="s">
        <v>475</v>
      </c>
      <c r="M3" s="485"/>
      <c r="N3" s="485"/>
      <c r="O3" s="488"/>
      <c r="P3" s="488"/>
      <c r="Q3" s="488"/>
      <c r="R3" s="488"/>
      <c r="S3" s="489"/>
      <c r="T3" s="166"/>
      <c r="U3" s="166"/>
      <c r="V3" s="167"/>
      <c r="W3" s="166"/>
      <c r="X3" s="166"/>
      <c r="Y3" s="169"/>
      <c r="AB3" s="169"/>
    </row>
    <row r="4" spans="1:28" ht="15.75" thickBot="1" x14ac:dyDescent="0.3">
      <c r="B4" s="496" t="s">
        <v>476</v>
      </c>
      <c r="C4" s="497"/>
      <c r="D4" s="497"/>
      <c r="E4" s="508"/>
      <c r="F4" s="496" t="s">
        <v>477</v>
      </c>
      <c r="G4" s="497"/>
      <c r="H4" s="508"/>
      <c r="I4" s="166"/>
      <c r="J4" s="170"/>
      <c r="K4" s="171"/>
      <c r="L4" s="171"/>
      <c r="M4" s="167"/>
      <c r="N4" s="166"/>
      <c r="O4" s="166"/>
      <c r="P4" s="167"/>
      <c r="Q4" s="166"/>
      <c r="R4" s="166"/>
      <c r="S4" s="167"/>
      <c r="T4" s="166"/>
      <c r="U4" s="166"/>
      <c r="V4" s="167"/>
      <c r="W4" s="166"/>
      <c r="X4" s="166"/>
      <c r="Y4" s="169"/>
      <c r="AB4" s="169"/>
    </row>
    <row r="5" spans="1:28" ht="15.75" thickBot="1" x14ac:dyDescent="0.3">
      <c r="B5" s="166"/>
      <c r="C5" s="166"/>
      <c r="D5" s="167"/>
      <c r="E5" s="166"/>
      <c r="F5" s="166"/>
      <c r="G5" s="167"/>
      <c r="H5" s="166"/>
      <c r="I5" s="490" t="s">
        <v>478</v>
      </c>
      <c r="J5" s="491"/>
      <c r="K5" s="492"/>
      <c r="L5" s="490" t="s">
        <v>479</v>
      </c>
      <c r="M5" s="491"/>
      <c r="N5" s="491"/>
      <c r="O5" s="492"/>
      <c r="P5" s="490" t="s">
        <v>480</v>
      </c>
      <c r="Q5" s="491"/>
      <c r="R5" s="491"/>
      <c r="S5" s="492"/>
      <c r="T5" s="490" t="s">
        <v>481</v>
      </c>
      <c r="U5" s="491"/>
      <c r="V5" s="492"/>
      <c r="W5" s="166"/>
      <c r="X5" s="166"/>
      <c r="Y5" s="169"/>
      <c r="AB5" s="169"/>
    </row>
    <row r="6" spans="1:28" ht="15.75" thickBot="1" x14ac:dyDescent="0.3">
      <c r="B6" s="490" t="s">
        <v>482</v>
      </c>
      <c r="C6" s="491"/>
      <c r="D6" s="491"/>
      <c r="E6" s="491"/>
      <c r="F6" s="491"/>
      <c r="G6" s="491"/>
      <c r="H6" s="492"/>
      <c r="I6" s="166"/>
      <c r="J6" s="493" t="s">
        <v>483</v>
      </c>
      <c r="K6" s="494"/>
      <c r="L6" s="494"/>
      <c r="M6" s="494"/>
      <c r="N6" s="494"/>
      <c r="O6" s="495"/>
      <c r="P6" s="167"/>
      <c r="Q6" s="166"/>
      <c r="R6" s="166"/>
      <c r="S6" s="167"/>
      <c r="T6" s="166"/>
      <c r="U6" s="166"/>
      <c r="V6" s="167"/>
      <c r="W6" s="166"/>
      <c r="X6" s="166"/>
      <c r="Y6" s="169"/>
      <c r="AB6" s="169"/>
    </row>
    <row r="7" spans="1:28" ht="15.75" thickBot="1" x14ac:dyDescent="0.3">
      <c r="B7" s="166"/>
      <c r="C7" s="166"/>
      <c r="D7" s="167"/>
      <c r="E7" s="166"/>
      <c r="F7" s="166"/>
      <c r="G7" s="167"/>
      <c r="H7" s="166"/>
      <c r="I7" s="172" t="s">
        <v>484</v>
      </c>
      <c r="J7" s="173"/>
      <c r="K7" s="174"/>
      <c r="L7" s="174"/>
      <c r="M7" s="173"/>
      <c r="N7" s="174"/>
      <c r="O7" s="174"/>
      <c r="P7" s="173"/>
      <c r="Q7" s="174"/>
      <c r="R7" s="174"/>
      <c r="S7" s="175"/>
      <c r="T7" s="166"/>
      <c r="U7" s="166"/>
      <c r="V7" s="167"/>
      <c r="W7" s="166"/>
      <c r="X7" s="166"/>
      <c r="Y7" s="169"/>
      <c r="AB7" s="169"/>
    </row>
    <row r="8" spans="1:28" ht="15.75" thickBot="1" x14ac:dyDescent="0.3">
      <c r="B8" s="166"/>
      <c r="C8" s="166"/>
      <c r="D8" s="167"/>
      <c r="E8" s="166"/>
      <c r="F8" s="166"/>
      <c r="G8" s="167"/>
      <c r="H8" s="166"/>
      <c r="I8" s="176" t="s">
        <v>485</v>
      </c>
      <c r="J8" s="177"/>
      <c r="K8" s="496" t="s">
        <v>486</v>
      </c>
      <c r="L8" s="497"/>
      <c r="M8" s="497"/>
      <c r="N8" s="497"/>
      <c r="O8" s="497"/>
      <c r="P8" s="498"/>
      <c r="Q8" s="498"/>
      <c r="R8" s="498"/>
      <c r="S8" s="499"/>
      <c r="T8" s="166"/>
      <c r="U8" s="166"/>
      <c r="V8" s="167"/>
      <c r="W8" s="166"/>
      <c r="X8" s="166"/>
      <c r="Y8" s="169"/>
      <c r="AB8" s="169"/>
    </row>
    <row r="9" spans="1:28" ht="15.75" thickBot="1" x14ac:dyDescent="0.3">
      <c r="B9" s="166"/>
      <c r="C9" s="166"/>
      <c r="D9" s="167"/>
      <c r="E9" s="166"/>
      <c r="F9" s="166"/>
      <c r="G9" s="167"/>
      <c r="H9" s="166"/>
      <c r="I9" s="166"/>
      <c r="J9" s="167"/>
      <c r="K9" s="166"/>
      <c r="L9" s="166"/>
      <c r="M9" s="167"/>
      <c r="N9" s="166"/>
      <c r="O9" s="166"/>
      <c r="P9" s="500" t="s">
        <v>487</v>
      </c>
      <c r="Q9" s="501"/>
      <c r="R9" s="501"/>
      <c r="S9" s="501"/>
      <c r="T9" s="501"/>
      <c r="U9" s="501"/>
      <c r="V9" s="501"/>
      <c r="W9" s="501"/>
      <c r="X9" s="502"/>
      <c r="Y9" s="169"/>
      <c r="AB9" s="169"/>
    </row>
    <row r="10" spans="1:28" ht="15.75" thickBot="1" x14ac:dyDescent="0.3">
      <c r="B10" s="166"/>
      <c r="C10" s="166"/>
      <c r="D10" s="167"/>
      <c r="E10" s="166"/>
      <c r="F10" s="166"/>
      <c r="G10" s="167"/>
      <c r="H10" s="166"/>
      <c r="I10" s="166"/>
      <c r="J10" s="167"/>
      <c r="K10" s="166"/>
      <c r="L10" s="166"/>
      <c r="M10" s="167"/>
      <c r="N10" s="166"/>
      <c r="O10" s="166"/>
      <c r="P10" s="500" t="s">
        <v>488</v>
      </c>
      <c r="Q10" s="501"/>
      <c r="R10" s="501"/>
      <c r="S10" s="501"/>
      <c r="T10" s="501"/>
      <c r="U10" s="501"/>
      <c r="V10" s="501"/>
      <c r="W10" s="501"/>
      <c r="X10" s="502"/>
      <c r="Y10" s="169"/>
      <c r="AB10" s="169"/>
    </row>
    <row r="11" spans="1:28" ht="15.75" thickBot="1" x14ac:dyDescent="0.3">
      <c r="B11" s="178"/>
      <c r="C11" s="178"/>
      <c r="D11" s="179"/>
      <c r="E11" s="178"/>
      <c r="F11" s="166"/>
      <c r="G11" s="167"/>
      <c r="H11" s="166"/>
      <c r="I11" s="166"/>
      <c r="J11" s="180"/>
      <c r="K11" s="181"/>
      <c r="L11" s="181"/>
      <c r="M11" s="182"/>
      <c r="N11" s="503" t="s">
        <v>489</v>
      </c>
      <c r="O11" s="504"/>
      <c r="P11" s="505"/>
      <c r="Q11" s="505"/>
      <c r="R11" s="505"/>
      <c r="S11" s="506"/>
      <c r="T11" s="507" t="s">
        <v>490</v>
      </c>
      <c r="U11" s="505"/>
      <c r="V11" s="506"/>
      <c r="W11" s="166"/>
      <c r="X11" s="166"/>
      <c r="Y11" s="169"/>
      <c r="AB11" s="169"/>
    </row>
    <row r="12" spans="1:28" ht="15.75" thickBot="1" x14ac:dyDescent="0.3">
      <c r="B12" s="183" t="s">
        <v>491</v>
      </c>
      <c r="C12" s="184"/>
      <c r="D12" s="185"/>
      <c r="E12" s="166"/>
      <c r="F12" s="166"/>
      <c r="G12" s="167"/>
      <c r="H12" s="166"/>
      <c r="I12" s="166"/>
      <c r="J12" s="526" t="s">
        <v>492</v>
      </c>
      <c r="K12" s="527"/>
      <c r="L12" s="527"/>
      <c r="M12" s="527"/>
      <c r="N12" s="527"/>
      <c r="O12" s="527"/>
      <c r="P12" s="527"/>
      <c r="Q12" s="527"/>
      <c r="R12" s="527"/>
      <c r="S12" s="528"/>
      <c r="T12" s="166"/>
      <c r="U12" s="166"/>
      <c r="V12" s="167"/>
      <c r="W12" s="166"/>
      <c r="X12" s="166"/>
      <c r="Y12" s="169"/>
      <c r="AB12" s="169"/>
    </row>
    <row r="13" spans="1:28" ht="15.75" thickBot="1" x14ac:dyDescent="0.3">
      <c r="A13" s="165" t="s">
        <v>493</v>
      </c>
      <c r="B13" s="186">
        <v>1.1000000000000001</v>
      </c>
      <c r="C13" s="186">
        <v>1.2</v>
      </c>
      <c r="D13" s="187">
        <v>1.3</v>
      </c>
      <c r="E13" s="186">
        <v>1.4</v>
      </c>
      <c r="F13" s="186">
        <v>1.5</v>
      </c>
      <c r="G13" s="188">
        <v>1.6</v>
      </c>
      <c r="H13" s="186">
        <v>1.7</v>
      </c>
      <c r="I13" s="186">
        <v>1.8</v>
      </c>
      <c r="J13" s="187">
        <v>1.9</v>
      </c>
      <c r="K13" s="189">
        <v>1.1000000000000001</v>
      </c>
      <c r="L13" s="189">
        <v>1.1100000000000001</v>
      </c>
      <c r="M13" s="190">
        <v>1.1200000000000001</v>
      </c>
      <c r="N13" s="186">
        <v>2.1</v>
      </c>
      <c r="O13" s="186">
        <v>2.2000000000000002</v>
      </c>
      <c r="P13" s="187">
        <v>2.2999999999999998</v>
      </c>
      <c r="Q13" s="186">
        <v>2.4</v>
      </c>
      <c r="R13" s="186">
        <v>2.5</v>
      </c>
      <c r="S13" s="187">
        <v>2.6</v>
      </c>
      <c r="T13" s="186">
        <v>2.7</v>
      </c>
      <c r="U13" s="186">
        <v>2.8</v>
      </c>
      <c r="V13" s="188">
        <v>2.9</v>
      </c>
      <c r="W13" s="189">
        <v>2.1</v>
      </c>
      <c r="X13" s="189">
        <v>2.11</v>
      </c>
      <c r="Y13" s="191">
        <v>2.12</v>
      </c>
      <c r="Z13" s="192">
        <v>3.1</v>
      </c>
      <c r="AA13" s="192">
        <v>3.2</v>
      </c>
      <c r="AB13" s="193">
        <v>3.3</v>
      </c>
    </row>
    <row r="14" spans="1:28" s="194" customFormat="1" ht="30.75" thickBot="1" x14ac:dyDescent="0.3">
      <c r="B14" s="195"/>
      <c r="C14" s="195"/>
      <c r="D14" s="196" t="s">
        <v>494</v>
      </c>
      <c r="E14" s="195"/>
      <c r="F14" s="195"/>
      <c r="G14" s="197"/>
      <c r="H14" s="195"/>
      <c r="I14" s="196" t="s">
        <v>495</v>
      </c>
      <c r="J14" s="197"/>
      <c r="K14" s="195"/>
      <c r="L14" s="196" t="s">
        <v>496</v>
      </c>
      <c r="M14" s="197"/>
      <c r="N14" s="195"/>
      <c r="O14" s="195"/>
      <c r="P14" s="196" t="s">
        <v>497</v>
      </c>
      <c r="Q14" s="195"/>
      <c r="R14" s="195"/>
      <c r="S14" s="198" t="s">
        <v>498</v>
      </c>
      <c r="T14" s="195"/>
      <c r="U14" s="195"/>
      <c r="V14" s="198" t="s">
        <v>499</v>
      </c>
      <c r="W14" s="195"/>
      <c r="X14" s="199"/>
      <c r="Y14" s="200"/>
      <c r="AB14" s="201"/>
    </row>
    <row r="15" spans="1:28" s="202" customFormat="1" x14ac:dyDescent="0.25">
      <c r="B15" s="178"/>
      <c r="C15" s="178"/>
      <c r="D15" s="178"/>
      <c r="E15" s="178"/>
      <c r="F15" s="178"/>
      <c r="G15" s="178"/>
      <c r="H15" s="178"/>
      <c r="I15" s="178"/>
      <c r="J15" s="178"/>
      <c r="K15" s="178"/>
      <c r="L15" s="178"/>
      <c r="M15" s="178"/>
      <c r="N15" s="178"/>
      <c r="O15" s="178"/>
      <c r="P15" s="178"/>
      <c r="Q15" s="178"/>
      <c r="R15" s="178"/>
      <c r="S15" s="178"/>
      <c r="T15" s="178"/>
      <c r="U15" s="178"/>
      <c r="V15" s="178"/>
      <c r="W15" s="178"/>
      <c r="X15" s="203"/>
      <c r="Y15" s="203"/>
    </row>
    <row r="16" spans="1:28" s="202" customFormat="1" x14ac:dyDescent="0.25">
      <c r="A16" s="204" t="s">
        <v>500</v>
      </c>
      <c r="B16" s="529"/>
      <c r="C16" s="529"/>
      <c r="D16" s="529"/>
      <c r="E16" s="529"/>
      <c r="F16" s="178"/>
      <c r="G16" s="178"/>
      <c r="H16" s="178"/>
      <c r="I16" s="178"/>
      <c r="J16" s="178"/>
      <c r="K16" s="178"/>
      <c r="L16" s="178"/>
      <c r="M16" s="178"/>
      <c r="N16" s="178"/>
      <c r="O16" s="178"/>
      <c r="P16" s="178"/>
      <c r="Q16" s="178"/>
      <c r="R16" s="178"/>
      <c r="S16" s="178"/>
      <c r="T16" s="178"/>
      <c r="U16" s="178"/>
      <c r="V16" s="178"/>
      <c r="W16" s="178"/>
      <c r="X16" s="203"/>
      <c r="Y16" s="203"/>
    </row>
    <row r="17" spans="1:25" ht="15" customHeight="1" thickBot="1" x14ac:dyDescent="0.3">
      <c r="A17" s="205" t="s">
        <v>501</v>
      </c>
      <c r="B17" s="530" t="s">
        <v>502</v>
      </c>
      <c r="C17" s="530"/>
      <c r="D17" s="530"/>
    </row>
    <row r="18" spans="1:25" ht="29.25" customHeight="1" thickBot="1" x14ac:dyDescent="0.3">
      <c r="A18" s="206" t="s">
        <v>503</v>
      </c>
      <c r="B18" s="531" t="s">
        <v>504</v>
      </c>
      <c r="C18" s="532"/>
      <c r="D18" s="533"/>
      <c r="E18" s="534" t="s">
        <v>505</v>
      </c>
      <c r="F18" s="534"/>
      <c r="G18" s="534"/>
      <c r="H18" s="535" t="s">
        <v>506</v>
      </c>
      <c r="I18" s="536"/>
      <c r="J18" s="207" t="s">
        <v>507</v>
      </c>
      <c r="K18" s="208" t="s">
        <v>508</v>
      </c>
      <c r="L18" s="208" t="s">
        <v>509</v>
      </c>
      <c r="N18" s="509" t="s">
        <v>489</v>
      </c>
      <c r="O18" s="510"/>
      <c r="P18" s="510"/>
      <c r="Q18" s="510"/>
      <c r="R18" s="510"/>
      <c r="S18" s="511"/>
      <c r="T18" s="509" t="s">
        <v>510</v>
      </c>
      <c r="U18" s="510"/>
      <c r="V18" s="511"/>
      <c r="W18" s="209"/>
      <c r="X18" s="209"/>
      <c r="Y18" s="209"/>
    </row>
    <row r="19" spans="1:25" ht="15" customHeight="1" x14ac:dyDescent="0.25">
      <c r="A19" s="209"/>
      <c r="B19" s="512" t="s">
        <v>511</v>
      </c>
      <c r="C19" s="513"/>
      <c r="D19" s="514"/>
      <c r="E19" s="513" t="s">
        <v>512</v>
      </c>
      <c r="F19" s="513"/>
      <c r="G19" s="513"/>
      <c r="H19" s="210" t="s">
        <v>513</v>
      </c>
      <c r="I19" s="165" t="s">
        <v>514</v>
      </c>
      <c r="J19" s="210">
        <v>400</v>
      </c>
      <c r="K19" s="210" t="s">
        <v>515</v>
      </c>
      <c r="L19" s="210">
        <v>600</v>
      </c>
      <c r="N19" s="518" t="s">
        <v>516</v>
      </c>
      <c r="O19" s="519"/>
      <c r="P19" s="519"/>
      <c r="Q19" s="519"/>
      <c r="R19" s="519"/>
      <c r="S19" s="520"/>
      <c r="T19" s="518" t="s">
        <v>517</v>
      </c>
      <c r="U19" s="519"/>
      <c r="V19" s="520"/>
    </row>
    <row r="20" spans="1:25" ht="15.75" customHeight="1" thickBot="1" x14ac:dyDescent="0.3">
      <c r="A20" s="211"/>
      <c r="B20" s="515"/>
      <c r="C20" s="516"/>
      <c r="D20" s="517"/>
      <c r="E20" s="513"/>
      <c r="F20" s="513"/>
      <c r="G20" s="513"/>
      <c r="H20" s="210" t="s">
        <v>518</v>
      </c>
      <c r="I20" s="165" t="s">
        <v>519</v>
      </c>
      <c r="J20" s="210">
        <v>160</v>
      </c>
      <c r="K20" s="210" t="s">
        <v>520</v>
      </c>
      <c r="L20" s="210">
        <v>150</v>
      </c>
      <c r="N20" s="518"/>
      <c r="O20" s="519"/>
      <c r="P20" s="519"/>
      <c r="Q20" s="519"/>
      <c r="R20" s="519"/>
      <c r="S20" s="520"/>
      <c r="T20" s="518"/>
      <c r="U20" s="519"/>
      <c r="V20" s="520"/>
    </row>
    <row r="21" spans="1:25" ht="15" customHeight="1" x14ac:dyDescent="0.25">
      <c r="A21" s="202"/>
      <c r="B21" s="524"/>
      <c r="C21" s="524"/>
      <c r="D21" s="524"/>
      <c r="E21" s="513"/>
      <c r="F21" s="513"/>
      <c r="G21" s="513"/>
      <c r="H21" s="210" t="s">
        <v>521</v>
      </c>
      <c r="I21" s="165" t="s">
        <v>514</v>
      </c>
      <c r="J21" s="210" t="s">
        <v>415</v>
      </c>
      <c r="K21" s="210" t="s">
        <v>522</v>
      </c>
      <c r="N21" s="521"/>
      <c r="O21" s="522"/>
      <c r="P21" s="522"/>
      <c r="Q21" s="522"/>
      <c r="R21" s="522"/>
      <c r="S21" s="523"/>
      <c r="T21" s="518"/>
      <c r="U21" s="519"/>
      <c r="V21" s="520"/>
    </row>
    <row r="22" spans="1:25" ht="15" customHeight="1" x14ac:dyDescent="0.25">
      <c r="A22" s="202"/>
      <c r="B22" s="524"/>
      <c r="C22" s="524"/>
      <c r="D22" s="524"/>
      <c r="E22" s="513"/>
      <c r="F22" s="513"/>
      <c r="G22" s="513"/>
      <c r="H22" s="210" t="s">
        <v>523</v>
      </c>
      <c r="I22" s="165" t="s">
        <v>519</v>
      </c>
      <c r="J22" s="210" t="s">
        <v>415</v>
      </c>
      <c r="K22" s="210" t="s">
        <v>524</v>
      </c>
      <c r="T22" s="518"/>
      <c r="U22" s="519"/>
      <c r="V22" s="520"/>
    </row>
    <row r="23" spans="1:25" ht="17.25" customHeight="1" thickBot="1" x14ac:dyDescent="0.3">
      <c r="A23" s="202"/>
      <c r="B23" s="525"/>
      <c r="C23" s="525"/>
      <c r="D23" s="525"/>
      <c r="E23" s="513"/>
      <c r="F23" s="513"/>
      <c r="G23" s="513"/>
      <c r="I23" s="212" t="s">
        <v>525</v>
      </c>
      <c r="J23" s="213">
        <v>400</v>
      </c>
      <c r="K23" s="213">
        <v>3000</v>
      </c>
      <c r="L23" s="214">
        <v>750</v>
      </c>
      <c r="M23" s="214">
        <f>SUM(J23:L23)</f>
        <v>4150</v>
      </c>
      <c r="T23" s="518"/>
      <c r="U23" s="519"/>
      <c r="V23" s="520"/>
    </row>
    <row r="24" spans="1:25" ht="15" customHeight="1" thickTop="1" x14ac:dyDescent="0.25">
      <c r="A24" s="202"/>
      <c r="B24" s="524"/>
      <c r="C24" s="524"/>
      <c r="D24" s="524"/>
      <c r="E24" s="513" t="s">
        <v>517</v>
      </c>
      <c r="F24" s="513"/>
      <c r="G24" s="513"/>
      <c r="T24" s="518" t="s">
        <v>526</v>
      </c>
      <c r="U24" s="519"/>
      <c r="V24" s="520"/>
    </row>
    <row r="25" spans="1:25" ht="15" customHeight="1" x14ac:dyDescent="0.25">
      <c r="A25" s="202"/>
      <c r="B25" s="524"/>
      <c r="C25" s="524"/>
      <c r="D25" s="524"/>
      <c r="E25" s="513"/>
      <c r="F25" s="513"/>
      <c r="G25" s="513"/>
      <c r="H25" s="535" t="s">
        <v>527</v>
      </c>
      <c r="I25" s="536"/>
      <c r="J25" s="207" t="s">
        <v>182</v>
      </c>
      <c r="K25" s="208" t="s">
        <v>183</v>
      </c>
      <c r="T25" s="518"/>
      <c r="U25" s="519"/>
      <c r="V25" s="520"/>
    </row>
    <row r="26" spans="1:25" ht="15" customHeight="1" x14ac:dyDescent="0.25">
      <c r="A26" s="202"/>
      <c r="B26" s="524"/>
      <c r="C26" s="524"/>
      <c r="D26" s="524"/>
      <c r="E26" s="513"/>
      <c r="F26" s="513"/>
      <c r="G26" s="513"/>
      <c r="H26" s="537" t="s">
        <v>513</v>
      </c>
      <c r="I26" s="537"/>
      <c r="J26" s="210">
        <v>40</v>
      </c>
      <c r="K26" s="210">
        <v>8100</v>
      </c>
      <c r="T26" s="518"/>
      <c r="U26" s="519"/>
      <c r="V26" s="520"/>
    </row>
    <row r="27" spans="1:25" ht="15" customHeight="1" x14ac:dyDescent="0.25">
      <c r="A27" s="202"/>
      <c r="B27" s="524"/>
      <c r="C27" s="524"/>
      <c r="D27" s="524"/>
      <c r="E27" s="513"/>
      <c r="F27" s="513"/>
      <c r="G27" s="513"/>
      <c r="H27" s="538" t="s">
        <v>518</v>
      </c>
      <c r="I27" s="538"/>
      <c r="J27" s="210">
        <v>1200</v>
      </c>
      <c r="K27" s="210">
        <v>27600</v>
      </c>
      <c r="T27" s="518"/>
      <c r="U27" s="519"/>
      <c r="V27" s="520"/>
    </row>
    <row r="28" spans="1:25" ht="15" customHeight="1" x14ac:dyDescent="0.25">
      <c r="B28" s="525"/>
      <c r="C28" s="525"/>
      <c r="D28" s="525"/>
      <c r="E28" s="513"/>
      <c r="F28" s="513"/>
      <c r="G28" s="513"/>
      <c r="H28" s="538" t="s">
        <v>521</v>
      </c>
      <c r="I28" s="538"/>
      <c r="J28" s="210">
        <v>20</v>
      </c>
      <c r="K28" s="210">
        <v>32100</v>
      </c>
      <c r="T28" s="518"/>
      <c r="U28" s="519"/>
      <c r="V28" s="520"/>
    </row>
    <row r="29" spans="1:25" ht="15" customHeight="1" x14ac:dyDescent="0.25">
      <c r="A29" s="202"/>
      <c r="B29" s="524"/>
      <c r="C29" s="524"/>
      <c r="D29" s="524"/>
      <c r="E29" s="513" t="s">
        <v>526</v>
      </c>
      <c r="F29" s="513"/>
      <c r="G29" s="513"/>
      <c r="H29" s="538" t="s">
        <v>523</v>
      </c>
      <c r="I29" s="538"/>
      <c r="J29" s="210">
        <v>400</v>
      </c>
      <c r="K29" s="210">
        <v>38100</v>
      </c>
      <c r="N29" s="539" t="s">
        <v>528</v>
      </c>
      <c r="O29" s="541" t="s">
        <v>529</v>
      </c>
      <c r="T29" s="521"/>
      <c r="U29" s="522"/>
      <c r="V29" s="523"/>
    </row>
    <row r="30" spans="1:25" x14ac:dyDescent="0.25">
      <c r="A30" s="202"/>
      <c r="B30" s="524"/>
      <c r="C30" s="524"/>
      <c r="D30" s="524"/>
      <c r="E30" s="513"/>
      <c r="F30" s="513"/>
      <c r="G30" s="513"/>
      <c r="J30" s="215">
        <f>SUM(J26:J29)</f>
        <v>1660</v>
      </c>
      <c r="K30" s="215">
        <f>SUM(K26:K29)</f>
        <v>105900</v>
      </c>
      <c r="L30" s="210"/>
      <c r="N30" s="540"/>
      <c r="O30" s="542"/>
      <c r="T30" s="209"/>
      <c r="U30" s="209"/>
      <c r="V30" s="209"/>
    </row>
    <row r="31" spans="1:25" ht="15.75" thickBot="1" x14ac:dyDescent="0.3">
      <c r="A31" s="202"/>
      <c r="B31" s="524"/>
      <c r="C31" s="524"/>
      <c r="D31" s="524"/>
      <c r="E31" s="513"/>
      <c r="F31" s="513"/>
      <c r="G31" s="513"/>
      <c r="I31" s="210" t="s">
        <v>530</v>
      </c>
      <c r="J31" s="216">
        <v>200</v>
      </c>
      <c r="K31" s="216">
        <v>5</v>
      </c>
      <c r="N31" s="540"/>
      <c r="O31" s="543"/>
    </row>
    <row r="32" spans="1:25" ht="15.75" thickBot="1" x14ac:dyDescent="0.3">
      <c r="A32" s="202"/>
      <c r="B32" s="524"/>
      <c r="C32" s="524"/>
      <c r="D32" s="524"/>
      <c r="E32" s="513"/>
      <c r="F32" s="513"/>
      <c r="G32" s="513"/>
      <c r="I32" s="217" t="s">
        <v>531</v>
      </c>
      <c r="J32" s="218">
        <f>J30*J31</f>
        <v>332000</v>
      </c>
      <c r="K32" s="218">
        <f>K30*K31</f>
        <v>529500</v>
      </c>
      <c r="L32" s="219">
        <f>SUM(J32:K32)</f>
        <v>861500</v>
      </c>
      <c r="N32" s="220">
        <f>K29*4*K31</f>
        <v>762000</v>
      </c>
      <c r="O32" s="221">
        <f>(K28+K29*3)*K31+(J28+J29)*J31</f>
        <v>816000</v>
      </c>
    </row>
    <row r="33" spans="2:24" ht="15.75" thickTop="1" x14ac:dyDescent="0.25">
      <c r="B33" s="525"/>
      <c r="C33" s="525"/>
      <c r="D33" s="525"/>
      <c r="E33" s="513"/>
      <c r="F33" s="513"/>
      <c r="G33" s="513"/>
    </row>
    <row r="34" spans="2:24" x14ac:dyDescent="0.25">
      <c r="B34" s="525"/>
      <c r="C34" s="525"/>
      <c r="D34" s="525"/>
      <c r="E34" s="513"/>
      <c r="F34" s="513"/>
      <c r="G34" s="513"/>
      <c r="M34" s="222"/>
    </row>
    <row r="35" spans="2:24" x14ac:dyDescent="0.25">
      <c r="C35" s="224"/>
      <c r="D35" s="224"/>
      <c r="E35" s="513"/>
      <c r="F35" s="513"/>
      <c r="G35" s="513"/>
    </row>
    <row r="37" spans="2:24" ht="15.75" thickBot="1" x14ac:dyDescent="0.3">
      <c r="C37" s="224"/>
      <c r="D37" s="225" t="s">
        <v>429</v>
      </c>
      <c r="E37" s="549" t="s">
        <v>532</v>
      </c>
      <c r="F37" s="549"/>
      <c r="G37" s="549"/>
      <c r="H37" s="549"/>
      <c r="I37" s="549" t="s">
        <v>533</v>
      </c>
      <c r="J37" s="549"/>
      <c r="K37" s="549"/>
      <c r="L37" s="549"/>
      <c r="M37" s="549" t="s">
        <v>534</v>
      </c>
      <c r="N37" s="549"/>
      <c r="O37" s="549"/>
      <c r="P37" s="549"/>
    </row>
    <row r="38" spans="2:24" ht="91.5" customHeight="1" x14ac:dyDescent="0.25">
      <c r="C38" s="224"/>
      <c r="D38" s="210" t="s">
        <v>513</v>
      </c>
      <c r="E38" s="525" t="s">
        <v>535</v>
      </c>
      <c r="F38" s="525"/>
      <c r="G38" s="525"/>
      <c r="H38" s="525"/>
      <c r="I38" s="525" t="s">
        <v>536</v>
      </c>
      <c r="J38" s="545"/>
      <c r="K38" s="545"/>
      <c r="L38" s="545"/>
      <c r="M38" s="546" t="s">
        <v>537</v>
      </c>
      <c r="N38" s="546"/>
      <c r="O38" s="546"/>
      <c r="P38" s="546"/>
      <c r="Q38" s="544" t="s">
        <v>538</v>
      </c>
      <c r="R38" s="544"/>
      <c r="S38" s="544"/>
      <c r="T38" s="544"/>
      <c r="U38" s="544"/>
      <c r="V38" s="544"/>
      <c r="W38" s="544"/>
      <c r="X38" s="544"/>
    </row>
    <row r="39" spans="2:24" ht="92.25" customHeight="1" x14ac:dyDescent="0.25">
      <c r="C39" s="224"/>
      <c r="D39" s="210" t="s">
        <v>518</v>
      </c>
      <c r="E39" s="525" t="s">
        <v>539</v>
      </c>
      <c r="F39" s="525"/>
      <c r="G39" s="525"/>
      <c r="H39" s="525"/>
      <c r="I39" s="525" t="s">
        <v>540</v>
      </c>
      <c r="J39" s="545"/>
      <c r="K39" s="545"/>
      <c r="L39" s="545"/>
      <c r="M39" s="546" t="s">
        <v>541</v>
      </c>
      <c r="N39" s="547"/>
      <c r="O39" s="547"/>
      <c r="P39" s="547"/>
    </row>
    <row r="40" spans="2:24" ht="92.25" customHeight="1" x14ac:dyDescent="0.25">
      <c r="C40" s="224"/>
      <c r="D40" s="210" t="s">
        <v>521</v>
      </c>
      <c r="E40" s="548" t="s">
        <v>415</v>
      </c>
      <c r="F40" s="548"/>
      <c r="G40" s="548"/>
      <c r="H40" s="548"/>
      <c r="I40" s="525" t="s">
        <v>542</v>
      </c>
      <c r="J40" s="545"/>
      <c r="K40" s="545"/>
      <c r="L40" s="545"/>
      <c r="M40" s="548" t="s">
        <v>415</v>
      </c>
      <c r="N40" s="548"/>
      <c r="O40" s="548"/>
      <c r="P40" s="548"/>
    </row>
    <row r="41" spans="2:24" ht="92.25" customHeight="1" x14ac:dyDescent="0.25">
      <c r="C41" s="224"/>
      <c r="D41" s="210" t="s">
        <v>523</v>
      </c>
      <c r="E41" s="548" t="s">
        <v>415</v>
      </c>
      <c r="F41" s="548"/>
      <c r="G41" s="548"/>
      <c r="H41" s="548"/>
      <c r="I41" s="525" t="s">
        <v>543</v>
      </c>
      <c r="J41" s="545"/>
      <c r="K41" s="545"/>
      <c r="L41" s="545"/>
      <c r="M41" s="548" t="s">
        <v>415</v>
      </c>
      <c r="N41" s="550"/>
      <c r="O41" s="550"/>
      <c r="P41" s="550"/>
    </row>
    <row r="42" spans="2:24" x14ac:dyDescent="0.25">
      <c r="C42" s="224"/>
      <c r="D42" s="224"/>
      <c r="E42" s="545"/>
      <c r="F42" s="545"/>
      <c r="G42" s="545"/>
      <c r="H42" s="545"/>
    </row>
    <row r="43" spans="2:24" x14ac:dyDescent="0.25">
      <c r="C43" s="224"/>
      <c r="D43" s="224"/>
      <c r="E43" s="545"/>
      <c r="F43" s="545"/>
      <c r="G43" s="545"/>
      <c r="H43" s="545"/>
    </row>
    <row r="44" spans="2:24" x14ac:dyDescent="0.25">
      <c r="C44" s="224"/>
      <c r="D44" s="224"/>
      <c r="E44" s="545"/>
      <c r="F44" s="545"/>
      <c r="G44" s="545"/>
      <c r="H44" s="545"/>
    </row>
    <row r="45" spans="2:24" x14ac:dyDescent="0.25">
      <c r="C45" s="224"/>
      <c r="D45" s="224"/>
      <c r="E45" s="545"/>
      <c r="F45" s="545"/>
      <c r="G45" s="545"/>
      <c r="H45" s="545"/>
    </row>
    <row r="46" spans="2:24" x14ac:dyDescent="0.25">
      <c r="C46" s="224"/>
      <c r="D46" s="224"/>
      <c r="E46" s="545"/>
      <c r="F46" s="545"/>
      <c r="G46" s="545"/>
      <c r="H46" s="545"/>
    </row>
    <row r="47" spans="2:24" x14ac:dyDescent="0.25">
      <c r="C47" s="224"/>
      <c r="D47" s="224"/>
      <c r="E47" s="545"/>
      <c r="F47" s="545"/>
      <c r="G47" s="545"/>
      <c r="H47" s="545"/>
    </row>
    <row r="48" spans="2:24" x14ac:dyDescent="0.25">
      <c r="C48" s="224"/>
      <c r="D48" s="224"/>
      <c r="E48" s="545"/>
      <c r="F48" s="545"/>
      <c r="G48" s="545"/>
      <c r="H48" s="545"/>
    </row>
    <row r="49" spans="3:8" x14ac:dyDescent="0.25">
      <c r="C49" s="224"/>
      <c r="D49" s="224"/>
      <c r="E49" s="545"/>
      <c r="F49" s="545"/>
      <c r="G49" s="545"/>
      <c r="H49" s="545"/>
    </row>
    <row r="50" spans="3:8" x14ac:dyDescent="0.25">
      <c r="C50" s="224"/>
      <c r="D50" s="224"/>
      <c r="E50" s="545"/>
      <c r="F50" s="545"/>
      <c r="G50" s="545"/>
      <c r="H50" s="545"/>
    </row>
    <row r="51" spans="3:8" x14ac:dyDescent="0.25">
      <c r="C51" s="224"/>
      <c r="D51" s="224"/>
      <c r="E51" s="545"/>
      <c r="F51" s="545"/>
      <c r="G51" s="545"/>
      <c r="H51" s="545"/>
    </row>
    <row r="52" spans="3:8" x14ac:dyDescent="0.25">
      <c r="C52" s="224"/>
      <c r="D52" s="224"/>
      <c r="E52" s="545"/>
      <c r="F52" s="545"/>
      <c r="G52" s="545"/>
      <c r="H52" s="545"/>
    </row>
    <row r="53" spans="3:8" x14ac:dyDescent="0.25">
      <c r="C53" s="224"/>
      <c r="D53" s="224"/>
      <c r="E53" s="545"/>
      <c r="F53" s="545"/>
      <c r="G53" s="545"/>
      <c r="H53" s="545"/>
    </row>
    <row r="54" spans="3:8" x14ac:dyDescent="0.25">
      <c r="C54" s="224"/>
      <c r="D54" s="224"/>
      <c r="E54" s="545"/>
      <c r="F54" s="545"/>
      <c r="G54" s="545"/>
      <c r="H54" s="545"/>
    </row>
    <row r="55" spans="3:8" x14ac:dyDescent="0.25">
      <c r="C55" s="224"/>
      <c r="D55" s="224"/>
      <c r="E55" s="545"/>
      <c r="F55" s="545"/>
      <c r="G55" s="545"/>
      <c r="H55" s="545"/>
    </row>
    <row r="56" spans="3:8" x14ac:dyDescent="0.25">
      <c r="C56" s="224"/>
      <c r="D56" s="224"/>
      <c r="E56" s="545"/>
      <c r="F56" s="545"/>
      <c r="G56" s="545"/>
      <c r="H56" s="545"/>
    </row>
    <row r="57" spans="3:8" x14ac:dyDescent="0.25">
      <c r="C57" s="224"/>
      <c r="D57" s="224"/>
      <c r="E57" s="545"/>
      <c r="F57" s="545"/>
      <c r="G57" s="545"/>
      <c r="H57" s="545"/>
    </row>
    <row r="58" spans="3:8" x14ac:dyDescent="0.25">
      <c r="C58" s="224"/>
      <c r="D58" s="224"/>
      <c r="E58" s="545"/>
      <c r="F58" s="545"/>
      <c r="G58" s="545"/>
      <c r="H58" s="545"/>
    </row>
    <row r="59" spans="3:8" x14ac:dyDescent="0.25">
      <c r="C59" s="224"/>
      <c r="D59" s="224"/>
      <c r="E59" s="545"/>
      <c r="F59" s="545"/>
      <c r="G59" s="545"/>
      <c r="H59" s="545"/>
    </row>
    <row r="60" spans="3:8" x14ac:dyDescent="0.25">
      <c r="C60" s="224"/>
      <c r="D60" s="224"/>
      <c r="E60" s="545"/>
      <c r="F60" s="545"/>
      <c r="G60" s="545"/>
      <c r="H60" s="545"/>
    </row>
    <row r="61" spans="3:8" x14ac:dyDescent="0.25">
      <c r="C61" s="224"/>
      <c r="D61" s="224"/>
      <c r="E61" s="545"/>
      <c r="F61" s="545"/>
      <c r="G61" s="545"/>
      <c r="H61" s="545"/>
    </row>
    <row r="62" spans="3:8" x14ac:dyDescent="0.25">
      <c r="C62" s="224"/>
      <c r="D62" s="224"/>
      <c r="E62" s="545"/>
      <c r="F62" s="545"/>
      <c r="G62" s="545"/>
      <c r="H62" s="545"/>
    </row>
    <row r="63" spans="3:8" x14ac:dyDescent="0.25">
      <c r="C63" s="224"/>
      <c r="D63" s="224"/>
      <c r="E63" s="545"/>
      <c r="F63" s="545"/>
      <c r="G63" s="545"/>
      <c r="H63" s="545"/>
    </row>
    <row r="64" spans="3:8" x14ac:dyDescent="0.25">
      <c r="C64" s="224"/>
      <c r="D64" s="224"/>
      <c r="E64" s="545"/>
      <c r="F64" s="545"/>
      <c r="G64" s="545"/>
      <c r="H64" s="545"/>
    </row>
    <row r="65" spans="3:8" x14ac:dyDescent="0.25">
      <c r="C65" s="224"/>
      <c r="D65" s="224"/>
      <c r="E65" s="545"/>
      <c r="F65" s="545"/>
      <c r="G65" s="545"/>
      <c r="H65" s="545"/>
    </row>
    <row r="66" spans="3:8" x14ac:dyDescent="0.25">
      <c r="C66" s="224"/>
      <c r="D66" s="224"/>
      <c r="E66" s="545"/>
      <c r="F66" s="545"/>
      <c r="G66" s="545"/>
      <c r="H66" s="545"/>
    </row>
    <row r="67" spans="3:8" x14ac:dyDescent="0.25">
      <c r="C67" s="224"/>
      <c r="D67" s="224"/>
      <c r="E67" s="545"/>
      <c r="F67" s="545"/>
      <c r="G67" s="545"/>
      <c r="H67" s="545"/>
    </row>
    <row r="68" spans="3:8" x14ac:dyDescent="0.25">
      <c r="C68" s="224"/>
      <c r="D68" s="224"/>
      <c r="E68" s="545"/>
      <c r="F68" s="545"/>
      <c r="G68" s="545"/>
      <c r="H68" s="545"/>
    </row>
    <row r="69" spans="3:8" x14ac:dyDescent="0.25">
      <c r="C69" s="224"/>
      <c r="D69" s="224"/>
      <c r="E69" s="545"/>
      <c r="F69" s="545"/>
      <c r="G69" s="545"/>
      <c r="H69" s="545"/>
    </row>
    <row r="70" spans="3:8" x14ac:dyDescent="0.25">
      <c r="C70" s="224"/>
      <c r="D70" s="224"/>
      <c r="E70" s="545"/>
      <c r="F70" s="545"/>
      <c r="G70" s="545"/>
      <c r="H70" s="545"/>
    </row>
    <row r="71" spans="3:8" x14ac:dyDescent="0.25">
      <c r="C71" s="224"/>
      <c r="D71" s="224"/>
      <c r="E71" s="545"/>
      <c r="F71" s="545"/>
      <c r="G71" s="545"/>
      <c r="H71" s="545"/>
    </row>
    <row r="72" spans="3:8" x14ac:dyDescent="0.25">
      <c r="C72" s="224"/>
      <c r="D72" s="224"/>
      <c r="E72" s="545"/>
      <c r="F72" s="545"/>
      <c r="G72" s="545"/>
      <c r="H72" s="545"/>
    </row>
    <row r="73" spans="3:8" x14ac:dyDescent="0.25">
      <c r="C73" s="224"/>
      <c r="D73" s="224"/>
      <c r="E73" s="545"/>
      <c r="F73" s="545"/>
      <c r="G73" s="545"/>
      <c r="H73" s="545"/>
    </row>
    <row r="74" spans="3:8" x14ac:dyDescent="0.25">
      <c r="C74" s="224"/>
      <c r="D74" s="224"/>
      <c r="E74" s="545"/>
      <c r="F74" s="545"/>
      <c r="G74" s="545"/>
      <c r="H74" s="545"/>
    </row>
    <row r="75" spans="3:8" x14ac:dyDescent="0.25">
      <c r="C75" s="224"/>
      <c r="D75" s="224"/>
      <c r="E75" s="545"/>
      <c r="F75" s="545"/>
      <c r="G75" s="545"/>
      <c r="H75" s="545"/>
    </row>
    <row r="76" spans="3:8" x14ac:dyDescent="0.25">
      <c r="C76" s="224"/>
      <c r="D76" s="224"/>
      <c r="E76" s="545"/>
      <c r="F76" s="545"/>
      <c r="G76" s="545"/>
      <c r="H76" s="545"/>
    </row>
    <row r="77" spans="3:8" x14ac:dyDescent="0.25">
      <c r="C77" s="224"/>
      <c r="D77" s="224"/>
      <c r="E77" s="545"/>
      <c r="F77" s="545"/>
      <c r="G77" s="545"/>
      <c r="H77" s="545"/>
    </row>
    <row r="78" spans="3:8" x14ac:dyDescent="0.25">
      <c r="C78" s="224"/>
      <c r="D78" s="224"/>
      <c r="E78" s="545"/>
      <c r="F78" s="545"/>
      <c r="G78" s="545"/>
      <c r="H78" s="545"/>
    </row>
    <row r="79" spans="3:8" x14ac:dyDescent="0.25">
      <c r="C79" s="224"/>
      <c r="D79" s="224"/>
      <c r="E79" s="545"/>
      <c r="F79" s="545"/>
      <c r="G79" s="545"/>
      <c r="H79" s="545"/>
    </row>
    <row r="80" spans="3:8" x14ac:dyDescent="0.25">
      <c r="C80" s="224"/>
      <c r="D80" s="224"/>
      <c r="E80" s="545"/>
      <c r="F80" s="545"/>
      <c r="G80" s="545"/>
      <c r="H80" s="545"/>
    </row>
    <row r="81" spans="3:8" x14ac:dyDescent="0.25">
      <c r="C81" s="224"/>
      <c r="D81" s="224"/>
      <c r="E81" s="545"/>
      <c r="F81" s="545"/>
      <c r="G81" s="545"/>
      <c r="H81" s="545"/>
    </row>
    <row r="82" spans="3:8" x14ac:dyDescent="0.25">
      <c r="C82" s="224"/>
      <c r="D82" s="224"/>
      <c r="E82" s="545"/>
      <c r="F82" s="545"/>
      <c r="G82" s="545"/>
      <c r="H82" s="545"/>
    </row>
    <row r="83" spans="3:8" x14ac:dyDescent="0.25">
      <c r="C83" s="224"/>
      <c r="D83" s="224"/>
      <c r="E83" s="545"/>
      <c r="F83" s="545"/>
      <c r="G83" s="545"/>
      <c r="H83" s="545"/>
    </row>
    <row r="84" spans="3:8" x14ac:dyDescent="0.25">
      <c r="C84" s="224"/>
      <c r="D84" s="224"/>
      <c r="E84" s="545"/>
      <c r="F84" s="545"/>
      <c r="G84" s="545"/>
      <c r="H84" s="545"/>
    </row>
    <row r="85" spans="3:8" x14ac:dyDescent="0.25">
      <c r="C85" s="224"/>
      <c r="D85" s="224"/>
      <c r="E85" s="545"/>
      <c r="F85" s="545"/>
      <c r="G85" s="545"/>
      <c r="H85" s="545"/>
    </row>
    <row r="86" spans="3:8" x14ac:dyDescent="0.25">
      <c r="C86" s="224"/>
      <c r="D86" s="224"/>
      <c r="E86" s="224"/>
    </row>
    <row r="87" spans="3:8" x14ac:dyDescent="0.25">
      <c r="C87" s="224"/>
      <c r="D87" s="224"/>
      <c r="E87" s="224"/>
    </row>
    <row r="88" spans="3:8" x14ac:dyDescent="0.25">
      <c r="C88" s="224"/>
      <c r="D88" s="224"/>
      <c r="E88" s="224"/>
    </row>
    <row r="89" spans="3:8" x14ac:dyDescent="0.25">
      <c r="C89" s="224"/>
      <c r="D89" s="224"/>
      <c r="E89" s="224"/>
    </row>
    <row r="90" spans="3:8" x14ac:dyDescent="0.25">
      <c r="C90" s="224"/>
      <c r="D90" s="224"/>
      <c r="E90" s="224"/>
    </row>
    <row r="91" spans="3:8" x14ac:dyDescent="0.25">
      <c r="C91" s="224"/>
      <c r="D91" s="224"/>
      <c r="E91" s="224"/>
    </row>
    <row r="92" spans="3:8" x14ac:dyDescent="0.25">
      <c r="C92" s="224"/>
      <c r="D92" s="224"/>
      <c r="E92" s="224"/>
    </row>
    <row r="93" spans="3:8" x14ac:dyDescent="0.25">
      <c r="C93" s="224"/>
      <c r="D93" s="224"/>
      <c r="E93" s="224"/>
    </row>
    <row r="94" spans="3:8" x14ac:dyDescent="0.25">
      <c r="C94" s="224"/>
      <c r="D94" s="224"/>
      <c r="E94" s="224"/>
    </row>
    <row r="95" spans="3:8" x14ac:dyDescent="0.25">
      <c r="C95" s="224"/>
      <c r="D95" s="224"/>
      <c r="E95" s="224"/>
    </row>
    <row r="96" spans="3:8" x14ac:dyDescent="0.25">
      <c r="C96" s="224"/>
      <c r="D96" s="224"/>
      <c r="E96" s="224"/>
    </row>
    <row r="97" spans="3:5" x14ac:dyDescent="0.25">
      <c r="C97" s="224"/>
      <c r="D97" s="224"/>
      <c r="E97" s="224"/>
    </row>
    <row r="98" spans="3:5" x14ac:dyDescent="0.25">
      <c r="C98" s="224"/>
      <c r="D98" s="224"/>
      <c r="E98" s="224"/>
    </row>
    <row r="99" spans="3:5" x14ac:dyDescent="0.25">
      <c r="C99" s="224"/>
      <c r="D99" s="224"/>
      <c r="E99" s="224"/>
    </row>
    <row r="100" spans="3:5" x14ac:dyDescent="0.25">
      <c r="C100" s="224"/>
      <c r="D100" s="224"/>
      <c r="E100" s="224"/>
    </row>
    <row r="101" spans="3:5" x14ac:dyDescent="0.25">
      <c r="C101" s="224"/>
      <c r="D101" s="224"/>
      <c r="E101" s="224"/>
    </row>
    <row r="102" spans="3:5" x14ac:dyDescent="0.25">
      <c r="C102" s="224"/>
      <c r="D102" s="224"/>
      <c r="E102" s="224"/>
    </row>
    <row r="103" spans="3:5" x14ac:dyDescent="0.25">
      <c r="C103" s="224"/>
      <c r="D103" s="224"/>
      <c r="E103" s="224"/>
    </row>
    <row r="104" spans="3:5" x14ac:dyDescent="0.25">
      <c r="C104" s="224"/>
      <c r="D104" s="224"/>
      <c r="E104" s="224"/>
    </row>
    <row r="105" spans="3:5" x14ac:dyDescent="0.25">
      <c r="C105" s="224"/>
      <c r="D105" s="224"/>
      <c r="E105" s="224"/>
    </row>
    <row r="106" spans="3:5" x14ac:dyDescent="0.25">
      <c r="C106" s="224"/>
      <c r="D106" s="224"/>
      <c r="E106" s="224"/>
    </row>
    <row r="107" spans="3:5" x14ac:dyDescent="0.25">
      <c r="C107" s="224"/>
      <c r="D107" s="224"/>
      <c r="E107" s="224"/>
    </row>
    <row r="108" spans="3:5" x14ac:dyDescent="0.25">
      <c r="C108" s="224"/>
      <c r="D108" s="224"/>
      <c r="E108" s="224"/>
    </row>
    <row r="109" spans="3:5" x14ac:dyDescent="0.25">
      <c r="C109" s="224"/>
      <c r="D109" s="224"/>
      <c r="E109" s="224"/>
    </row>
    <row r="110" spans="3:5" x14ac:dyDescent="0.25">
      <c r="C110" s="224"/>
      <c r="D110" s="224"/>
      <c r="E110" s="224"/>
    </row>
    <row r="111" spans="3:5" x14ac:dyDescent="0.25">
      <c r="C111" s="224"/>
      <c r="D111" s="224"/>
      <c r="E111" s="224"/>
    </row>
    <row r="112" spans="3:5" x14ac:dyDescent="0.25">
      <c r="C112" s="224"/>
      <c r="D112" s="224"/>
      <c r="E112" s="224"/>
    </row>
    <row r="113" spans="3:5" x14ac:dyDescent="0.25">
      <c r="C113" s="224"/>
      <c r="D113" s="224"/>
      <c r="E113" s="224"/>
    </row>
    <row r="114" spans="3:5" x14ac:dyDescent="0.25">
      <c r="C114" s="224"/>
      <c r="D114" s="224"/>
      <c r="E114" s="224"/>
    </row>
    <row r="115" spans="3:5" x14ac:dyDescent="0.25">
      <c r="C115" s="224"/>
      <c r="D115" s="224"/>
      <c r="E115" s="224"/>
    </row>
    <row r="116" spans="3:5" x14ac:dyDescent="0.25">
      <c r="C116" s="224"/>
      <c r="D116" s="224"/>
      <c r="E116" s="224"/>
    </row>
    <row r="117" spans="3:5" x14ac:dyDescent="0.25">
      <c r="C117" s="224"/>
      <c r="D117" s="224"/>
      <c r="E117" s="224"/>
    </row>
    <row r="118" spans="3:5" x14ac:dyDescent="0.25">
      <c r="C118" s="224"/>
      <c r="D118" s="224"/>
      <c r="E118" s="224"/>
    </row>
    <row r="119" spans="3:5" x14ac:dyDescent="0.25">
      <c r="C119" s="224"/>
      <c r="D119" s="224"/>
      <c r="E119" s="224"/>
    </row>
    <row r="120" spans="3:5" x14ac:dyDescent="0.25">
      <c r="C120" s="224"/>
      <c r="D120" s="224"/>
      <c r="E120" s="224"/>
    </row>
    <row r="121" spans="3:5" x14ac:dyDescent="0.25">
      <c r="C121" s="224"/>
      <c r="D121" s="224"/>
      <c r="E121" s="224"/>
    </row>
    <row r="122" spans="3:5" x14ac:dyDescent="0.25">
      <c r="C122" s="224"/>
      <c r="D122" s="224"/>
      <c r="E122" s="224"/>
    </row>
    <row r="123" spans="3:5" x14ac:dyDescent="0.25">
      <c r="C123" s="224"/>
      <c r="D123" s="224"/>
      <c r="E123" s="224"/>
    </row>
    <row r="124" spans="3:5" x14ac:dyDescent="0.25">
      <c r="C124" s="224"/>
      <c r="D124" s="224"/>
      <c r="E124" s="224"/>
    </row>
    <row r="125" spans="3:5" x14ac:dyDescent="0.25">
      <c r="C125" s="224"/>
      <c r="D125" s="224"/>
      <c r="E125" s="224"/>
    </row>
    <row r="126" spans="3:5" x14ac:dyDescent="0.25">
      <c r="C126" s="224"/>
      <c r="D126" s="224"/>
      <c r="E126" s="224"/>
    </row>
    <row r="127" spans="3:5" x14ac:dyDescent="0.25">
      <c r="C127" s="224"/>
      <c r="D127" s="224"/>
      <c r="E127" s="224"/>
    </row>
    <row r="128" spans="3:5" x14ac:dyDescent="0.25">
      <c r="C128" s="224"/>
      <c r="D128" s="224"/>
      <c r="E128" s="224"/>
    </row>
    <row r="129" spans="3:5" x14ac:dyDescent="0.25">
      <c r="C129" s="224"/>
      <c r="D129" s="224"/>
      <c r="E129" s="224"/>
    </row>
    <row r="130" spans="3:5" x14ac:dyDescent="0.25">
      <c r="C130" s="224"/>
      <c r="D130" s="224"/>
      <c r="E130" s="224"/>
    </row>
    <row r="131" spans="3:5" x14ac:dyDescent="0.25">
      <c r="C131" s="224"/>
      <c r="D131" s="224"/>
      <c r="E131" s="224"/>
    </row>
    <row r="132" spans="3:5" x14ac:dyDescent="0.25">
      <c r="C132" s="224"/>
      <c r="D132" s="224"/>
      <c r="E132" s="224"/>
    </row>
    <row r="133" spans="3:5" x14ac:dyDescent="0.25">
      <c r="C133" s="224"/>
      <c r="D133" s="224"/>
      <c r="E133" s="224"/>
    </row>
    <row r="134" spans="3:5" x14ac:dyDescent="0.25">
      <c r="C134" s="224"/>
      <c r="D134" s="224"/>
      <c r="E134" s="224"/>
    </row>
    <row r="135" spans="3:5" x14ac:dyDescent="0.25">
      <c r="C135" s="224"/>
      <c r="D135" s="224"/>
      <c r="E135" s="224"/>
    </row>
    <row r="136" spans="3:5" x14ac:dyDescent="0.25">
      <c r="C136" s="224"/>
      <c r="D136" s="224"/>
      <c r="E136" s="224"/>
    </row>
    <row r="137" spans="3:5" x14ac:dyDescent="0.25">
      <c r="C137" s="224"/>
      <c r="D137" s="224"/>
      <c r="E137" s="224"/>
    </row>
    <row r="138" spans="3:5" x14ac:dyDescent="0.25">
      <c r="C138" s="224"/>
      <c r="D138" s="224"/>
      <c r="E138" s="224"/>
    </row>
    <row r="139" spans="3:5" x14ac:dyDescent="0.25">
      <c r="C139" s="224"/>
      <c r="D139" s="224"/>
      <c r="E139" s="224"/>
    </row>
    <row r="140" spans="3:5" x14ac:dyDescent="0.25">
      <c r="C140" s="224"/>
      <c r="D140" s="224"/>
      <c r="E140" s="224"/>
    </row>
    <row r="141" spans="3:5" x14ac:dyDescent="0.25">
      <c r="C141" s="224"/>
      <c r="D141" s="224"/>
      <c r="E141" s="224"/>
    </row>
    <row r="142" spans="3:5" x14ac:dyDescent="0.25">
      <c r="C142" s="224"/>
      <c r="D142" s="224"/>
      <c r="E142" s="224"/>
    </row>
    <row r="143" spans="3:5" x14ac:dyDescent="0.25">
      <c r="C143" s="224"/>
      <c r="D143" s="224"/>
      <c r="E143" s="224"/>
    </row>
    <row r="144" spans="3:5" x14ac:dyDescent="0.25">
      <c r="C144" s="224"/>
      <c r="D144" s="224"/>
      <c r="E144" s="224"/>
    </row>
    <row r="145" spans="3:5" x14ac:dyDescent="0.25">
      <c r="C145" s="224"/>
      <c r="D145" s="224"/>
      <c r="E145" s="224"/>
    </row>
    <row r="146" spans="3:5" x14ac:dyDescent="0.25">
      <c r="C146" s="224"/>
      <c r="D146" s="224"/>
      <c r="E146" s="224"/>
    </row>
    <row r="147" spans="3:5" x14ac:dyDescent="0.25">
      <c r="C147" s="224"/>
      <c r="D147" s="224"/>
      <c r="E147" s="224"/>
    </row>
    <row r="148" spans="3:5" x14ac:dyDescent="0.25">
      <c r="C148" s="224"/>
      <c r="D148" s="224"/>
      <c r="E148" s="224"/>
    </row>
    <row r="149" spans="3:5" x14ac:dyDescent="0.25">
      <c r="C149" s="224"/>
      <c r="D149" s="224"/>
      <c r="E149" s="224"/>
    </row>
    <row r="150" spans="3:5" x14ac:dyDescent="0.25">
      <c r="C150" s="224"/>
      <c r="D150" s="224"/>
      <c r="E150" s="224"/>
    </row>
    <row r="151" spans="3:5" x14ac:dyDescent="0.25">
      <c r="C151" s="224"/>
      <c r="D151" s="224"/>
      <c r="E151" s="224"/>
    </row>
    <row r="152" spans="3:5" x14ac:dyDescent="0.25">
      <c r="C152" s="224"/>
      <c r="D152" s="224"/>
      <c r="E152" s="224"/>
    </row>
    <row r="153" spans="3:5" x14ac:dyDescent="0.25">
      <c r="C153" s="224"/>
      <c r="D153" s="224"/>
      <c r="E153" s="224"/>
    </row>
    <row r="154" spans="3:5" x14ac:dyDescent="0.25">
      <c r="C154" s="224"/>
      <c r="D154" s="224"/>
      <c r="E154" s="224"/>
    </row>
    <row r="155" spans="3:5" x14ac:dyDescent="0.25">
      <c r="C155" s="224"/>
      <c r="D155" s="224"/>
      <c r="E155" s="224"/>
    </row>
    <row r="156" spans="3:5" x14ac:dyDescent="0.25">
      <c r="C156" s="224"/>
      <c r="D156" s="224"/>
      <c r="E156" s="224"/>
    </row>
    <row r="157" spans="3:5" x14ac:dyDescent="0.25">
      <c r="C157" s="224"/>
      <c r="D157" s="224"/>
      <c r="E157" s="224"/>
    </row>
    <row r="158" spans="3:5" x14ac:dyDescent="0.25">
      <c r="C158" s="224"/>
      <c r="D158" s="224"/>
      <c r="E158" s="224"/>
    </row>
    <row r="159" spans="3:5" x14ac:dyDescent="0.25">
      <c r="C159" s="224"/>
      <c r="D159" s="224"/>
      <c r="E159" s="224"/>
    </row>
    <row r="160" spans="3:5" x14ac:dyDescent="0.25">
      <c r="C160" s="224"/>
      <c r="D160" s="224"/>
      <c r="E160" s="224"/>
    </row>
    <row r="161" spans="3:5" x14ac:dyDescent="0.25">
      <c r="C161" s="224"/>
      <c r="D161" s="224"/>
      <c r="E161" s="224"/>
    </row>
    <row r="162" spans="3:5" x14ac:dyDescent="0.25">
      <c r="C162" s="224"/>
      <c r="D162" s="224"/>
      <c r="E162" s="224"/>
    </row>
    <row r="163" spans="3:5" x14ac:dyDescent="0.25">
      <c r="C163" s="224"/>
      <c r="D163" s="224"/>
      <c r="E163" s="224"/>
    </row>
    <row r="164" spans="3:5" x14ac:dyDescent="0.25">
      <c r="C164" s="224"/>
      <c r="D164" s="224"/>
      <c r="E164" s="224"/>
    </row>
    <row r="165" spans="3:5" x14ac:dyDescent="0.25">
      <c r="C165" s="224"/>
      <c r="D165" s="224"/>
      <c r="E165" s="224"/>
    </row>
    <row r="166" spans="3:5" x14ac:dyDescent="0.25">
      <c r="C166" s="224"/>
      <c r="D166" s="224"/>
      <c r="E166" s="224"/>
    </row>
    <row r="167" spans="3:5" x14ac:dyDescent="0.25">
      <c r="C167" s="224"/>
      <c r="D167" s="224"/>
      <c r="E167" s="224"/>
    </row>
    <row r="168" spans="3:5" x14ac:dyDescent="0.25">
      <c r="C168" s="224"/>
      <c r="D168" s="224"/>
      <c r="E168" s="224"/>
    </row>
    <row r="169" spans="3:5" x14ac:dyDescent="0.25">
      <c r="C169" s="224"/>
      <c r="D169" s="224"/>
      <c r="E169" s="224"/>
    </row>
    <row r="170" spans="3:5" x14ac:dyDescent="0.25">
      <c r="C170" s="224"/>
      <c r="D170" s="224"/>
      <c r="E170" s="224"/>
    </row>
    <row r="171" spans="3:5" x14ac:dyDescent="0.25">
      <c r="C171" s="224"/>
      <c r="D171" s="224"/>
      <c r="E171" s="224"/>
    </row>
    <row r="172" spans="3:5" x14ac:dyDescent="0.25">
      <c r="C172" s="224"/>
      <c r="D172" s="224"/>
      <c r="E172" s="224"/>
    </row>
    <row r="173" spans="3:5" x14ac:dyDescent="0.25">
      <c r="C173" s="224"/>
      <c r="D173" s="224"/>
      <c r="E173" s="224"/>
    </row>
    <row r="174" spans="3:5" x14ac:dyDescent="0.25">
      <c r="C174" s="224"/>
      <c r="D174" s="224"/>
      <c r="E174" s="224"/>
    </row>
    <row r="175" spans="3:5" x14ac:dyDescent="0.25">
      <c r="C175" s="224"/>
      <c r="D175" s="224"/>
      <c r="E175" s="224"/>
    </row>
    <row r="176" spans="3:5" x14ac:dyDescent="0.25">
      <c r="C176" s="224"/>
      <c r="D176" s="224"/>
      <c r="E176" s="224"/>
    </row>
    <row r="177" spans="3:5" x14ac:dyDescent="0.25">
      <c r="C177" s="224"/>
      <c r="D177" s="224"/>
      <c r="E177" s="224"/>
    </row>
    <row r="178" spans="3:5" x14ac:dyDescent="0.25">
      <c r="C178" s="224"/>
      <c r="D178" s="224"/>
      <c r="E178" s="224"/>
    </row>
    <row r="179" spans="3:5" x14ac:dyDescent="0.25">
      <c r="C179" s="224"/>
      <c r="D179" s="224"/>
      <c r="E179" s="224"/>
    </row>
    <row r="180" spans="3:5" x14ac:dyDescent="0.25">
      <c r="C180" s="224"/>
      <c r="D180" s="224"/>
      <c r="E180" s="224"/>
    </row>
    <row r="181" spans="3:5" x14ac:dyDescent="0.25">
      <c r="C181" s="224"/>
      <c r="D181" s="224"/>
      <c r="E181" s="224"/>
    </row>
    <row r="182" spans="3:5" x14ac:dyDescent="0.25">
      <c r="C182" s="224"/>
      <c r="D182" s="224"/>
      <c r="E182" s="224"/>
    </row>
    <row r="183" spans="3:5" x14ac:dyDescent="0.25">
      <c r="C183" s="224"/>
      <c r="D183" s="224"/>
      <c r="E183" s="224"/>
    </row>
    <row r="184" spans="3:5" x14ac:dyDescent="0.25">
      <c r="C184" s="224"/>
      <c r="D184" s="224"/>
      <c r="E184" s="224"/>
    </row>
    <row r="185" spans="3:5" x14ac:dyDescent="0.25">
      <c r="C185" s="224"/>
      <c r="D185" s="224"/>
      <c r="E185" s="224"/>
    </row>
    <row r="186" spans="3:5" x14ac:dyDescent="0.25">
      <c r="C186" s="224"/>
      <c r="D186" s="224"/>
      <c r="E186" s="224"/>
    </row>
    <row r="187" spans="3:5" x14ac:dyDescent="0.25">
      <c r="C187" s="224"/>
      <c r="D187" s="224"/>
      <c r="E187" s="224"/>
    </row>
    <row r="188" spans="3:5" x14ac:dyDescent="0.25">
      <c r="C188" s="224"/>
      <c r="D188" s="224"/>
      <c r="E188" s="224"/>
    </row>
    <row r="189" spans="3:5" x14ac:dyDescent="0.25">
      <c r="C189" s="224"/>
      <c r="D189" s="224"/>
      <c r="E189" s="224"/>
    </row>
    <row r="190" spans="3:5" x14ac:dyDescent="0.25">
      <c r="C190" s="224"/>
      <c r="D190" s="224"/>
      <c r="E190" s="224"/>
    </row>
    <row r="191" spans="3:5" x14ac:dyDescent="0.25">
      <c r="C191" s="224"/>
      <c r="D191" s="224"/>
      <c r="E191" s="224"/>
    </row>
    <row r="192" spans="3:5" x14ac:dyDescent="0.25">
      <c r="C192" s="224"/>
      <c r="D192" s="224"/>
      <c r="E192" s="224"/>
    </row>
    <row r="193" spans="3:5" x14ac:dyDescent="0.25">
      <c r="C193" s="224"/>
      <c r="D193" s="224"/>
      <c r="E193" s="224"/>
    </row>
    <row r="194" spans="3:5" x14ac:dyDescent="0.25">
      <c r="C194" s="224"/>
      <c r="D194" s="224"/>
      <c r="E194" s="224"/>
    </row>
    <row r="195" spans="3:5" x14ac:dyDescent="0.25">
      <c r="C195" s="224"/>
      <c r="D195" s="224"/>
      <c r="E195" s="224"/>
    </row>
    <row r="196" spans="3:5" x14ac:dyDescent="0.25">
      <c r="C196" s="224"/>
      <c r="D196" s="224"/>
      <c r="E196" s="224"/>
    </row>
    <row r="197" spans="3:5" x14ac:dyDescent="0.25">
      <c r="C197" s="224"/>
      <c r="D197" s="224"/>
      <c r="E197" s="224"/>
    </row>
    <row r="198" spans="3:5" x14ac:dyDescent="0.25">
      <c r="C198" s="224"/>
      <c r="D198" s="224"/>
      <c r="E198" s="224"/>
    </row>
    <row r="199" spans="3:5" x14ac:dyDescent="0.25">
      <c r="C199" s="224"/>
      <c r="D199" s="224"/>
      <c r="E199" s="224"/>
    </row>
    <row r="200" spans="3:5" x14ac:dyDescent="0.25">
      <c r="C200" s="224"/>
      <c r="D200" s="224"/>
      <c r="E200" s="224"/>
    </row>
    <row r="201" spans="3:5" x14ac:dyDescent="0.25">
      <c r="C201" s="224"/>
      <c r="D201" s="224"/>
      <c r="E201" s="224"/>
    </row>
    <row r="202" spans="3:5" x14ac:dyDescent="0.25">
      <c r="C202" s="224"/>
      <c r="D202" s="224"/>
      <c r="E202" s="224"/>
    </row>
    <row r="203" spans="3:5" x14ac:dyDescent="0.25">
      <c r="C203" s="224"/>
      <c r="D203" s="224"/>
      <c r="E203" s="224"/>
    </row>
    <row r="204" spans="3:5" x14ac:dyDescent="0.25">
      <c r="C204" s="224"/>
      <c r="D204" s="224"/>
      <c r="E204" s="224"/>
    </row>
    <row r="205" spans="3:5" x14ac:dyDescent="0.25">
      <c r="C205" s="224"/>
      <c r="D205" s="224"/>
      <c r="E205" s="224"/>
    </row>
    <row r="206" spans="3:5" x14ac:dyDescent="0.25">
      <c r="C206" s="224"/>
      <c r="D206" s="224"/>
      <c r="E206" s="224"/>
    </row>
    <row r="207" spans="3:5" x14ac:dyDescent="0.25">
      <c r="C207" s="224"/>
      <c r="D207" s="224"/>
      <c r="E207" s="224"/>
    </row>
    <row r="208" spans="3:5" x14ac:dyDescent="0.25">
      <c r="C208" s="224"/>
      <c r="D208" s="224"/>
      <c r="E208" s="224"/>
    </row>
    <row r="209" spans="3:5" x14ac:dyDescent="0.25">
      <c r="C209" s="224"/>
      <c r="D209" s="224"/>
      <c r="E209" s="224"/>
    </row>
    <row r="210" spans="3:5" x14ac:dyDescent="0.25">
      <c r="C210" s="224"/>
      <c r="D210" s="224"/>
      <c r="E210" s="224"/>
    </row>
    <row r="211" spans="3:5" x14ac:dyDescent="0.25">
      <c r="C211" s="224"/>
      <c r="D211" s="224"/>
      <c r="E211" s="224"/>
    </row>
    <row r="212" spans="3:5" x14ac:dyDescent="0.25">
      <c r="C212" s="224"/>
      <c r="D212" s="224"/>
      <c r="E212" s="224"/>
    </row>
    <row r="213" spans="3:5" x14ac:dyDescent="0.25">
      <c r="C213" s="224"/>
      <c r="D213" s="224"/>
      <c r="E213" s="224"/>
    </row>
    <row r="214" spans="3:5" x14ac:dyDescent="0.25">
      <c r="C214" s="224"/>
      <c r="D214" s="224"/>
      <c r="E214" s="224"/>
    </row>
    <row r="215" spans="3:5" x14ac:dyDescent="0.25">
      <c r="C215" s="224"/>
      <c r="D215" s="224"/>
      <c r="E215" s="224"/>
    </row>
    <row r="216" spans="3:5" x14ac:dyDescent="0.25">
      <c r="C216" s="224"/>
      <c r="D216" s="224"/>
      <c r="E216" s="224"/>
    </row>
    <row r="217" spans="3:5" x14ac:dyDescent="0.25">
      <c r="C217" s="224"/>
      <c r="D217" s="224"/>
      <c r="E217" s="224"/>
    </row>
    <row r="218" spans="3:5" x14ac:dyDescent="0.25">
      <c r="C218" s="224"/>
      <c r="D218" s="224"/>
      <c r="E218" s="224"/>
    </row>
    <row r="219" spans="3:5" x14ac:dyDescent="0.25">
      <c r="C219" s="224"/>
      <c r="D219" s="224"/>
      <c r="E219" s="224"/>
    </row>
    <row r="220" spans="3:5" x14ac:dyDescent="0.25">
      <c r="C220" s="224"/>
      <c r="D220" s="224"/>
      <c r="E220" s="224"/>
    </row>
    <row r="221" spans="3:5" x14ac:dyDescent="0.25">
      <c r="C221" s="224"/>
      <c r="D221" s="224"/>
      <c r="E221" s="224"/>
    </row>
    <row r="222" spans="3:5" x14ac:dyDescent="0.25">
      <c r="C222" s="224"/>
      <c r="D222" s="224"/>
      <c r="E222" s="224"/>
    </row>
    <row r="223" spans="3:5" x14ac:dyDescent="0.25">
      <c r="C223" s="224"/>
      <c r="D223" s="224"/>
      <c r="E223" s="224"/>
    </row>
    <row r="224" spans="3:5" x14ac:dyDescent="0.25">
      <c r="C224" s="224"/>
      <c r="D224" s="224"/>
      <c r="E224" s="224"/>
    </row>
    <row r="225" spans="3:5" x14ac:dyDescent="0.25">
      <c r="C225" s="224"/>
      <c r="D225" s="224"/>
      <c r="E225" s="224"/>
    </row>
    <row r="226" spans="3:5" x14ac:dyDescent="0.25">
      <c r="C226" s="224"/>
      <c r="D226" s="224"/>
      <c r="E226" s="224"/>
    </row>
    <row r="227" spans="3:5" x14ac:dyDescent="0.25">
      <c r="C227" s="224"/>
      <c r="D227" s="224"/>
      <c r="E227" s="224"/>
    </row>
    <row r="228" spans="3:5" x14ac:dyDescent="0.25">
      <c r="C228" s="224"/>
      <c r="D228" s="224"/>
      <c r="E228" s="224"/>
    </row>
    <row r="229" spans="3:5" x14ac:dyDescent="0.25">
      <c r="C229" s="224"/>
      <c r="D229" s="224"/>
      <c r="E229" s="224"/>
    </row>
    <row r="230" spans="3:5" x14ac:dyDescent="0.25">
      <c r="C230" s="224"/>
      <c r="D230" s="224"/>
      <c r="E230" s="224"/>
    </row>
    <row r="231" spans="3:5" x14ac:dyDescent="0.25">
      <c r="C231" s="224"/>
      <c r="D231" s="224"/>
      <c r="E231" s="224"/>
    </row>
    <row r="232" spans="3:5" x14ac:dyDescent="0.25">
      <c r="C232" s="224"/>
      <c r="D232" s="224"/>
      <c r="E232" s="224"/>
    </row>
    <row r="233" spans="3:5" x14ac:dyDescent="0.25">
      <c r="C233" s="224"/>
      <c r="D233" s="224"/>
      <c r="E233" s="224"/>
    </row>
    <row r="234" spans="3:5" x14ac:dyDescent="0.25">
      <c r="C234" s="224"/>
      <c r="D234" s="224"/>
      <c r="E234" s="224"/>
    </row>
    <row r="235" spans="3:5" x14ac:dyDescent="0.25">
      <c r="C235" s="224"/>
      <c r="D235" s="224"/>
      <c r="E235" s="224"/>
    </row>
    <row r="236" spans="3:5" x14ac:dyDescent="0.25">
      <c r="C236" s="224"/>
      <c r="D236" s="224"/>
      <c r="E236" s="224"/>
    </row>
    <row r="237" spans="3:5" x14ac:dyDescent="0.25">
      <c r="C237" s="224"/>
      <c r="D237" s="224"/>
      <c r="E237" s="224"/>
    </row>
    <row r="238" spans="3:5" x14ac:dyDescent="0.25">
      <c r="C238" s="224"/>
      <c r="D238" s="224"/>
      <c r="E238" s="224"/>
    </row>
    <row r="239" spans="3:5" x14ac:dyDescent="0.25">
      <c r="C239" s="224"/>
      <c r="D239" s="224"/>
      <c r="E239" s="224"/>
    </row>
    <row r="240" spans="3:5" x14ac:dyDescent="0.25">
      <c r="C240" s="224"/>
      <c r="D240" s="224"/>
      <c r="E240" s="224"/>
    </row>
    <row r="241" spans="3:5" x14ac:dyDescent="0.25">
      <c r="C241" s="224"/>
      <c r="D241" s="224"/>
      <c r="E241" s="224"/>
    </row>
    <row r="242" spans="3:5" x14ac:dyDescent="0.25">
      <c r="C242" s="224"/>
      <c r="D242" s="224"/>
      <c r="E242" s="224"/>
    </row>
    <row r="243" spans="3:5" x14ac:dyDescent="0.25">
      <c r="C243" s="224"/>
      <c r="D243" s="224"/>
      <c r="E243" s="224"/>
    </row>
    <row r="244" spans="3:5" x14ac:dyDescent="0.25">
      <c r="C244" s="224"/>
      <c r="D244" s="224"/>
      <c r="E244" s="224"/>
    </row>
    <row r="245" spans="3:5" x14ac:dyDescent="0.25">
      <c r="C245" s="224"/>
      <c r="D245" s="224"/>
      <c r="E245" s="224"/>
    </row>
    <row r="246" spans="3:5" x14ac:dyDescent="0.25">
      <c r="C246" s="224"/>
      <c r="D246" s="224"/>
      <c r="E246" s="224"/>
    </row>
    <row r="247" spans="3:5" x14ac:dyDescent="0.25">
      <c r="C247" s="224"/>
      <c r="D247" s="224"/>
      <c r="E247" s="224"/>
    </row>
    <row r="248" spans="3:5" x14ac:dyDescent="0.25">
      <c r="C248" s="224"/>
      <c r="D248" s="224"/>
      <c r="E248" s="224"/>
    </row>
    <row r="249" spans="3:5" x14ac:dyDescent="0.25">
      <c r="C249" s="224"/>
      <c r="D249" s="224"/>
      <c r="E249" s="224"/>
    </row>
    <row r="250" spans="3:5" x14ac:dyDescent="0.25">
      <c r="C250" s="224"/>
      <c r="D250" s="224"/>
      <c r="E250" s="224"/>
    </row>
    <row r="251" spans="3:5" x14ac:dyDescent="0.25">
      <c r="C251" s="224"/>
      <c r="D251" s="224"/>
      <c r="E251" s="224"/>
    </row>
    <row r="252" spans="3:5" x14ac:dyDescent="0.25">
      <c r="C252" s="224"/>
      <c r="D252" s="224"/>
      <c r="E252" s="224"/>
    </row>
    <row r="253" spans="3:5" x14ac:dyDescent="0.25">
      <c r="C253" s="224"/>
      <c r="D253" s="224"/>
      <c r="E253" s="224"/>
    </row>
    <row r="254" spans="3:5" x14ac:dyDescent="0.25">
      <c r="C254" s="224"/>
      <c r="D254" s="224"/>
      <c r="E254" s="224"/>
    </row>
    <row r="255" spans="3:5" x14ac:dyDescent="0.25">
      <c r="C255" s="224"/>
      <c r="D255" s="224"/>
      <c r="E255" s="224"/>
    </row>
    <row r="256" spans="3:5" x14ac:dyDescent="0.25">
      <c r="C256" s="224"/>
      <c r="D256" s="224"/>
      <c r="E256" s="224"/>
    </row>
    <row r="257" spans="3:5" x14ac:dyDescent="0.25">
      <c r="C257" s="224"/>
      <c r="D257" s="224"/>
      <c r="E257" s="224"/>
    </row>
    <row r="258" spans="3:5" x14ac:dyDescent="0.25">
      <c r="C258" s="224"/>
      <c r="D258" s="224"/>
      <c r="E258" s="224"/>
    </row>
    <row r="259" spans="3:5" x14ac:dyDescent="0.25">
      <c r="C259" s="224"/>
      <c r="D259" s="224"/>
      <c r="E259" s="224"/>
    </row>
    <row r="260" spans="3:5" x14ac:dyDescent="0.25">
      <c r="C260" s="224"/>
      <c r="D260" s="224"/>
      <c r="E260" s="224"/>
    </row>
    <row r="261" spans="3:5" x14ac:dyDescent="0.25">
      <c r="C261" s="224"/>
      <c r="D261" s="224"/>
      <c r="E261" s="224"/>
    </row>
    <row r="262" spans="3:5" x14ac:dyDescent="0.25">
      <c r="C262" s="224"/>
      <c r="D262" s="224"/>
      <c r="E262" s="224"/>
    </row>
    <row r="263" spans="3:5" x14ac:dyDescent="0.25">
      <c r="C263" s="224"/>
      <c r="D263" s="224"/>
      <c r="E263" s="224"/>
    </row>
    <row r="264" spans="3:5" x14ac:dyDescent="0.25">
      <c r="C264" s="224"/>
      <c r="D264" s="224"/>
      <c r="E264" s="224"/>
    </row>
    <row r="265" spans="3:5" x14ac:dyDescent="0.25">
      <c r="C265" s="224"/>
      <c r="D265" s="224"/>
      <c r="E265" s="224"/>
    </row>
    <row r="266" spans="3:5" x14ac:dyDescent="0.25">
      <c r="C266" s="224"/>
      <c r="D266" s="224"/>
      <c r="E266" s="224"/>
    </row>
    <row r="267" spans="3:5" x14ac:dyDescent="0.25">
      <c r="C267" s="224"/>
      <c r="D267" s="224"/>
      <c r="E267" s="224"/>
    </row>
    <row r="268" spans="3:5" x14ac:dyDescent="0.25">
      <c r="C268" s="224"/>
      <c r="D268" s="224"/>
      <c r="E268" s="224"/>
    </row>
    <row r="269" spans="3:5" x14ac:dyDescent="0.25">
      <c r="C269" s="224"/>
      <c r="D269" s="224"/>
      <c r="E269" s="224"/>
    </row>
    <row r="270" spans="3:5" x14ac:dyDescent="0.25">
      <c r="C270" s="224"/>
      <c r="D270" s="224"/>
      <c r="E270" s="224"/>
    </row>
    <row r="271" spans="3:5" x14ac:dyDescent="0.25">
      <c r="C271" s="224"/>
      <c r="D271" s="224"/>
      <c r="E271" s="224"/>
    </row>
    <row r="272" spans="3:5" x14ac:dyDescent="0.25">
      <c r="C272" s="224"/>
      <c r="D272" s="224"/>
      <c r="E272" s="224"/>
    </row>
    <row r="273" spans="3:5" x14ac:dyDescent="0.25">
      <c r="C273" s="224"/>
      <c r="D273" s="224"/>
      <c r="E273" s="224"/>
    </row>
    <row r="274" spans="3:5" x14ac:dyDescent="0.25">
      <c r="C274" s="224"/>
      <c r="D274" s="224"/>
      <c r="E274" s="224"/>
    </row>
    <row r="275" spans="3:5" x14ac:dyDescent="0.25">
      <c r="C275" s="224"/>
      <c r="D275" s="224"/>
      <c r="E275" s="224"/>
    </row>
    <row r="276" spans="3:5" x14ac:dyDescent="0.25">
      <c r="C276" s="224"/>
      <c r="D276" s="224"/>
      <c r="E276" s="224"/>
    </row>
    <row r="277" spans="3:5" x14ac:dyDescent="0.25">
      <c r="C277" s="224"/>
      <c r="D277" s="224"/>
      <c r="E277" s="224"/>
    </row>
    <row r="278" spans="3:5" x14ac:dyDescent="0.25">
      <c r="C278" s="224"/>
      <c r="D278" s="224"/>
      <c r="E278" s="224"/>
    </row>
    <row r="279" spans="3:5" x14ac:dyDescent="0.25">
      <c r="C279" s="224"/>
      <c r="D279" s="224"/>
      <c r="E279" s="224"/>
    </row>
    <row r="280" spans="3:5" x14ac:dyDescent="0.25">
      <c r="C280" s="224"/>
      <c r="D280" s="224"/>
      <c r="E280" s="224"/>
    </row>
    <row r="281" spans="3:5" x14ac:dyDescent="0.25">
      <c r="C281" s="224"/>
      <c r="D281" s="224"/>
      <c r="E281" s="224"/>
    </row>
    <row r="282" spans="3:5" x14ac:dyDescent="0.25">
      <c r="C282" s="224"/>
      <c r="D282" s="224"/>
      <c r="E282" s="224"/>
    </row>
    <row r="283" spans="3:5" x14ac:dyDescent="0.25">
      <c r="C283" s="224"/>
      <c r="D283" s="224"/>
      <c r="E283" s="224"/>
    </row>
    <row r="284" spans="3:5" x14ac:dyDescent="0.25">
      <c r="C284" s="224"/>
      <c r="D284" s="224"/>
      <c r="E284" s="224"/>
    </row>
    <row r="285" spans="3:5" x14ac:dyDescent="0.25">
      <c r="C285" s="224"/>
      <c r="D285" s="224"/>
      <c r="E285" s="224"/>
    </row>
    <row r="286" spans="3:5" x14ac:dyDescent="0.25">
      <c r="E286" s="224"/>
    </row>
  </sheetData>
  <mergeCells count="116">
    <mergeCell ref="E81:H81"/>
    <mergeCell ref="E82:H82"/>
    <mergeCell ref="E83:H83"/>
    <mergeCell ref="E84:H84"/>
    <mergeCell ref="E85:H85"/>
    <mergeCell ref="E75:H75"/>
    <mergeCell ref="E76:H76"/>
    <mergeCell ref="E77:H77"/>
    <mergeCell ref="E78:H78"/>
    <mergeCell ref="E79:H79"/>
    <mergeCell ref="E80:H80"/>
    <mergeCell ref="E69:H69"/>
    <mergeCell ref="E70:H70"/>
    <mergeCell ref="E71:H71"/>
    <mergeCell ref="E72:H72"/>
    <mergeCell ref="E73:H73"/>
    <mergeCell ref="E74:H74"/>
    <mergeCell ref="E63:H63"/>
    <mergeCell ref="E64:H64"/>
    <mergeCell ref="E65:H65"/>
    <mergeCell ref="E66:H66"/>
    <mergeCell ref="E67:H67"/>
    <mergeCell ref="E68:H68"/>
    <mergeCell ref="E57:H57"/>
    <mergeCell ref="E58:H58"/>
    <mergeCell ref="E59:H59"/>
    <mergeCell ref="E60:H60"/>
    <mergeCell ref="E61:H61"/>
    <mergeCell ref="E62:H62"/>
    <mergeCell ref="E51:H51"/>
    <mergeCell ref="E52:H52"/>
    <mergeCell ref="E53:H53"/>
    <mergeCell ref="E54:H54"/>
    <mergeCell ref="E55:H55"/>
    <mergeCell ref="E56:H56"/>
    <mergeCell ref="E45:H45"/>
    <mergeCell ref="E46:H46"/>
    <mergeCell ref="E47:H47"/>
    <mergeCell ref="E48:H48"/>
    <mergeCell ref="E49:H49"/>
    <mergeCell ref="E50:H50"/>
    <mergeCell ref="E41:H41"/>
    <mergeCell ref="I41:L41"/>
    <mergeCell ref="M41:P41"/>
    <mergeCell ref="E42:H42"/>
    <mergeCell ref="E43:H43"/>
    <mergeCell ref="E44:H44"/>
    <mergeCell ref="Q38:X38"/>
    <mergeCell ref="E39:H39"/>
    <mergeCell ref="I39:L39"/>
    <mergeCell ref="M39:P39"/>
    <mergeCell ref="E40:H40"/>
    <mergeCell ref="I40:L40"/>
    <mergeCell ref="M40:P40"/>
    <mergeCell ref="B34:D34"/>
    <mergeCell ref="E37:H37"/>
    <mergeCell ref="I37:L37"/>
    <mergeCell ref="M37:P37"/>
    <mergeCell ref="E38:H38"/>
    <mergeCell ref="I38:L38"/>
    <mergeCell ref="M38:P38"/>
    <mergeCell ref="B24:D24"/>
    <mergeCell ref="E24:G28"/>
    <mergeCell ref="T24:V29"/>
    <mergeCell ref="B25:D25"/>
    <mergeCell ref="H25:I25"/>
    <mergeCell ref="B26:D26"/>
    <mergeCell ref="H26:I26"/>
    <mergeCell ref="B27:D27"/>
    <mergeCell ref="H27:I27"/>
    <mergeCell ref="B28:D28"/>
    <mergeCell ref="H28:I28"/>
    <mergeCell ref="B29:D29"/>
    <mergeCell ref="E29:G35"/>
    <mergeCell ref="H29:I29"/>
    <mergeCell ref="N29:N31"/>
    <mergeCell ref="O29:O31"/>
    <mergeCell ref="B30:D30"/>
    <mergeCell ref="B31:D31"/>
    <mergeCell ref="B32:D32"/>
    <mergeCell ref="B33:D33"/>
    <mergeCell ref="T18:V18"/>
    <mergeCell ref="B19:D20"/>
    <mergeCell ref="E19:G23"/>
    <mergeCell ref="N19:S21"/>
    <mergeCell ref="T19:V23"/>
    <mergeCell ref="B21:D21"/>
    <mergeCell ref="B22:D22"/>
    <mergeCell ref="B23:D23"/>
    <mergeCell ref="J12:S12"/>
    <mergeCell ref="B16:E16"/>
    <mergeCell ref="B17:D17"/>
    <mergeCell ref="B18:D18"/>
    <mergeCell ref="E18:G18"/>
    <mergeCell ref="H18:I18"/>
    <mergeCell ref="N18:S18"/>
    <mergeCell ref="K8:S8"/>
    <mergeCell ref="P9:X9"/>
    <mergeCell ref="P10:X10"/>
    <mergeCell ref="N11:S11"/>
    <mergeCell ref="T11:V11"/>
    <mergeCell ref="B4:E4"/>
    <mergeCell ref="F4:H4"/>
    <mergeCell ref="I5:K5"/>
    <mergeCell ref="L5:O5"/>
    <mergeCell ref="P5:S5"/>
    <mergeCell ref="T5:V5"/>
    <mergeCell ref="B1:E1"/>
    <mergeCell ref="F1:G1"/>
    <mergeCell ref="B2:D2"/>
    <mergeCell ref="E2:H2"/>
    <mergeCell ref="O2:V2"/>
    <mergeCell ref="H3:K3"/>
    <mergeCell ref="L3:S3"/>
    <mergeCell ref="B6:H6"/>
    <mergeCell ref="J6:O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G362"/>
  <sheetViews>
    <sheetView tabSelected="1" workbookViewId="0">
      <pane xSplit="2" ySplit="4" topLeftCell="C5" activePane="bottomRight" state="frozen"/>
      <selection activeCell="A5" sqref="A5:XFD363"/>
      <selection pane="topRight" activeCell="A5" sqref="A5:XFD363"/>
      <selection pane="bottomLeft" activeCell="A5" sqref="A5:XFD363"/>
      <selection pane="bottomRight" activeCell="C5" sqref="C5"/>
    </sheetView>
  </sheetViews>
  <sheetFormatPr defaultColWidth="10.25" defaultRowHeight="15.75" outlineLevelCol="1" x14ac:dyDescent="0.25"/>
  <cols>
    <col min="1" max="1" width="3.375" style="7" customWidth="1"/>
    <col min="2" max="2" width="20.625" style="7" customWidth="1"/>
    <col min="3" max="3" width="10.25" style="7"/>
    <col min="4" max="4" width="9.75" style="7" customWidth="1"/>
    <col min="5" max="16" width="10.25" style="7" hidden="1" customWidth="1" outlineLevel="1"/>
    <col min="17" max="17" width="2" style="7" customWidth="1" collapsed="1"/>
    <col min="18" max="29" width="10.25" style="7" hidden="1" customWidth="1" outlineLevel="1"/>
    <col min="30" max="30" width="1.625" style="7" customWidth="1" collapsed="1"/>
    <col min="31" max="42" width="10.25" style="7" hidden="1" customWidth="1" outlineLevel="1"/>
    <col min="43" max="43" width="1.625" style="7" customWidth="1" collapsed="1"/>
    <col min="44" max="48" width="10.25" style="7" customWidth="1" outlineLevel="1"/>
    <col min="49" max="49" width="1.625" style="7" customWidth="1"/>
    <col min="50" max="54" width="10.25" style="7" customWidth="1" outlineLevel="1"/>
    <col min="55" max="55" width="1.625" style="7" customWidth="1"/>
    <col min="56" max="60" width="10.25" style="7" customWidth="1" outlineLevel="1"/>
    <col min="61" max="61" width="9" style="7" customWidth="1"/>
    <col min="62" max="62" width="1.375" style="7" customWidth="1"/>
    <col min="63" max="67" width="10.25" style="7" customWidth="1" outlineLevel="1"/>
    <col min="68" max="69" width="7.125" style="7" customWidth="1" outlineLevel="1"/>
    <col min="70" max="70" width="2" style="7" customWidth="1"/>
    <col min="71" max="75" width="10.25" style="7"/>
    <col min="76" max="76" width="6.375" style="7" customWidth="1"/>
    <col min="77" max="77" width="6.625" style="7" customWidth="1"/>
    <col min="78" max="78" width="2.125" style="7" customWidth="1"/>
    <col min="79" max="79" width="11.25" style="7" customWidth="1"/>
    <col min="80" max="83" width="10.25" style="7"/>
    <col min="84" max="84" width="8.125" style="7" customWidth="1"/>
    <col min="85" max="85" width="7.375" style="7" customWidth="1"/>
    <col min="86" max="86" width="10.25" style="7"/>
    <col min="87" max="87" width="10.5" style="7" bestFit="1" customWidth="1"/>
    <col min="88" max="16384" width="10.25" style="7"/>
  </cols>
  <sheetData>
    <row r="1" spans="1:85" customFormat="1" x14ac:dyDescent="0.25">
      <c r="B1" s="4" t="s">
        <v>36</v>
      </c>
    </row>
    <row r="2" spans="1:85" customFormat="1" x14ac:dyDescent="0.25">
      <c r="B2" s="4" t="s">
        <v>242</v>
      </c>
    </row>
    <row r="3" spans="1:85"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32" t="s">
        <v>12</v>
      </c>
      <c r="AS3" s="432"/>
      <c r="AT3" s="432"/>
      <c r="AU3" s="432"/>
      <c r="AV3" s="432"/>
      <c r="AX3" s="433" t="s">
        <v>13</v>
      </c>
      <c r="AY3" s="433"/>
      <c r="AZ3" s="433"/>
      <c r="BA3" s="433"/>
      <c r="BB3" s="433"/>
      <c r="BD3" s="431" t="s">
        <v>166</v>
      </c>
      <c r="BE3" s="431"/>
      <c r="BF3" s="431"/>
      <c r="BG3" s="431"/>
      <c r="BH3" s="431"/>
      <c r="BI3" s="431"/>
      <c r="BK3" s="435" t="s">
        <v>383</v>
      </c>
      <c r="BL3" s="435"/>
      <c r="BM3" s="435"/>
      <c r="BN3" s="435"/>
      <c r="BO3" s="435"/>
      <c r="BP3" s="422" t="s">
        <v>385</v>
      </c>
      <c r="BQ3" s="424"/>
      <c r="BS3" s="436" t="s">
        <v>388</v>
      </c>
      <c r="BT3" s="436"/>
      <c r="BU3" s="436"/>
      <c r="BV3" s="436"/>
      <c r="BW3" s="436"/>
      <c r="BX3" s="422" t="s">
        <v>385</v>
      </c>
      <c r="BY3" s="424"/>
      <c r="CA3" s="434" t="s">
        <v>389</v>
      </c>
      <c r="CB3" s="434"/>
      <c r="CC3" s="434"/>
      <c r="CD3" s="434"/>
      <c r="CE3" s="434"/>
      <c r="CF3" s="422" t="s">
        <v>385</v>
      </c>
      <c r="CG3" s="424"/>
    </row>
    <row r="4" spans="1:85" customFormat="1" ht="16.5" thickBot="1" x14ac:dyDescent="0.3">
      <c r="A4" s="1"/>
      <c r="B4" s="3"/>
      <c r="C4" s="6"/>
      <c r="D4" s="6"/>
      <c r="E4" s="6" t="s">
        <v>0</v>
      </c>
      <c r="F4" s="6" t="s">
        <v>1</v>
      </c>
      <c r="G4" s="6" t="s">
        <v>2</v>
      </c>
      <c r="H4" s="6" t="s">
        <v>3</v>
      </c>
      <c r="I4" s="6" t="s">
        <v>4</v>
      </c>
      <c r="J4" s="6" t="s">
        <v>5</v>
      </c>
      <c r="K4" s="6" t="s">
        <v>6</v>
      </c>
      <c r="L4" s="6" t="s">
        <v>7</v>
      </c>
      <c r="M4" s="6" t="s">
        <v>8</v>
      </c>
      <c r="N4" s="6" t="s">
        <v>9</v>
      </c>
      <c r="O4" s="6" t="s">
        <v>10</v>
      </c>
      <c r="P4" s="6" t="s">
        <v>11</v>
      </c>
      <c r="Q4" s="376"/>
      <c r="R4" s="6" t="s">
        <v>0</v>
      </c>
      <c r="S4" s="6" t="s">
        <v>1</v>
      </c>
      <c r="T4" s="6" t="s">
        <v>2</v>
      </c>
      <c r="U4" s="6" t="s">
        <v>3</v>
      </c>
      <c r="V4" s="6" t="s">
        <v>4</v>
      </c>
      <c r="W4" s="6" t="s">
        <v>5</v>
      </c>
      <c r="X4" s="6" t="s">
        <v>6</v>
      </c>
      <c r="Y4" s="6" t="s">
        <v>7</v>
      </c>
      <c r="Z4" s="6" t="s">
        <v>8</v>
      </c>
      <c r="AA4" s="6" t="s">
        <v>9</v>
      </c>
      <c r="AB4" s="6" t="s">
        <v>10</v>
      </c>
      <c r="AC4" s="6" t="s">
        <v>11</v>
      </c>
      <c r="AD4" s="377"/>
      <c r="AE4" s="6" t="s">
        <v>0</v>
      </c>
      <c r="AF4" s="6" t="s">
        <v>1</v>
      </c>
      <c r="AG4" s="6" t="s">
        <v>2</v>
      </c>
      <c r="AH4" s="6" t="s">
        <v>3</v>
      </c>
      <c r="AI4" s="6" t="s">
        <v>4</v>
      </c>
      <c r="AJ4" s="6" t="s">
        <v>5</v>
      </c>
      <c r="AK4" s="6" t="s">
        <v>6</v>
      </c>
      <c r="AL4" s="6" t="s">
        <v>7</v>
      </c>
      <c r="AM4" s="6" t="s">
        <v>8</v>
      </c>
      <c r="AN4" s="6" t="s">
        <v>9</v>
      </c>
      <c r="AO4" s="6" t="s">
        <v>10</v>
      </c>
      <c r="AP4" s="6" t="s">
        <v>11</v>
      </c>
      <c r="AQ4" s="377"/>
      <c r="AR4" s="3" t="s">
        <v>167</v>
      </c>
      <c r="AS4" s="3" t="s">
        <v>168</v>
      </c>
      <c r="AT4" s="3" t="s">
        <v>169</v>
      </c>
      <c r="AU4" s="3" t="s">
        <v>170</v>
      </c>
      <c r="AV4" s="3" t="s">
        <v>171</v>
      </c>
      <c r="AW4" s="377"/>
      <c r="AX4" s="3" t="s">
        <v>167</v>
      </c>
      <c r="AY4" s="3" t="s">
        <v>168</v>
      </c>
      <c r="AZ4" s="3" t="s">
        <v>169</v>
      </c>
      <c r="BA4" s="3" t="s">
        <v>170</v>
      </c>
      <c r="BB4" s="3" t="s">
        <v>171</v>
      </c>
      <c r="BC4" s="377"/>
      <c r="BD4" s="3" t="s">
        <v>167</v>
      </c>
      <c r="BE4" s="3" t="s">
        <v>168</v>
      </c>
      <c r="BF4" s="3" t="s">
        <v>169</v>
      </c>
      <c r="BG4" s="3" t="s">
        <v>170</v>
      </c>
      <c r="BH4" s="3" t="s">
        <v>171</v>
      </c>
      <c r="BI4" s="378" t="s">
        <v>384</v>
      </c>
      <c r="BJ4" s="379"/>
      <c r="BK4" s="3" t="s">
        <v>167</v>
      </c>
      <c r="BL4" s="3" t="s">
        <v>168</v>
      </c>
      <c r="BM4" s="3" t="s">
        <v>169</v>
      </c>
      <c r="BN4" s="3" t="s">
        <v>170</v>
      </c>
      <c r="BO4" s="3" t="s">
        <v>171</v>
      </c>
      <c r="BP4" s="380" t="s">
        <v>386</v>
      </c>
      <c r="BQ4" s="68" t="s">
        <v>387</v>
      </c>
      <c r="BR4" s="377"/>
      <c r="BS4" s="3" t="s">
        <v>167</v>
      </c>
      <c r="BT4" s="3" t="s">
        <v>168</v>
      </c>
      <c r="BU4" s="3" t="s">
        <v>169</v>
      </c>
      <c r="BV4" s="3" t="s">
        <v>170</v>
      </c>
      <c r="BW4" s="3" t="s">
        <v>171</v>
      </c>
      <c r="BX4" s="380" t="s">
        <v>386</v>
      </c>
      <c r="BY4" s="68" t="s">
        <v>387</v>
      </c>
      <c r="BZ4" s="377"/>
      <c r="CA4" s="3" t="s">
        <v>167</v>
      </c>
      <c r="CB4" s="3" t="s">
        <v>168</v>
      </c>
      <c r="CC4" s="3" t="s">
        <v>169</v>
      </c>
      <c r="CD4" s="3" t="s">
        <v>170</v>
      </c>
      <c r="CE4" s="3" t="s">
        <v>171</v>
      </c>
      <c r="CF4" s="380" t="s">
        <v>386</v>
      </c>
      <c r="CG4" s="68" t="s">
        <v>387</v>
      </c>
    </row>
    <row r="5" spans="1:85" s="16" customFormat="1" x14ac:dyDescent="0.25">
      <c r="A5" s="16" t="s">
        <v>181</v>
      </c>
      <c r="BI5" s="78"/>
      <c r="BP5" s="69"/>
      <c r="BQ5" s="70"/>
      <c r="BX5" s="69"/>
      <c r="BY5" s="70"/>
      <c r="CF5" s="69"/>
      <c r="CG5" s="70"/>
    </row>
    <row r="6" spans="1:85" s="16" customFormat="1" x14ac:dyDescent="0.25">
      <c r="B6" s="16" t="s">
        <v>182</v>
      </c>
      <c r="E6" s="16">
        <f>+'Rev &amp; COGS'!E46</f>
        <v>0</v>
      </c>
      <c r="F6" s="16">
        <f>+'Rev &amp; COGS'!F46</f>
        <v>0</v>
      </c>
      <c r="G6" s="16">
        <f>+'Rev &amp; COGS'!G46</f>
        <v>0</v>
      </c>
      <c r="H6" s="16">
        <f>+'Rev &amp; COGS'!H46</f>
        <v>0</v>
      </c>
      <c r="I6" s="16">
        <f>+'Rev &amp; COGS'!I46</f>
        <v>0</v>
      </c>
      <c r="J6" s="16">
        <f>+'Rev &amp; COGS'!J46</f>
        <v>0</v>
      </c>
      <c r="K6" s="16">
        <f>+'Rev &amp; COGS'!K46</f>
        <v>0</v>
      </c>
      <c r="L6" s="16">
        <f>+'Rev &amp; COGS'!L46</f>
        <v>0</v>
      </c>
      <c r="M6" s="16">
        <f>+'Rev &amp; COGS'!M46</f>
        <v>0</v>
      </c>
      <c r="N6" s="16">
        <f>+'Rev &amp; COGS'!N46</f>
        <v>0</v>
      </c>
      <c r="O6" s="16">
        <f>+'Rev &amp; COGS'!O46</f>
        <v>0</v>
      </c>
      <c r="P6" s="16">
        <f>+'Rev &amp; COGS'!P46</f>
        <v>0</v>
      </c>
      <c r="R6" s="16">
        <f>+'Rev &amp; COGS'!R46</f>
        <v>0</v>
      </c>
      <c r="S6" s="16">
        <f>+'Rev &amp; COGS'!S46</f>
        <v>0</v>
      </c>
      <c r="T6" s="16">
        <f>+'Rev &amp; COGS'!T46</f>
        <v>0</v>
      </c>
      <c r="U6" s="16">
        <f>+'Rev &amp; COGS'!U46</f>
        <v>0</v>
      </c>
      <c r="V6" s="16">
        <f>+'Rev &amp; COGS'!V46</f>
        <v>0</v>
      </c>
      <c r="W6" s="16">
        <f>+'Rev &amp; COGS'!W46</f>
        <v>0</v>
      </c>
      <c r="X6" s="16">
        <f>+'Rev &amp; COGS'!X46</f>
        <v>247600.00000000006</v>
      </c>
      <c r="Y6" s="16">
        <f>+'Rev &amp; COGS'!Y46</f>
        <v>0</v>
      </c>
      <c r="Z6" s="16">
        <f>+'Rev &amp; COGS'!Z46</f>
        <v>0</v>
      </c>
      <c r="AA6" s="16">
        <f>+'Rev &amp; COGS'!AA46</f>
        <v>247400.00000000006</v>
      </c>
      <c r="AB6" s="16">
        <f>+'Rev &amp; COGS'!AB46</f>
        <v>0</v>
      </c>
      <c r="AC6" s="16">
        <f>+'Rev &amp; COGS'!AC46</f>
        <v>0</v>
      </c>
      <c r="AE6" s="16">
        <f>+'Rev &amp; COGS'!AE46</f>
        <v>231000.00000000009</v>
      </c>
      <c r="AF6" s="16">
        <f>+'Rev &amp; COGS'!AF46</f>
        <v>0</v>
      </c>
      <c r="AG6" s="16">
        <f>+'Rev &amp; COGS'!AG46</f>
        <v>0</v>
      </c>
      <c r="AH6" s="16">
        <f>+'Rev &amp; COGS'!AH46</f>
        <v>231000.00000000009</v>
      </c>
      <c r="AI6" s="16">
        <f>+'Rev &amp; COGS'!AI46</f>
        <v>0</v>
      </c>
      <c r="AJ6" s="16">
        <f>+'Rev &amp; COGS'!AJ46</f>
        <v>0</v>
      </c>
      <c r="AK6" s="16">
        <f>+'Rev &amp; COGS'!AK46</f>
        <v>775600.00000000023</v>
      </c>
      <c r="AL6" s="16">
        <f>+'Rev &amp; COGS'!AL46</f>
        <v>0</v>
      </c>
      <c r="AM6" s="16">
        <f>+'Rev &amp; COGS'!AM46</f>
        <v>0</v>
      </c>
      <c r="AN6" s="16">
        <f>+'Rev &amp; COGS'!AN46</f>
        <v>775400.00000000023</v>
      </c>
      <c r="AO6" s="16">
        <f>+'Rev &amp; COGS'!AO46</f>
        <v>0</v>
      </c>
      <c r="AP6" s="16">
        <f>+'Rev &amp; COGS'!AP46</f>
        <v>0</v>
      </c>
      <c r="AR6" s="16">
        <f t="shared" ref="AR6:AR7" si="0">SUM(E6:P6)</f>
        <v>0</v>
      </c>
      <c r="AS6" s="16">
        <f t="shared" ref="AS6:AS7" si="1">SUM(E6:G6)</f>
        <v>0</v>
      </c>
      <c r="AT6" s="16">
        <f t="shared" ref="AT6:AT7" si="2">SUM(H6:J6)</f>
        <v>0</v>
      </c>
      <c r="AU6" s="16">
        <f t="shared" ref="AU6:AU7" si="3">SUM(K6:M6)</f>
        <v>0</v>
      </c>
      <c r="AV6" s="16">
        <f t="shared" ref="AV6:AV7" si="4">SUM(N6:P6)</f>
        <v>0</v>
      </c>
      <c r="AX6" s="16">
        <f t="shared" ref="AX6:AX7" si="5">SUM(R6:AC6)</f>
        <v>495000.00000000012</v>
      </c>
      <c r="AY6" s="16">
        <f t="shared" ref="AY6:AY7" si="6">SUM(R6:T6)</f>
        <v>0</v>
      </c>
      <c r="AZ6" s="16">
        <f t="shared" ref="AZ6:AZ7" si="7">SUM(U6:W6)</f>
        <v>0</v>
      </c>
      <c r="BA6" s="16">
        <f t="shared" ref="BA6:BA7" si="8">SUM(X6:Z6)</f>
        <v>247600.00000000006</v>
      </c>
      <c r="BB6" s="16">
        <f t="shared" ref="BB6:BB7" si="9">SUM(AA6:AC6)</f>
        <v>247400.00000000006</v>
      </c>
      <c r="BD6" s="16">
        <f t="shared" ref="BD6:BD7" si="10">SUM(AE6:AP6)</f>
        <v>2013000.0000000007</v>
      </c>
      <c r="BE6" s="16">
        <f t="shared" ref="BE6:BE7" si="11">SUM(AE6:AG6)</f>
        <v>231000.00000000009</v>
      </c>
      <c r="BF6" s="16">
        <f t="shared" ref="BF6:BF7" si="12">SUM(AH6:AJ6)</f>
        <v>231000.00000000009</v>
      </c>
      <c r="BG6" s="16">
        <f t="shared" ref="BG6:BG7" si="13">SUM(AK6:AM6)</f>
        <v>775600.00000000023</v>
      </c>
      <c r="BH6" s="16">
        <f t="shared" ref="BH6:BH7" si="14">SUM(AN6:AP6)</f>
        <v>775400.00000000023</v>
      </c>
      <c r="BI6" s="79">
        <f>+BD6/BD$8</f>
        <v>0.25336434623691645</v>
      </c>
      <c r="BK6" s="16">
        <f>SUM(BL6:BO6)</f>
        <v>4342242.3000000017</v>
      </c>
      <c r="BL6" s="16">
        <f>+'Rev &amp; COGS'!BK46</f>
        <v>762300.00000000035</v>
      </c>
      <c r="BM6" s="16">
        <f>+'Rev &amp; COGS'!BL46</f>
        <v>762300.00000000035</v>
      </c>
      <c r="BN6" s="16">
        <f>+'Rev &amp; COGS'!BM46</f>
        <v>1408763.4000000004</v>
      </c>
      <c r="BO6" s="16">
        <f>+'Rev &amp; COGS'!BN46</f>
        <v>1408878.9000000004</v>
      </c>
      <c r="BP6" s="71">
        <f>+BK6/BK$8</f>
        <v>0.20576998149668216</v>
      </c>
      <c r="BQ6" s="72">
        <f>(+BK6/BD6)-1</f>
        <v>1.1571000000000002</v>
      </c>
      <c r="BS6" s="16">
        <f>SUM(BT6:BW6)</f>
        <v>7159661.9600000037</v>
      </c>
      <c r="BT6" s="16">
        <f>+'Rev &amp; COGS'!BQ46</f>
        <v>1399599.7400000005</v>
      </c>
      <c r="BU6" s="16">
        <f>+'Rev &amp; COGS'!BR46</f>
        <v>1399599.7400000005</v>
      </c>
      <c r="BV6" s="16">
        <f>+'Rev &amp; COGS'!BS46</f>
        <v>2180253.7400000012</v>
      </c>
      <c r="BW6" s="16">
        <f>+'Rev &amp; COGS'!BT46</f>
        <v>2180208.7400000012</v>
      </c>
      <c r="BX6" s="71">
        <f>+BS6/BS$8</f>
        <v>0.16799012128794566</v>
      </c>
      <c r="BY6" s="72">
        <f>(+BS6/BK6)-1</f>
        <v>0.64883980794899476</v>
      </c>
      <c r="CA6" s="16">
        <f>SUM(CB6:CE6)</f>
        <v>9835560.2620000057</v>
      </c>
      <c r="CB6" s="16">
        <f>+'Rev &amp; COGS'!BW46</f>
        <v>2174979.114000001</v>
      </c>
      <c r="CC6" s="16">
        <f>+'Rev &amp; COGS'!BX46</f>
        <v>2174979.114000001</v>
      </c>
      <c r="CD6" s="16">
        <f>+'Rev &amp; COGS'!BY46</f>
        <v>2742870.7720000013</v>
      </c>
      <c r="CE6" s="16">
        <f>+'Rev &amp; COGS'!BZ46</f>
        <v>2742731.2620000015</v>
      </c>
      <c r="CF6" s="71">
        <f>+CA6/CA$8</f>
        <v>0.13579121066929498</v>
      </c>
      <c r="CG6" s="72">
        <f>(+CA6/BS6)-1</f>
        <v>0.37374645855486732</v>
      </c>
    </row>
    <row r="7" spans="1:85" s="16" customFormat="1" x14ac:dyDescent="0.25">
      <c r="B7" s="16" t="s">
        <v>183</v>
      </c>
      <c r="E7" s="16">
        <f>+'Rev &amp; COGS'!E60</f>
        <v>0</v>
      </c>
      <c r="F7" s="16">
        <f>+'Rev &amp; COGS'!F60</f>
        <v>0</v>
      </c>
      <c r="G7" s="16">
        <f>+'Rev &amp; COGS'!G60</f>
        <v>0</v>
      </c>
      <c r="H7" s="16">
        <f>+'Rev &amp; COGS'!H60</f>
        <v>0</v>
      </c>
      <c r="I7" s="16">
        <f>+'Rev &amp; COGS'!I60</f>
        <v>0</v>
      </c>
      <c r="J7" s="16">
        <f>+'Rev &amp; COGS'!J60</f>
        <v>0</v>
      </c>
      <c r="K7" s="16">
        <f>+'Rev &amp; COGS'!K60</f>
        <v>0</v>
      </c>
      <c r="L7" s="16">
        <f>+'Rev &amp; COGS'!L60</f>
        <v>0</v>
      </c>
      <c r="M7" s="16">
        <f>+'Rev &amp; COGS'!M60</f>
        <v>0</v>
      </c>
      <c r="N7" s="16">
        <f>+'Rev &amp; COGS'!N60</f>
        <v>0</v>
      </c>
      <c r="O7" s="16">
        <f>+'Rev &amp; COGS'!O60</f>
        <v>0</v>
      </c>
      <c r="P7" s="16">
        <f>+'Rev &amp; COGS'!P60</f>
        <v>0</v>
      </c>
      <c r="R7" s="16">
        <f>+'Rev &amp; COGS'!R60</f>
        <v>0</v>
      </c>
      <c r="S7" s="16">
        <f>+'Rev &amp; COGS'!S60</f>
        <v>0</v>
      </c>
      <c r="T7" s="16">
        <f>+'Rev &amp; COGS'!T60</f>
        <v>0</v>
      </c>
      <c r="U7" s="16">
        <f>+'Rev &amp; COGS'!U60</f>
        <v>0</v>
      </c>
      <c r="V7" s="16">
        <f>+'Rev &amp; COGS'!V60</f>
        <v>0</v>
      </c>
      <c r="W7" s="16">
        <f>+'Rev &amp; COGS'!W60</f>
        <v>0</v>
      </c>
      <c r="X7" s="16">
        <f>+'Rev &amp; COGS'!X60</f>
        <v>172900.00000000003</v>
      </c>
      <c r="Y7" s="16">
        <f>+'Rev &amp; COGS'!Y60</f>
        <v>172900.00000000003</v>
      </c>
      <c r="Z7" s="16">
        <f>+'Rev &amp; COGS'!Z60</f>
        <v>172900.00000000003</v>
      </c>
      <c r="AA7" s="16">
        <f>+'Rev &amp; COGS'!AA60</f>
        <v>198800.00000000006</v>
      </c>
      <c r="AB7" s="16">
        <f>+'Rev &amp; COGS'!AB60</f>
        <v>198800.00000000006</v>
      </c>
      <c r="AC7" s="16">
        <f>+'Rev &amp; COGS'!AC60</f>
        <v>198800.00000000006</v>
      </c>
      <c r="AE7" s="16">
        <f>+'Rev &amp; COGS'!AE60</f>
        <v>247170.00000000006</v>
      </c>
      <c r="AF7" s="16">
        <f>+'Rev &amp; COGS'!AF60</f>
        <v>247170.00000000006</v>
      </c>
      <c r="AG7" s="16">
        <f>+'Rev &amp; COGS'!AG60</f>
        <v>247170.00000000006</v>
      </c>
      <c r="AH7" s="16">
        <f>+'Rev &amp; COGS'!AH60</f>
        <v>275660.00000000012</v>
      </c>
      <c r="AI7" s="16">
        <f>+'Rev &amp; COGS'!AI60</f>
        <v>275660.00000000012</v>
      </c>
      <c r="AJ7" s="16">
        <f>+'Rev &amp; COGS'!AJ60</f>
        <v>275660.00000000012</v>
      </c>
      <c r="AK7" s="16">
        <f>+'Rev &amp; COGS'!AK60</f>
        <v>684530.00000000023</v>
      </c>
      <c r="AL7" s="16">
        <f>+'Rev &amp; COGS'!AL60</f>
        <v>684530.00000000023</v>
      </c>
      <c r="AM7" s="16">
        <f>+'Rev &amp; COGS'!AM60</f>
        <v>684530.00000000023</v>
      </c>
      <c r="AN7" s="16">
        <f>+'Rev &amp; COGS'!AN60</f>
        <v>770000.00000000023</v>
      </c>
      <c r="AO7" s="16">
        <f>+'Rev &amp; COGS'!AO60</f>
        <v>770000.00000000023</v>
      </c>
      <c r="AP7" s="16">
        <f>+'Rev &amp; COGS'!AP60</f>
        <v>770000.00000000023</v>
      </c>
      <c r="AR7" s="16">
        <f t="shared" si="0"/>
        <v>0</v>
      </c>
      <c r="AS7" s="16">
        <f t="shared" si="1"/>
        <v>0</v>
      </c>
      <c r="AT7" s="16">
        <f t="shared" si="2"/>
        <v>0</v>
      </c>
      <c r="AU7" s="16">
        <f t="shared" si="3"/>
        <v>0</v>
      </c>
      <c r="AV7" s="16">
        <f t="shared" si="4"/>
        <v>0</v>
      </c>
      <c r="AX7" s="16">
        <f t="shared" si="5"/>
        <v>1115100.0000000002</v>
      </c>
      <c r="AY7" s="16">
        <f t="shared" si="6"/>
        <v>0</v>
      </c>
      <c r="AZ7" s="16">
        <f t="shared" si="7"/>
        <v>0</v>
      </c>
      <c r="BA7" s="16">
        <f t="shared" si="8"/>
        <v>518700.00000000012</v>
      </c>
      <c r="BB7" s="16">
        <f t="shared" si="9"/>
        <v>596400.00000000023</v>
      </c>
      <c r="BD7" s="16">
        <f t="shared" si="10"/>
        <v>5932080.0000000009</v>
      </c>
      <c r="BE7" s="16">
        <f t="shared" si="11"/>
        <v>741510.00000000023</v>
      </c>
      <c r="BF7" s="16">
        <f t="shared" si="12"/>
        <v>826980.00000000035</v>
      </c>
      <c r="BG7" s="16">
        <f t="shared" si="13"/>
        <v>2053590.0000000007</v>
      </c>
      <c r="BH7" s="16">
        <f t="shared" si="14"/>
        <v>2310000.0000000009</v>
      </c>
      <c r="BI7" s="79">
        <f>+BD7/BD$8</f>
        <v>0.7466356537630835</v>
      </c>
      <c r="BK7" s="16">
        <f>SUM(BL7:BO7)</f>
        <v>16760166.654000005</v>
      </c>
      <c r="BL7" s="16">
        <f>+'Rev &amp; COGS'!BK60</f>
        <v>2823051.0000000009</v>
      </c>
      <c r="BM7" s="16">
        <f>+'Rev &amp; COGS'!BL60</f>
        <v>3105102.0000000009</v>
      </c>
      <c r="BN7" s="16">
        <f>+'Rev &amp; COGS'!BM60</f>
        <v>5180619.5980000012</v>
      </c>
      <c r="BO7" s="16">
        <f>+'Rev &amp; COGS'!BN60</f>
        <v>5651394.0560000017</v>
      </c>
      <c r="BP7" s="71">
        <f>+BK7/BK$8</f>
        <v>0.79423001850331776</v>
      </c>
      <c r="BQ7" s="72">
        <f>(+BK7/BD7)-1</f>
        <v>1.8253440031152652</v>
      </c>
      <c r="BS7" s="16">
        <f>SUM(BT7:BW7)</f>
        <v>35459879.62440002</v>
      </c>
      <c r="BT7" s="16">
        <f>+'Rev &amp; COGS'!BQ60</f>
        <v>6734385.3654000033</v>
      </c>
      <c r="BU7" s="16">
        <f>+'Rev &amp; COGS'!BR60</f>
        <v>7252237.2692000046</v>
      </c>
      <c r="BV7" s="16">
        <f>+'Rev &amp; COGS'!BS60</f>
        <v>10910756.703000005</v>
      </c>
      <c r="BW7" s="16">
        <f>+'Rev &amp; COGS'!BT60</f>
        <v>10562500.286800006</v>
      </c>
      <c r="BX7" s="71">
        <f>+BS7/BS$8</f>
        <v>0.83200987871205434</v>
      </c>
      <c r="BY7" s="72">
        <f>(+BS7/BK7)-1</f>
        <v>1.1157235698451196</v>
      </c>
      <c r="CA7" s="16">
        <f>SUM(CB7:CE7)</f>
        <v>62595933.74650003</v>
      </c>
      <c r="CB7" s="16">
        <f>+'Rev &amp; COGS'!BW60</f>
        <v>13017404.752660006</v>
      </c>
      <c r="CC7" s="16">
        <f>+'Rev &amp; COGS'!BX60</f>
        <v>13822147.024840007</v>
      </c>
      <c r="CD7" s="16">
        <f>+'Rev &amp; COGS'!BY60</f>
        <v>17148356.460620008</v>
      </c>
      <c r="CE7" s="16">
        <f>+'Rev &amp; COGS'!BZ60</f>
        <v>18608025.508380011</v>
      </c>
      <c r="CF7" s="71">
        <f>+CA7/CA$8</f>
        <v>0.864208789330705</v>
      </c>
      <c r="CG7" s="72">
        <f>(+CA7/BS7)-1</f>
        <v>0.76526075129221915</v>
      </c>
    </row>
    <row r="8" spans="1:85" s="16" customFormat="1" x14ac:dyDescent="0.25">
      <c r="B8" s="16" t="s">
        <v>184</v>
      </c>
      <c r="E8" s="18">
        <f t="shared" ref="E8:P8" si="15">SUM(E6:E7)</f>
        <v>0</v>
      </c>
      <c r="F8" s="18">
        <f t="shared" si="15"/>
        <v>0</v>
      </c>
      <c r="G8" s="18">
        <f t="shared" si="15"/>
        <v>0</v>
      </c>
      <c r="H8" s="18">
        <f t="shared" si="15"/>
        <v>0</v>
      </c>
      <c r="I8" s="18">
        <f t="shared" si="15"/>
        <v>0</v>
      </c>
      <c r="J8" s="18">
        <f t="shared" si="15"/>
        <v>0</v>
      </c>
      <c r="K8" s="18">
        <f t="shared" si="15"/>
        <v>0</v>
      </c>
      <c r="L8" s="18">
        <f t="shared" si="15"/>
        <v>0</v>
      </c>
      <c r="M8" s="18">
        <f t="shared" si="15"/>
        <v>0</v>
      </c>
      <c r="N8" s="18">
        <f t="shared" si="15"/>
        <v>0</v>
      </c>
      <c r="O8" s="18">
        <f t="shared" si="15"/>
        <v>0</v>
      </c>
      <c r="P8" s="18">
        <f t="shared" si="15"/>
        <v>0</v>
      </c>
      <c r="R8" s="18">
        <f t="shared" ref="R8:AC8" si="16">SUM(R6:R7)</f>
        <v>0</v>
      </c>
      <c r="S8" s="18">
        <f t="shared" si="16"/>
        <v>0</v>
      </c>
      <c r="T8" s="18">
        <f t="shared" si="16"/>
        <v>0</v>
      </c>
      <c r="U8" s="18">
        <f t="shared" si="16"/>
        <v>0</v>
      </c>
      <c r="V8" s="18">
        <f t="shared" si="16"/>
        <v>0</v>
      </c>
      <c r="W8" s="18">
        <f t="shared" si="16"/>
        <v>0</v>
      </c>
      <c r="X8" s="18">
        <f t="shared" si="16"/>
        <v>420500.00000000012</v>
      </c>
      <c r="Y8" s="18">
        <f t="shared" si="16"/>
        <v>172900.00000000003</v>
      </c>
      <c r="Z8" s="18">
        <f t="shared" si="16"/>
        <v>172900.00000000003</v>
      </c>
      <c r="AA8" s="18">
        <f t="shared" si="16"/>
        <v>446200.00000000012</v>
      </c>
      <c r="AB8" s="18">
        <f t="shared" si="16"/>
        <v>198800.00000000006</v>
      </c>
      <c r="AC8" s="18">
        <f t="shared" si="16"/>
        <v>198800.00000000006</v>
      </c>
      <c r="AE8" s="18">
        <f t="shared" ref="AE8:AP8" si="17">SUM(AE6:AE7)</f>
        <v>478170.00000000012</v>
      </c>
      <c r="AF8" s="18">
        <f t="shared" si="17"/>
        <v>247170.00000000006</v>
      </c>
      <c r="AG8" s="18">
        <f t="shared" si="17"/>
        <v>247170.00000000006</v>
      </c>
      <c r="AH8" s="18">
        <f t="shared" si="17"/>
        <v>506660.00000000023</v>
      </c>
      <c r="AI8" s="18">
        <f t="shared" si="17"/>
        <v>275660.00000000012</v>
      </c>
      <c r="AJ8" s="18">
        <f t="shared" si="17"/>
        <v>275660.00000000012</v>
      </c>
      <c r="AK8" s="18">
        <f t="shared" si="17"/>
        <v>1460130.0000000005</v>
      </c>
      <c r="AL8" s="18">
        <f t="shared" si="17"/>
        <v>684530.00000000023</v>
      </c>
      <c r="AM8" s="18">
        <f t="shared" si="17"/>
        <v>684530.00000000023</v>
      </c>
      <c r="AN8" s="18">
        <f t="shared" si="17"/>
        <v>1545400.0000000005</v>
      </c>
      <c r="AO8" s="18">
        <f t="shared" si="17"/>
        <v>770000.00000000023</v>
      </c>
      <c r="AP8" s="18">
        <f t="shared" si="17"/>
        <v>770000.00000000023</v>
      </c>
      <c r="AR8" s="18">
        <f>SUM(AR6:AR7)</f>
        <v>0</v>
      </c>
      <c r="AS8" s="18">
        <f>SUM(AS6:AS7)</f>
        <v>0</v>
      </c>
      <c r="AT8" s="18">
        <f>SUM(AT6:AT7)</f>
        <v>0</v>
      </c>
      <c r="AU8" s="18">
        <f>SUM(AU6:AU7)</f>
        <v>0</v>
      </c>
      <c r="AV8" s="18">
        <f>SUM(AV6:AV7)</f>
        <v>0</v>
      </c>
      <c r="AX8" s="18">
        <f>SUM(AX6:AX7)</f>
        <v>1610100.0000000005</v>
      </c>
      <c r="AY8" s="18">
        <f>SUM(AY6:AY7)</f>
        <v>0</v>
      </c>
      <c r="AZ8" s="18">
        <f>SUM(AZ6:AZ7)</f>
        <v>0</v>
      </c>
      <c r="BA8" s="18">
        <f>SUM(BA6:BA7)</f>
        <v>766300.00000000023</v>
      </c>
      <c r="BB8" s="18">
        <f>SUM(BB6:BB7)</f>
        <v>843800.00000000023</v>
      </c>
      <c r="BD8" s="18">
        <f>SUM(BD6:BD7)</f>
        <v>7945080.0000000019</v>
      </c>
      <c r="BE8" s="18">
        <f>SUM(BE6:BE7)</f>
        <v>972510.00000000035</v>
      </c>
      <c r="BF8" s="18">
        <f>SUM(BF6:BF7)</f>
        <v>1057980.0000000005</v>
      </c>
      <c r="BG8" s="18">
        <f>SUM(BG6:BG7)</f>
        <v>2829190.0000000009</v>
      </c>
      <c r="BH8" s="18">
        <f>SUM(BH6:BH7)</f>
        <v>3085400.0000000009</v>
      </c>
      <c r="BI8" s="79">
        <f>+BD8/BD$8</f>
        <v>1</v>
      </c>
      <c r="BK8" s="18">
        <f>SUM(BK6:BK7)</f>
        <v>21102408.954000007</v>
      </c>
      <c r="BL8" s="18">
        <f>SUM(BL6:BL7)</f>
        <v>3585351.0000000014</v>
      </c>
      <c r="BM8" s="18">
        <f>SUM(BM6:BM7)</f>
        <v>3867402.0000000014</v>
      </c>
      <c r="BN8" s="18">
        <f>SUM(BN6:BN7)</f>
        <v>6589382.9980000015</v>
      </c>
      <c r="BO8" s="18">
        <f>SUM(BO6:BO7)</f>
        <v>7060272.9560000021</v>
      </c>
      <c r="BP8" s="73">
        <f>+BK8/BK$8</f>
        <v>1</v>
      </c>
      <c r="BQ8" s="72">
        <f>(+BK8/BD8)-1</f>
        <v>1.6560347981392263</v>
      </c>
      <c r="BS8" s="18">
        <f>SUM(BS6:BS7)</f>
        <v>42619541.584400021</v>
      </c>
      <c r="BT8" s="18">
        <f>SUM(BT6:BT7)</f>
        <v>8133985.1054000035</v>
      </c>
      <c r="BU8" s="18">
        <f>SUM(BU6:BU7)</f>
        <v>8651837.0092000049</v>
      </c>
      <c r="BV8" s="18">
        <f>SUM(BV6:BV7)</f>
        <v>13091010.443000007</v>
      </c>
      <c r="BW8" s="18">
        <f>SUM(BW6:BW7)</f>
        <v>12742709.026800007</v>
      </c>
      <c r="BX8" s="73">
        <f>+BS8/BS$8</f>
        <v>1</v>
      </c>
      <c r="BY8" s="72">
        <f>(+BS8/BK8)-1</f>
        <v>1.0196529067986524</v>
      </c>
      <c r="CA8" s="18">
        <f>SUM(CA6:CA7)</f>
        <v>72431494.00850004</v>
      </c>
      <c r="CB8" s="18">
        <f>SUM(CB6:CB7)</f>
        <v>15192383.866660006</v>
      </c>
      <c r="CC8" s="18">
        <f>SUM(CC6:CC7)</f>
        <v>15997126.138840009</v>
      </c>
      <c r="CD8" s="18">
        <f>SUM(CD6:CD7)</f>
        <v>19891227.232620008</v>
      </c>
      <c r="CE8" s="18">
        <f>SUM(CE6:CE7)</f>
        <v>21350756.770380013</v>
      </c>
      <c r="CF8" s="73">
        <f>+CA8/CA$8</f>
        <v>1</v>
      </c>
      <c r="CG8" s="72">
        <f>(+CA8/BS8)-1</f>
        <v>0.6994902177693072</v>
      </c>
    </row>
    <row r="9" spans="1:85" s="16" customFormat="1" x14ac:dyDescent="0.25">
      <c r="BI9" s="78"/>
      <c r="BP9" s="69"/>
      <c r="BQ9" s="70"/>
      <c r="BX9" s="69"/>
      <c r="BY9" s="70"/>
      <c r="CF9" s="69"/>
      <c r="CG9" s="70"/>
    </row>
    <row r="10" spans="1:85" s="16" customFormat="1" x14ac:dyDescent="0.25">
      <c r="A10" s="16" t="s">
        <v>185</v>
      </c>
      <c r="BF10" s="65">
        <f>+BF11/BF6</f>
        <v>0.75</v>
      </c>
      <c r="BG10" s="65">
        <f>+BG11/BG6</f>
        <v>0.75000000000000011</v>
      </c>
      <c r="BH10" s="65">
        <f>+BH11/BH6</f>
        <v>0.75000000000000011</v>
      </c>
      <c r="BI10" s="78"/>
      <c r="BL10" s="65">
        <f>+BL11/BL6</f>
        <v>0.75</v>
      </c>
      <c r="BM10" s="65">
        <f>+BM11/BM6</f>
        <v>0.75</v>
      </c>
      <c r="BN10" s="65">
        <f>+BN11/BN6</f>
        <v>0.75</v>
      </c>
      <c r="BO10" s="65">
        <f>+BO11/BO6</f>
        <v>0.75</v>
      </c>
      <c r="BP10" s="69"/>
      <c r="BQ10" s="70"/>
      <c r="BT10" s="65">
        <f>+BT11/BT6</f>
        <v>0.75</v>
      </c>
      <c r="BU10" s="65">
        <f>+BU11/BU6</f>
        <v>0.75</v>
      </c>
      <c r="BV10" s="65">
        <f>+BV11/BV6</f>
        <v>0.75</v>
      </c>
      <c r="BW10" s="65">
        <f>+BW11/BW6</f>
        <v>0.75</v>
      </c>
      <c r="BX10" s="69"/>
      <c r="BY10" s="70"/>
      <c r="CB10" s="65">
        <f>+CB11/CB6</f>
        <v>0.75000000000000011</v>
      </c>
      <c r="CC10" s="65">
        <f>+CC11/CC6</f>
        <v>0.75000000000000011</v>
      </c>
      <c r="CD10" s="65">
        <f>+CD11/CD6</f>
        <v>0.75</v>
      </c>
      <c r="CE10" s="65">
        <f>+CE11/CE6</f>
        <v>0.75</v>
      </c>
      <c r="CF10" s="69"/>
      <c r="CG10" s="70"/>
    </row>
    <row r="11" spans="1:85" s="16" customFormat="1" x14ac:dyDescent="0.25">
      <c r="B11" s="16" t="s">
        <v>182</v>
      </c>
      <c r="E11" s="16">
        <f>+'Rev &amp; COGS'!E78</f>
        <v>0</v>
      </c>
      <c r="F11" s="16">
        <f>+'Rev &amp; COGS'!F78</f>
        <v>0</v>
      </c>
      <c r="G11" s="16">
        <f>+'Rev &amp; COGS'!G78</f>
        <v>0</v>
      </c>
      <c r="H11" s="16">
        <f>+'Rev &amp; COGS'!H78</f>
        <v>0</v>
      </c>
      <c r="I11" s="16">
        <f>+'Rev &amp; COGS'!I78</f>
        <v>0</v>
      </c>
      <c r="J11" s="16">
        <f>+'Rev &amp; COGS'!J78</f>
        <v>0</v>
      </c>
      <c r="K11" s="16">
        <f>+'Rev &amp; COGS'!K78</f>
        <v>0</v>
      </c>
      <c r="L11" s="16">
        <f>+'Rev &amp; COGS'!L78</f>
        <v>0</v>
      </c>
      <c r="M11" s="16">
        <f>+'Rev &amp; COGS'!M78</f>
        <v>0</v>
      </c>
      <c r="N11" s="16">
        <f>+'Rev &amp; COGS'!N78</f>
        <v>0</v>
      </c>
      <c r="O11" s="16">
        <f>+'Rev &amp; COGS'!O78</f>
        <v>0</v>
      </c>
      <c r="P11" s="16">
        <f>+'Rev &amp; COGS'!P78</f>
        <v>0</v>
      </c>
      <c r="R11" s="16">
        <f>+'Rev &amp; COGS'!R78</f>
        <v>0</v>
      </c>
      <c r="S11" s="16">
        <f>+'Rev &amp; COGS'!S78</f>
        <v>0</v>
      </c>
      <c r="T11" s="16">
        <f>+'Rev &amp; COGS'!T78</f>
        <v>0</v>
      </c>
      <c r="U11" s="16">
        <f>+'Rev &amp; COGS'!U78</f>
        <v>0</v>
      </c>
      <c r="V11" s="16">
        <f>+'Rev &amp; COGS'!V78</f>
        <v>28200</v>
      </c>
      <c r="W11" s="16">
        <f>+'Rev &amp; COGS'!W78</f>
        <v>0</v>
      </c>
      <c r="X11" s="16">
        <f>+'Rev &amp; COGS'!X78</f>
        <v>343200.00000000006</v>
      </c>
      <c r="Y11" s="16">
        <f>+'Rev &amp; COGS'!Y78</f>
        <v>0</v>
      </c>
      <c r="Z11" s="16">
        <f>+'Rev &amp; COGS'!Z78</f>
        <v>0</v>
      </c>
      <c r="AA11" s="16">
        <f>+'Rev &amp; COGS'!AA78</f>
        <v>185550.00000000003</v>
      </c>
      <c r="AB11" s="16">
        <f>+'Rev &amp; COGS'!AB78</f>
        <v>0</v>
      </c>
      <c r="AC11" s="16">
        <f>+'Rev &amp; COGS'!AC78</f>
        <v>0</v>
      </c>
      <c r="AE11" s="16">
        <f>+'Rev &amp; COGS'!AE78</f>
        <v>173250.00000000006</v>
      </c>
      <c r="AF11" s="16">
        <f>+'Rev &amp; COGS'!AF78</f>
        <v>0</v>
      </c>
      <c r="AG11" s="16">
        <f>+'Rev &amp; COGS'!AG78</f>
        <v>0</v>
      </c>
      <c r="AH11" s="16">
        <f>+'Rev &amp; COGS'!AH78</f>
        <v>173250.00000000006</v>
      </c>
      <c r="AI11" s="16">
        <f>+'Rev &amp; COGS'!AI78</f>
        <v>0</v>
      </c>
      <c r="AJ11" s="16">
        <f>+'Rev &amp; COGS'!AJ78</f>
        <v>0</v>
      </c>
      <c r="AK11" s="16">
        <f>+'Rev &amp; COGS'!AK78</f>
        <v>581700.00000000023</v>
      </c>
      <c r="AL11" s="16">
        <f>+'Rev &amp; COGS'!AL78</f>
        <v>0</v>
      </c>
      <c r="AM11" s="16">
        <f>+'Rev &amp; COGS'!AM78</f>
        <v>0</v>
      </c>
      <c r="AN11" s="16">
        <f>+'Rev &amp; COGS'!AN78</f>
        <v>581550.00000000023</v>
      </c>
      <c r="AO11" s="16">
        <f>+'Rev &amp; COGS'!AO78</f>
        <v>0</v>
      </c>
      <c r="AP11" s="16">
        <f>+'Rev &amp; COGS'!AP78</f>
        <v>0</v>
      </c>
      <c r="AR11" s="16">
        <f t="shared" ref="AR11:AR12" si="18">SUM(E11:P11)</f>
        <v>0</v>
      </c>
      <c r="AS11" s="16">
        <f t="shared" ref="AS11:AS12" si="19">SUM(E11:G11)</f>
        <v>0</v>
      </c>
      <c r="AT11" s="16">
        <f t="shared" ref="AT11:AT12" si="20">SUM(H11:J11)</f>
        <v>0</v>
      </c>
      <c r="AU11" s="16">
        <f t="shared" ref="AU11:AU12" si="21">SUM(K11:M11)</f>
        <v>0</v>
      </c>
      <c r="AV11" s="16">
        <f t="shared" ref="AV11:AV12" si="22">SUM(N11:P11)</f>
        <v>0</v>
      </c>
      <c r="AX11" s="16">
        <f t="shared" ref="AX11:AX12" si="23">SUM(R11:AC11)</f>
        <v>556950.00000000012</v>
      </c>
      <c r="AY11" s="16">
        <f t="shared" ref="AY11:AY12" si="24">SUM(R11:T11)</f>
        <v>0</v>
      </c>
      <c r="AZ11" s="16">
        <f t="shared" ref="AZ11:AZ12" si="25">SUM(U11:W11)</f>
        <v>28200</v>
      </c>
      <c r="BA11" s="16">
        <f t="shared" ref="BA11:BA12" si="26">SUM(X11:Z11)</f>
        <v>343200.00000000006</v>
      </c>
      <c r="BB11" s="16">
        <f t="shared" ref="BB11:BB12" si="27">SUM(AA11:AC11)</f>
        <v>185550.00000000003</v>
      </c>
      <c r="BD11" s="16">
        <f t="shared" ref="BD11:BD12" si="28">SUM(AE11:AP11)</f>
        <v>1509750.0000000005</v>
      </c>
      <c r="BE11" s="16">
        <f t="shared" ref="BE11:BE12" si="29">SUM(AE11:AG11)</f>
        <v>173250.00000000006</v>
      </c>
      <c r="BF11" s="16">
        <f>SUM(AH11:AJ11)</f>
        <v>173250.00000000006</v>
      </c>
      <c r="BG11" s="16">
        <f t="shared" ref="BG11:BG12" si="30">SUM(AK11:AM11)</f>
        <v>581700.00000000023</v>
      </c>
      <c r="BH11" s="16">
        <f t="shared" ref="BH11:BH12" si="31">SUM(AN11:AP11)</f>
        <v>581550.00000000023</v>
      </c>
      <c r="BI11" s="79">
        <f t="shared" ref="BI11:BI12" si="32">+BD11/BD$8</f>
        <v>0.19002325967768735</v>
      </c>
      <c r="BK11" s="16">
        <f t="shared" ref="BK11:BK14" si="33">SUM(BL11:BO11)</f>
        <v>3256681.725000001</v>
      </c>
      <c r="BL11" s="16">
        <f>+'Rev &amp; COGS'!BK78</f>
        <v>571725.00000000023</v>
      </c>
      <c r="BM11" s="16">
        <f>+'Rev &amp; COGS'!BL78</f>
        <v>571725.00000000023</v>
      </c>
      <c r="BN11" s="16">
        <f>+'Rev &amp; COGS'!BM78</f>
        <v>1056572.5500000003</v>
      </c>
      <c r="BO11" s="16">
        <f>+'Rev &amp; COGS'!BN78</f>
        <v>1056659.1750000003</v>
      </c>
      <c r="BP11" s="71">
        <f t="shared" ref="BP11:BP12" si="34">+BK11/BK$8</f>
        <v>0.15432748612251163</v>
      </c>
      <c r="BQ11" s="72">
        <f t="shared" ref="BQ11:BQ12" si="35">(+BK11/BD11)-1</f>
        <v>1.1570999999999998</v>
      </c>
      <c r="BS11" s="16">
        <f t="shared" ref="BS11:BS12" si="36">SUM(BT11:BW11)</f>
        <v>5369746.4700000025</v>
      </c>
      <c r="BT11" s="16">
        <f>+'Rev &amp; COGS'!BQ78</f>
        <v>1049699.8050000004</v>
      </c>
      <c r="BU11" s="16">
        <f>+'Rev &amp; COGS'!BR78</f>
        <v>1049699.8050000004</v>
      </c>
      <c r="BV11" s="16">
        <f>+'Rev &amp; COGS'!BS78</f>
        <v>1635190.3050000009</v>
      </c>
      <c r="BW11" s="16">
        <f>+'Rev &amp; COGS'!BT78</f>
        <v>1635156.5550000009</v>
      </c>
      <c r="BX11" s="71">
        <f t="shared" ref="BX11:BX12" si="37">+BS11/BS$8</f>
        <v>0.12599259096595924</v>
      </c>
      <c r="BY11" s="72">
        <f t="shared" ref="BY11:BY12" si="38">(+BS11/BK11)-1</f>
        <v>0.64883980794899476</v>
      </c>
      <c r="CA11" s="16">
        <f t="shared" ref="CA11:CA12" si="39">SUM(CB11:CE11)</f>
        <v>7376670.1965000043</v>
      </c>
      <c r="CB11" s="16">
        <f>+'Rev &amp; COGS'!BW78</f>
        <v>1631234.335500001</v>
      </c>
      <c r="CC11" s="16">
        <f>+'Rev &amp; COGS'!BX78</f>
        <v>1631234.335500001</v>
      </c>
      <c r="CD11" s="16">
        <f>+'Rev &amp; COGS'!BY78</f>
        <v>2057153.0790000011</v>
      </c>
      <c r="CE11" s="16">
        <f>+'Rev &amp; COGS'!BZ78</f>
        <v>2057048.4465000012</v>
      </c>
      <c r="CF11" s="71">
        <f t="shared" ref="CF11:CF12" si="40">+CA11/CA$8</f>
        <v>0.10184340800197123</v>
      </c>
      <c r="CG11" s="72">
        <f>(+CA11/BS11)-1</f>
        <v>0.37374645855486754</v>
      </c>
    </row>
    <row r="12" spans="1:85" s="16" customFormat="1" x14ac:dyDescent="0.25">
      <c r="B12" s="16" t="s">
        <v>183</v>
      </c>
      <c r="E12" s="16">
        <f>+'Rev &amp; COGS'!E94</f>
        <v>0</v>
      </c>
      <c r="F12" s="16">
        <f>+'Rev &amp; COGS'!F94</f>
        <v>0</v>
      </c>
      <c r="G12" s="16">
        <f>+'Rev &amp; COGS'!G94</f>
        <v>0</v>
      </c>
      <c r="H12" s="16">
        <f>+'Rev &amp; COGS'!H94</f>
        <v>0</v>
      </c>
      <c r="I12" s="16">
        <f>+'Rev &amp; COGS'!I94</f>
        <v>0</v>
      </c>
      <c r="J12" s="16">
        <f>+'Rev &amp; COGS'!J94</f>
        <v>0</v>
      </c>
      <c r="K12" s="16">
        <f>+'Rev &amp; COGS'!K94</f>
        <v>0</v>
      </c>
      <c r="L12" s="16">
        <f>+'Rev &amp; COGS'!L94</f>
        <v>0</v>
      </c>
      <c r="M12" s="16">
        <f>+'Rev &amp; COGS'!M94</f>
        <v>0</v>
      </c>
      <c r="N12" s="16">
        <f>+'Rev &amp; COGS'!N94</f>
        <v>0</v>
      </c>
      <c r="O12" s="16">
        <f>+'Rev &amp; COGS'!O94</f>
        <v>0</v>
      </c>
      <c r="P12" s="16">
        <f>+'Rev &amp; COGS'!P94</f>
        <v>0</v>
      </c>
      <c r="R12" s="16">
        <f>+'Rev &amp; COGS'!R94</f>
        <v>0</v>
      </c>
      <c r="S12" s="16">
        <f>+'Rev &amp; COGS'!S94</f>
        <v>0</v>
      </c>
      <c r="T12" s="16">
        <f>+'Rev &amp; COGS'!T94</f>
        <v>0</v>
      </c>
      <c r="U12" s="16">
        <f>+'Rev &amp; COGS'!U94</f>
        <v>0</v>
      </c>
      <c r="V12" s="16">
        <f>+'Rev &amp; COGS'!V94</f>
        <v>0</v>
      </c>
      <c r="W12" s="16">
        <f>+'Rev &amp; COGS'!W94</f>
        <v>0</v>
      </c>
      <c r="X12" s="16">
        <f>+'Rev &amp; COGS'!X94</f>
        <v>158011.68687328047</v>
      </c>
      <c r="Y12" s="16">
        <f>+'Rev &amp; COGS'!Y94</f>
        <v>157798.55179599868</v>
      </c>
      <c r="Z12" s="16">
        <f>+'Rev &amp; COGS'!Z94</f>
        <v>157784.17730440682</v>
      </c>
      <c r="AA12" s="16">
        <f>+'Rev &amp; COGS'!AA94</f>
        <v>173046.48523168828</v>
      </c>
      <c r="AB12" s="16">
        <f>+'Rev &amp; COGS'!AB94</f>
        <v>173038.44450206796</v>
      </c>
      <c r="AC12" s="16">
        <f>+'Rev &amp; COGS'!AC94</f>
        <v>172972.83374821639</v>
      </c>
      <c r="AE12" s="16">
        <f>+'Rev &amp; COGS'!AE94</f>
        <v>206844.44570005857</v>
      </c>
      <c r="AF12" s="16">
        <f>+'Rev &amp; COGS'!AF94</f>
        <v>208038.0468396697</v>
      </c>
      <c r="AG12" s="16">
        <f>+'Rev &amp; COGS'!AG94</f>
        <v>208791.74894447153</v>
      </c>
      <c r="AH12" s="16">
        <f>+'Rev &amp; COGS'!AH94</f>
        <v>226331.60271389707</v>
      </c>
      <c r="AI12" s="16">
        <f>+'Rev &amp; COGS'!AI94</f>
        <v>151462.58664789874</v>
      </c>
      <c r="AJ12" s="16">
        <f>+'Rev &amp; COGS'!AJ94</f>
        <v>129231.69866841436</v>
      </c>
      <c r="AK12" s="16">
        <f>+'Rev &amp; COGS'!AK94</f>
        <v>311529.07596313261</v>
      </c>
      <c r="AL12" s="16">
        <f>+'Rev &amp; COGS'!AL94</f>
        <v>292301.19130692619</v>
      </c>
      <c r="AM12" s="16">
        <f>+'Rev &amp; COGS'!AM94</f>
        <v>280431.23866495374</v>
      </c>
      <c r="AN12" s="16">
        <f>+'Rev &amp; COGS'!AN94</f>
        <v>297018.45393692941</v>
      </c>
      <c r="AO12" s="16">
        <f>+'Rev &amp; COGS'!AO94</f>
        <v>292822.41014105041</v>
      </c>
      <c r="AP12" s="16">
        <f>+'Rev &amp; COGS'!AP94</f>
        <v>289588.81014841597</v>
      </c>
      <c r="AR12" s="16">
        <f t="shared" si="18"/>
        <v>0</v>
      </c>
      <c r="AS12" s="16">
        <f t="shared" si="19"/>
        <v>0</v>
      </c>
      <c r="AT12" s="16">
        <f t="shared" si="20"/>
        <v>0</v>
      </c>
      <c r="AU12" s="16">
        <f t="shared" si="21"/>
        <v>0</v>
      </c>
      <c r="AV12" s="16">
        <f t="shared" si="22"/>
        <v>0</v>
      </c>
      <c r="AX12" s="16">
        <f t="shared" si="23"/>
        <v>992652.17945565865</v>
      </c>
      <c r="AY12" s="16">
        <f t="shared" si="24"/>
        <v>0</v>
      </c>
      <c r="AZ12" s="16">
        <f t="shared" si="25"/>
        <v>0</v>
      </c>
      <c r="BA12" s="16">
        <f t="shared" si="26"/>
        <v>473594.41597368597</v>
      </c>
      <c r="BB12" s="16">
        <f t="shared" si="27"/>
        <v>519057.76348197262</v>
      </c>
      <c r="BD12" s="16">
        <f t="shared" si="28"/>
        <v>2894391.3096758188</v>
      </c>
      <c r="BE12" s="16">
        <f t="shared" si="29"/>
        <v>623674.24148419988</v>
      </c>
      <c r="BF12" s="16">
        <f t="shared" ref="BF12" si="41">SUM(AH12:AJ12)</f>
        <v>507025.88803021016</v>
      </c>
      <c r="BG12" s="16">
        <f t="shared" si="30"/>
        <v>884261.5059350126</v>
      </c>
      <c r="BH12" s="16">
        <f t="shared" si="31"/>
        <v>879429.67422639579</v>
      </c>
      <c r="BI12" s="79">
        <f t="shared" si="32"/>
        <v>0.36429983205654543</v>
      </c>
      <c r="BK12" s="16">
        <f t="shared" si="33"/>
        <v>5912626.9524205364</v>
      </c>
      <c r="BL12" s="16">
        <f>+'Rev &amp; COGS'!BK94</f>
        <v>1014515.7183432248</v>
      </c>
      <c r="BM12" s="16">
        <f>+'Rev &amp; COGS'!BL94</f>
        <v>1078904.4441031888</v>
      </c>
      <c r="BN12" s="16">
        <f>+'Rev &amp; COGS'!BM94</f>
        <v>1850254.578449426</v>
      </c>
      <c r="BO12" s="16">
        <f>+'Rev &amp; COGS'!BN94</f>
        <v>1968952.211524697</v>
      </c>
      <c r="BP12" s="71">
        <f t="shared" si="34"/>
        <v>0.28018729829893591</v>
      </c>
      <c r="BQ12" s="72">
        <f t="shared" si="35"/>
        <v>1.0427876951726924</v>
      </c>
      <c r="BS12" s="16">
        <f t="shared" si="36"/>
        <v>11920431.985001106</v>
      </c>
      <c r="BT12" s="16">
        <f>+'Rev &amp; COGS'!BQ94</f>
        <v>2291017.8892978327</v>
      </c>
      <c r="BU12" s="16">
        <f>+'Rev &amp; COGS'!BR94</f>
        <v>2403694.4743054784</v>
      </c>
      <c r="BV12" s="16">
        <f>+'Rev &amp; COGS'!BS94</f>
        <v>3714805.3193375892</v>
      </c>
      <c r="BW12" s="16">
        <f>+'Rev &amp; COGS'!BT94</f>
        <v>3510914.3020602055</v>
      </c>
      <c r="BX12" s="71">
        <f t="shared" si="37"/>
        <v>0.27969404507542445</v>
      </c>
      <c r="BY12" s="72">
        <f t="shared" si="38"/>
        <v>1.0160974269010947</v>
      </c>
      <c r="CA12" s="16">
        <f t="shared" si="39"/>
        <v>20344935.810867768</v>
      </c>
      <c r="CB12" s="16">
        <f>+'Rev &amp; COGS'!BW94</f>
        <v>4250725.1812481871</v>
      </c>
      <c r="CC12" s="16">
        <f>+'Rev &amp; COGS'!BX94</f>
        <v>4424671.0616290029</v>
      </c>
      <c r="CD12" s="16">
        <f>+'Rev &amp; COGS'!BY94</f>
        <v>5616954.656097332</v>
      </c>
      <c r="CE12" s="16">
        <f>+'Rev &amp; COGS'!BZ94</f>
        <v>6052584.9118932476</v>
      </c>
      <c r="CF12" s="71">
        <f t="shared" si="40"/>
        <v>0.28088521560083013</v>
      </c>
      <c r="CG12" s="72">
        <f>(+CA12/BS12)-1</f>
        <v>0.70672806459252491</v>
      </c>
    </row>
    <row r="13" spans="1:85" s="16" customFormat="1" x14ac:dyDescent="0.25">
      <c r="BH13" s="65">
        <f>+BH12/BH7</f>
        <v>0.38070548667809329</v>
      </c>
      <c r="BI13" s="78"/>
      <c r="BL13" s="65">
        <f>+BL12/BL7</f>
        <v>0.35936854075368263</v>
      </c>
      <c r="BM13" s="65">
        <f>+BM12/BM7</f>
        <v>0.34746183671363728</v>
      </c>
      <c r="BN13" s="65">
        <f>+BN12/BN7</f>
        <v>0.35714928368099524</v>
      </c>
      <c r="BO13" s="65">
        <f>+BO12/BO7</f>
        <v>0.34840115412484635</v>
      </c>
      <c r="BP13" s="69"/>
      <c r="BQ13" s="70"/>
      <c r="BT13" s="65">
        <f>+BT12/BT7</f>
        <v>0.34019702838341398</v>
      </c>
      <c r="BU13" s="65">
        <f>+BU12/BU7</f>
        <v>0.33144178618009146</v>
      </c>
      <c r="BV13" s="65">
        <f>+BV12/BV7</f>
        <v>0.34047183164813599</v>
      </c>
      <c r="BW13" s="65">
        <f>+BW12/BW7</f>
        <v>0.33239424442409787</v>
      </c>
      <c r="BX13" s="69"/>
      <c r="BY13" s="70"/>
      <c r="CB13" s="65">
        <f>+CB12/CB7</f>
        <v>0.32654167724020289</v>
      </c>
      <c r="CC13" s="65">
        <f>+CC12/CC7</f>
        <v>0.32011459968392425</v>
      </c>
      <c r="CD13" s="65">
        <f>+CD12/CD7</f>
        <v>0.32755061215319803</v>
      </c>
      <c r="CE13" s="65">
        <f>+CE12/CE7</f>
        <v>0.32526744490797815</v>
      </c>
      <c r="CF13" s="69"/>
      <c r="CG13" s="70"/>
    </row>
    <row r="14" spans="1:85" s="16" customFormat="1" x14ac:dyDescent="0.25">
      <c r="B14" s="16" t="s">
        <v>186</v>
      </c>
      <c r="E14" s="16">
        <f>+Production!E98</f>
        <v>1255</v>
      </c>
      <c r="F14" s="16">
        <f>+Production!F98</f>
        <v>1255</v>
      </c>
      <c r="G14" s="16">
        <f>+Production!G98</f>
        <v>1255</v>
      </c>
      <c r="H14" s="16">
        <f>+Production!H98</f>
        <v>2370.416666666667</v>
      </c>
      <c r="I14" s="16">
        <f>+Production!I98</f>
        <v>2370.416666666667</v>
      </c>
      <c r="J14" s="16">
        <f>+Production!J98</f>
        <v>2870.416666666667</v>
      </c>
      <c r="K14" s="16">
        <f>+Production!K98</f>
        <v>2370.416666666667</v>
      </c>
      <c r="L14" s="16">
        <f>+Production!L98</f>
        <v>2370.416666666667</v>
      </c>
      <c r="M14" s="16">
        <f>+Production!M98</f>
        <v>2370.416666666667</v>
      </c>
      <c r="N14" s="16">
        <f>+Production!N98</f>
        <v>2370.416666666667</v>
      </c>
      <c r="O14" s="16">
        <f>+Production!O98</f>
        <v>2370.416666666667</v>
      </c>
      <c r="P14" s="16">
        <f>+Production!P98</f>
        <v>2870.416666666667</v>
      </c>
      <c r="R14" s="16">
        <f>+Production!R98</f>
        <v>13205</v>
      </c>
      <c r="S14" s="16">
        <f>+Production!S98</f>
        <v>21955</v>
      </c>
      <c r="T14" s="16">
        <f>+Production!T98</f>
        <v>8205</v>
      </c>
      <c r="U14" s="16">
        <f>+Production!U98</f>
        <v>11781.521042239838</v>
      </c>
      <c r="V14" s="16">
        <f>+Production!V98</f>
        <v>39897.812848177498</v>
      </c>
      <c r="W14" s="16">
        <f>+Production!W98</f>
        <v>19742.709029688376</v>
      </c>
      <c r="X14" s="16">
        <f>+Production!X98</f>
        <v>-1053.0935465387156</v>
      </c>
      <c r="Y14" s="16">
        <f>+Production!Y98</f>
        <v>48795.013106171958</v>
      </c>
      <c r="Z14" s="16">
        <f>+Production!Z98</f>
        <v>28392.983971153844</v>
      </c>
      <c r="AA14" s="16">
        <f>+Production!AA98</f>
        <v>70080.222007028075</v>
      </c>
      <c r="AB14" s="16">
        <f>+Production!AB98</f>
        <v>19788.632022137826</v>
      </c>
      <c r="AC14" s="16">
        <f>+Production!AC98</f>
        <v>10208.270057419599</v>
      </c>
      <c r="AE14" s="16">
        <f>+Production!AE98</f>
        <v>25996.148048358606</v>
      </c>
      <c r="AF14" s="16">
        <f>+Production!AF98</f>
        <v>13026.719792956763</v>
      </c>
      <c r="AG14" s="16">
        <f>+Production!AG98</f>
        <v>7942.8402918826905</v>
      </c>
      <c r="AH14" s="16">
        <f>+Production!AH98</f>
        <v>-4342.2739371852276</v>
      </c>
      <c r="AI14" s="16">
        <f>+Production!AI98</f>
        <v>-4342.2739371852222</v>
      </c>
      <c r="AJ14" s="16">
        <f>+Production!AJ98</f>
        <v>1491.0593961480972</v>
      </c>
      <c r="AK14" s="16">
        <f>+Production!AK98</f>
        <v>-577.75968450800428</v>
      </c>
      <c r="AL14" s="16">
        <f>+Production!AL98</f>
        <v>-1140.062295942771</v>
      </c>
      <c r="AM14" s="16">
        <f>+Production!AM98</f>
        <v>-1140.062295942771</v>
      </c>
      <c r="AN14" s="16">
        <f>+Production!AN98</f>
        <v>-128.55677736244979</v>
      </c>
      <c r="AO14" s="16">
        <f>+Production!AO98</f>
        <v>-1350.1046039084576</v>
      </c>
      <c r="AP14" s="16">
        <f>+Production!AP98</f>
        <v>-4081.8917300632493</v>
      </c>
      <c r="AR14" s="16">
        <f t="shared" ref="AR14" si="42">SUM(E14:P14)</f>
        <v>26098.750000000007</v>
      </c>
      <c r="AS14" s="16">
        <f t="shared" ref="AS14" si="43">SUM(E14:G14)</f>
        <v>3765</v>
      </c>
      <c r="AT14" s="16">
        <f t="shared" ref="AT14" si="44">SUM(H14:J14)</f>
        <v>7611.2500000000009</v>
      </c>
      <c r="AU14" s="16">
        <f t="shared" ref="AU14" si="45">SUM(K14:M14)</f>
        <v>7111.2500000000009</v>
      </c>
      <c r="AV14" s="16">
        <f t="shared" ref="AV14" si="46">SUM(N14:P14)</f>
        <v>7611.2500000000009</v>
      </c>
      <c r="AX14" s="16">
        <f t="shared" ref="AX14" si="47">SUM(R14:AC14)</f>
        <v>290999.07053747831</v>
      </c>
      <c r="AY14" s="16">
        <f t="shared" ref="AY14" si="48">SUM(R14:T14)</f>
        <v>43365</v>
      </c>
      <c r="AZ14" s="16">
        <f t="shared" ref="AZ14" si="49">SUM(U14:W14)</f>
        <v>71422.042920105712</v>
      </c>
      <c r="BA14" s="16">
        <f t="shared" ref="BA14" si="50">SUM(X14:Z14)</f>
        <v>76134.903530787094</v>
      </c>
      <c r="BB14" s="16">
        <f t="shared" ref="BB14" si="51">SUM(AA14:AC14)</f>
        <v>100077.12408658551</v>
      </c>
      <c r="BD14" s="16">
        <f t="shared" ref="BD14" si="52">SUM(AE14:AP14)</f>
        <v>31353.782267248007</v>
      </c>
      <c r="BE14" s="16">
        <f t="shared" ref="BE14" si="53">SUM(AE14:AG14)</f>
        <v>46965.708133198059</v>
      </c>
      <c r="BF14" s="16">
        <f t="shared" ref="BF14" si="54">SUM(AH14:AJ14)</f>
        <v>-7193.4884782223526</v>
      </c>
      <c r="BG14" s="16">
        <f t="shared" ref="BG14" si="55">SUM(AK14:AM14)</f>
        <v>-2857.8842763935463</v>
      </c>
      <c r="BH14" s="16">
        <f t="shared" ref="BH14" si="56">SUM(AN14:AP14)</f>
        <v>-5560.5531113341567</v>
      </c>
      <c r="BI14" s="79">
        <f>+BD14/BD$8</f>
        <v>3.9463142305990627E-3</v>
      </c>
      <c r="BK14" s="16">
        <f t="shared" si="33"/>
        <v>268306.40253998834</v>
      </c>
      <c r="BL14" s="16">
        <f>+Production!BK98</f>
        <v>51528.889862538803</v>
      </c>
      <c r="BM14" s="16">
        <f>+Production!BL98</f>
        <v>69360.749201096478</v>
      </c>
      <c r="BN14" s="16">
        <f>+Production!BM98</f>
        <v>67254.288122647718</v>
      </c>
      <c r="BO14" s="16">
        <f>+Production!BN98</f>
        <v>80162.475353705362</v>
      </c>
      <c r="BP14" s="71"/>
      <c r="BQ14" s="72"/>
      <c r="BS14" s="16">
        <f t="shared" ref="BS14" si="57">SUM(BT14:BW14)</f>
        <v>511337.02500819007</v>
      </c>
      <c r="BT14" s="16">
        <f>+Production!BQ98</f>
        <v>99866.996361897676</v>
      </c>
      <c r="BU14" s="16">
        <f>+Production!BR98</f>
        <v>130367.51197167207</v>
      </c>
      <c r="BV14" s="16">
        <f>+Production!BS98</f>
        <v>132704.73768693782</v>
      </c>
      <c r="BW14" s="16">
        <f>+Production!BT98</f>
        <v>148397.77898768254</v>
      </c>
      <c r="BX14" s="71"/>
      <c r="BY14" s="72"/>
      <c r="CA14" s="16">
        <f t="shared" ref="CA14" si="58">SUM(CB14:CE14)</f>
        <v>781554.23743042734</v>
      </c>
      <c r="CB14" s="16">
        <f>+Production!BW98</f>
        <v>169329.80968933465</v>
      </c>
      <c r="CC14" s="16">
        <f>+Production!BX98</f>
        <v>192471.86660993122</v>
      </c>
      <c r="CD14" s="16">
        <f>+Production!BY98</f>
        <v>200073.46286461395</v>
      </c>
      <c r="CE14" s="16">
        <f>+Production!BZ98</f>
        <v>219679.09826654755</v>
      </c>
      <c r="CF14" s="71"/>
      <c r="CG14" s="72"/>
    </row>
    <row r="15" spans="1:85" s="16" customFormat="1" x14ac:dyDescent="0.25">
      <c r="B15" s="16" t="s">
        <v>185</v>
      </c>
      <c r="E15" s="18">
        <f>SUM(E11:E14)</f>
        <v>1255</v>
      </c>
      <c r="F15" s="18">
        <f t="shared" ref="F15:P15" si="59">SUM(F11:F14)</f>
        <v>1255</v>
      </c>
      <c r="G15" s="18">
        <f t="shared" si="59"/>
        <v>1255</v>
      </c>
      <c r="H15" s="18">
        <f t="shared" si="59"/>
        <v>2370.416666666667</v>
      </c>
      <c r="I15" s="18">
        <f t="shared" si="59"/>
        <v>2370.416666666667</v>
      </c>
      <c r="J15" s="18">
        <f t="shared" si="59"/>
        <v>2870.416666666667</v>
      </c>
      <c r="K15" s="18">
        <f t="shared" si="59"/>
        <v>2370.416666666667</v>
      </c>
      <c r="L15" s="18">
        <f t="shared" si="59"/>
        <v>2370.416666666667</v>
      </c>
      <c r="M15" s="18">
        <f t="shared" si="59"/>
        <v>2370.416666666667</v>
      </c>
      <c r="N15" s="18">
        <f t="shared" si="59"/>
        <v>2370.416666666667</v>
      </c>
      <c r="O15" s="18">
        <f t="shared" si="59"/>
        <v>2370.416666666667</v>
      </c>
      <c r="P15" s="18">
        <f t="shared" si="59"/>
        <v>2870.416666666667</v>
      </c>
      <c r="R15" s="18">
        <f t="shared" ref="R15:AC15" si="60">SUM(R11:R14)</f>
        <v>13205</v>
      </c>
      <c r="S15" s="18">
        <f t="shared" si="60"/>
        <v>21955</v>
      </c>
      <c r="T15" s="18">
        <f t="shared" si="60"/>
        <v>8205</v>
      </c>
      <c r="U15" s="18">
        <f t="shared" si="60"/>
        <v>11781.521042239838</v>
      </c>
      <c r="V15" s="18">
        <f t="shared" si="60"/>
        <v>68097.812848177506</v>
      </c>
      <c r="W15" s="18">
        <f t="shared" si="60"/>
        <v>19742.709029688376</v>
      </c>
      <c r="X15" s="18">
        <f t="shared" si="60"/>
        <v>500158.59332674183</v>
      </c>
      <c r="Y15" s="18">
        <f t="shared" si="60"/>
        <v>206593.56490217062</v>
      </c>
      <c r="Z15" s="18">
        <f t="shared" si="60"/>
        <v>186177.16127556068</v>
      </c>
      <c r="AA15" s="18">
        <f t="shared" si="60"/>
        <v>428676.70723871636</v>
      </c>
      <c r="AB15" s="18">
        <f t="shared" si="60"/>
        <v>192827.0765242058</v>
      </c>
      <c r="AC15" s="18">
        <f t="shared" si="60"/>
        <v>183181.103805636</v>
      </c>
      <c r="AE15" s="18">
        <f t="shared" ref="AE15" si="61">SUM(AE11:AE14)</f>
        <v>406090.59374841722</v>
      </c>
      <c r="AF15" s="18">
        <f t="shared" ref="AF15" si="62">SUM(AF11:AF14)</f>
        <v>221064.76663262647</v>
      </c>
      <c r="AG15" s="18">
        <f t="shared" ref="AG15" si="63">SUM(AG11:AG14)</f>
        <v>216734.58923635422</v>
      </c>
      <c r="AH15" s="18">
        <f t="shared" ref="AH15" si="64">SUM(AH11:AH14)</f>
        <v>395239.32877671189</v>
      </c>
      <c r="AI15" s="18">
        <f t="shared" ref="AI15" si="65">SUM(AI11:AI14)</f>
        <v>147120.31271071354</v>
      </c>
      <c r="AJ15" s="18">
        <f t="shared" ref="AJ15" si="66">SUM(AJ11:AJ14)</f>
        <v>130722.75806456245</v>
      </c>
      <c r="AK15" s="18">
        <f t="shared" ref="AK15" si="67">SUM(AK11:AK14)</f>
        <v>892651.31627862481</v>
      </c>
      <c r="AL15" s="18">
        <f t="shared" ref="AL15" si="68">SUM(AL11:AL14)</f>
        <v>291161.12901098339</v>
      </c>
      <c r="AM15" s="18">
        <f t="shared" ref="AM15" si="69">SUM(AM11:AM14)</f>
        <v>279291.17636901094</v>
      </c>
      <c r="AN15" s="18">
        <f t="shared" ref="AN15" si="70">SUM(AN11:AN14)</f>
        <v>878439.8971595671</v>
      </c>
      <c r="AO15" s="18">
        <f t="shared" ref="AO15" si="71">SUM(AO11:AO14)</f>
        <v>291472.30553714198</v>
      </c>
      <c r="AP15" s="18">
        <f t="shared" ref="AP15" si="72">SUM(AP11:AP14)</f>
        <v>285506.91841835272</v>
      </c>
      <c r="AR15" s="18">
        <f t="shared" ref="AR15" si="73">SUM(AR11:AR14)</f>
        <v>26098.750000000007</v>
      </c>
      <c r="AS15" s="18">
        <f t="shared" ref="AS15" si="74">SUM(AS11:AS14)</f>
        <v>3765</v>
      </c>
      <c r="AT15" s="18">
        <f t="shared" ref="AT15" si="75">SUM(AT11:AT14)</f>
        <v>7611.2500000000009</v>
      </c>
      <c r="AU15" s="18">
        <f t="shared" ref="AU15" si="76">SUM(AU11:AU14)</f>
        <v>7111.2500000000009</v>
      </c>
      <c r="AV15" s="18">
        <f t="shared" ref="AV15" si="77">SUM(AV11:AV14)</f>
        <v>7611.2500000000009</v>
      </c>
      <c r="AX15" s="18">
        <f t="shared" ref="AX15" si="78">SUM(AX11:AX14)</f>
        <v>1840601.2499931371</v>
      </c>
      <c r="AY15" s="18">
        <f t="shared" ref="AY15" si="79">SUM(AY11:AY14)</f>
        <v>43365</v>
      </c>
      <c r="AZ15" s="18">
        <f t="shared" ref="AZ15" si="80">SUM(AZ11:AZ14)</f>
        <v>99622.042920105712</v>
      </c>
      <c r="BA15" s="18">
        <f t="shared" ref="BA15" si="81">SUM(BA11:BA14)</f>
        <v>892929.31950447313</v>
      </c>
      <c r="BB15" s="18">
        <f t="shared" ref="BB15" si="82">SUM(BB11:BB14)</f>
        <v>804684.8875685581</v>
      </c>
      <c r="BD15" s="18">
        <f t="shared" ref="BD15" si="83">SUM(BD11:BD14)</f>
        <v>4435495.0919430675</v>
      </c>
      <c r="BE15" s="18">
        <f t="shared" ref="BE15" si="84">SUM(BE11:BE14)</f>
        <v>843889.94961739797</v>
      </c>
      <c r="BF15" s="18">
        <f t="shared" ref="BF15" si="85">SUM(BF11:BF14)</f>
        <v>673082.39955198788</v>
      </c>
      <c r="BG15" s="18">
        <f t="shared" ref="BG15" si="86">SUM(BG11:BG14)</f>
        <v>1463103.6216586193</v>
      </c>
      <c r="BH15" s="18">
        <f t="shared" ref="BH15" si="87">SUM(BH11:BH14)</f>
        <v>1455419.5018205487</v>
      </c>
      <c r="BI15" s="79">
        <f>+BD15/BD$8</f>
        <v>0.55826940596483188</v>
      </c>
      <c r="BK15" s="18">
        <f t="shared" ref="BK15:BO15" si="88">SUM(BK11:BK14)</f>
        <v>9437615.0799605269</v>
      </c>
      <c r="BL15" s="18">
        <f t="shared" si="88"/>
        <v>1637769.9675743047</v>
      </c>
      <c r="BM15" s="18">
        <f t="shared" si="88"/>
        <v>1719990.5407661223</v>
      </c>
      <c r="BN15" s="18">
        <f t="shared" si="88"/>
        <v>2974081.7737213578</v>
      </c>
      <c r="BO15" s="18">
        <f t="shared" si="88"/>
        <v>3105774.2102795565</v>
      </c>
      <c r="BP15" s="74">
        <f>+BK15/BK$8</f>
        <v>0.44722927607616125</v>
      </c>
      <c r="BQ15" s="72">
        <f>(+BK15/BD15)-1</f>
        <v>1.1277478352086665</v>
      </c>
      <c r="BS15" s="18">
        <f t="shared" ref="BS15:BW15" si="89">SUM(BS11:BS14)</f>
        <v>17801515.480009299</v>
      </c>
      <c r="BT15" s="18">
        <f t="shared" si="89"/>
        <v>3440585.0308567598</v>
      </c>
      <c r="BU15" s="18">
        <f t="shared" si="89"/>
        <v>3583762.1227189368</v>
      </c>
      <c r="BV15" s="18">
        <f t="shared" si="89"/>
        <v>5482700.7024963601</v>
      </c>
      <c r="BW15" s="18">
        <f t="shared" si="89"/>
        <v>5294468.9684421327</v>
      </c>
      <c r="BX15" s="74">
        <f>+BS15/BS$8</f>
        <v>0.41768434896834195</v>
      </c>
      <c r="BY15" s="72">
        <f>(+BS15/BK15)-1</f>
        <v>0.88623029538557474</v>
      </c>
      <c r="CA15" s="18">
        <f t="shared" ref="CA15:CE15" si="90">SUM(CA11:CA14)</f>
        <v>28503160.244798198</v>
      </c>
      <c r="CB15" s="18">
        <f t="shared" si="90"/>
        <v>6051289.6529791998</v>
      </c>
      <c r="CC15" s="18">
        <f t="shared" si="90"/>
        <v>6248377.5838535344</v>
      </c>
      <c r="CD15" s="18">
        <f t="shared" si="90"/>
        <v>7874181.5255125593</v>
      </c>
      <c r="CE15" s="18">
        <f t="shared" si="90"/>
        <v>8329312.7819272419</v>
      </c>
      <c r="CF15" s="74">
        <f>+CA15/CA$8</f>
        <v>0.39351887787173451</v>
      </c>
      <c r="CG15" s="72">
        <f>(+CA15/BS15)-1</f>
        <v>0.6011648152544431</v>
      </c>
    </row>
    <row r="16" spans="1:85" s="16" customFormat="1" x14ac:dyDescent="0.25">
      <c r="B16" s="16" t="s">
        <v>208</v>
      </c>
      <c r="E16" s="18">
        <f>+E8-E15</f>
        <v>-1255</v>
      </c>
      <c r="F16" s="18">
        <f t="shared" ref="F16:P16" si="91">+F8-F15</f>
        <v>-1255</v>
      </c>
      <c r="G16" s="18">
        <f t="shared" si="91"/>
        <v>-1255</v>
      </c>
      <c r="H16" s="18">
        <f t="shared" si="91"/>
        <v>-2370.416666666667</v>
      </c>
      <c r="I16" s="18">
        <f t="shared" si="91"/>
        <v>-2370.416666666667</v>
      </c>
      <c r="J16" s="18">
        <f t="shared" si="91"/>
        <v>-2870.416666666667</v>
      </c>
      <c r="K16" s="18">
        <f t="shared" si="91"/>
        <v>-2370.416666666667</v>
      </c>
      <c r="L16" s="18">
        <f t="shared" si="91"/>
        <v>-2370.416666666667</v>
      </c>
      <c r="M16" s="18">
        <f t="shared" si="91"/>
        <v>-2370.416666666667</v>
      </c>
      <c r="N16" s="18">
        <f t="shared" si="91"/>
        <v>-2370.416666666667</v>
      </c>
      <c r="O16" s="18">
        <f t="shared" si="91"/>
        <v>-2370.416666666667</v>
      </c>
      <c r="P16" s="18">
        <f t="shared" si="91"/>
        <v>-2870.416666666667</v>
      </c>
      <c r="R16" s="18">
        <f t="shared" ref="R16:AC16" si="92">+R8-R15</f>
        <v>-13205</v>
      </c>
      <c r="S16" s="18">
        <f t="shared" si="92"/>
        <v>-21955</v>
      </c>
      <c r="T16" s="18">
        <f t="shared" si="92"/>
        <v>-8205</v>
      </c>
      <c r="U16" s="18">
        <f t="shared" si="92"/>
        <v>-11781.521042239838</v>
      </c>
      <c r="V16" s="18">
        <f t="shared" si="92"/>
        <v>-68097.812848177506</v>
      </c>
      <c r="W16" s="18">
        <f t="shared" si="92"/>
        <v>-19742.709029688376</v>
      </c>
      <c r="X16" s="18">
        <f t="shared" si="92"/>
        <v>-79658.593326741713</v>
      </c>
      <c r="Y16" s="18">
        <f t="shared" si="92"/>
        <v>-33693.56490217059</v>
      </c>
      <c r="Z16" s="18">
        <f t="shared" si="92"/>
        <v>-13277.161275560647</v>
      </c>
      <c r="AA16" s="18">
        <f t="shared" si="92"/>
        <v>17523.292761283752</v>
      </c>
      <c r="AB16" s="18">
        <f t="shared" si="92"/>
        <v>5972.9234757942613</v>
      </c>
      <c r="AC16" s="18">
        <f t="shared" si="92"/>
        <v>15618.896194364061</v>
      </c>
      <c r="AE16" s="18">
        <f t="shared" ref="AE16" si="93">+AE8-AE15</f>
        <v>72079.406251582899</v>
      </c>
      <c r="AF16" s="18">
        <f t="shared" ref="AF16" si="94">+AF8-AF15</f>
        <v>26105.233367373585</v>
      </c>
      <c r="AG16" s="18">
        <f t="shared" ref="AG16" si="95">+AG8-AG15</f>
        <v>30435.410763645836</v>
      </c>
      <c r="AH16" s="18">
        <f t="shared" ref="AH16" si="96">+AH8-AH15</f>
        <v>111420.67122328834</v>
      </c>
      <c r="AI16" s="18">
        <f t="shared" ref="AI16" si="97">+AI8-AI15</f>
        <v>128539.68728928658</v>
      </c>
      <c r="AJ16" s="18">
        <f t="shared" ref="AJ16" si="98">+AJ8-AJ15</f>
        <v>144937.24193543766</v>
      </c>
      <c r="AK16" s="18">
        <f t="shared" ref="AK16" si="99">+AK8-AK15</f>
        <v>567478.68372137565</v>
      </c>
      <c r="AL16" s="18">
        <f t="shared" ref="AL16" si="100">+AL8-AL15</f>
        <v>393368.87098901684</v>
      </c>
      <c r="AM16" s="18">
        <f t="shared" ref="AM16" si="101">+AM8-AM15</f>
        <v>405238.8236309893</v>
      </c>
      <c r="AN16" s="18">
        <f t="shared" ref="AN16" si="102">+AN8-AN15</f>
        <v>666960.10284043336</v>
      </c>
      <c r="AO16" s="18">
        <f t="shared" ref="AO16" si="103">+AO8-AO15</f>
        <v>478527.69446285826</v>
      </c>
      <c r="AP16" s="18">
        <f t="shared" ref="AP16" si="104">+AP8-AP15</f>
        <v>484493.08158164751</v>
      </c>
      <c r="AR16" s="18">
        <f t="shared" ref="AR16" si="105">+AR8-AR15</f>
        <v>-26098.750000000007</v>
      </c>
      <c r="AS16" s="18">
        <f t="shared" ref="AS16" si="106">+AS8-AS15</f>
        <v>-3765</v>
      </c>
      <c r="AT16" s="18">
        <f t="shared" ref="AT16" si="107">+AT8-AT15</f>
        <v>-7611.2500000000009</v>
      </c>
      <c r="AU16" s="18">
        <f t="shared" ref="AU16" si="108">+AU8-AU15</f>
        <v>-7111.2500000000009</v>
      </c>
      <c r="AV16" s="18">
        <f t="shared" ref="AV16" si="109">+AV8-AV15</f>
        <v>-7611.2500000000009</v>
      </c>
      <c r="AX16" s="18">
        <f t="shared" ref="AX16" si="110">+AX8-AX15</f>
        <v>-230501.24999313662</v>
      </c>
      <c r="AY16" s="18">
        <f t="shared" ref="AY16" si="111">+AY8-AY15</f>
        <v>-43365</v>
      </c>
      <c r="AZ16" s="18">
        <f t="shared" ref="AZ16" si="112">+AZ8-AZ15</f>
        <v>-99622.042920105712</v>
      </c>
      <c r="BA16" s="18">
        <f t="shared" ref="BA16" si="113">+BA8-BA15</f>
        <v>-126629.31950447289</v>
      </c>
      <c r="BB16" s="18">
        <f t="shared" ref="BB16" si="114">+BB8-BB15</f>
        <v>39115.112431442132</v>
      </c>
      <c r="BD16" s="18">
        <f t="shared" ref="BD16" si="115">+BD8-BD15</f>
        <v>3509584.9080569344</v>
      </c>
      <c r="BE16" s="18">
        <f t="shared" ref="BE16" si="116">+BE8-BE15</f>
        <v>128620.05038260238</v>
      </c>
      <c r="BF16" s="18">
        <f t="shared" ref="BF16" si="117">+BF8-BF15</f>
        <v>384897.60044801258</v>
      </c>
      <c r="BG16" s="18">
        <f t="shared" ref="BG16" si="118">+BG8-BG15</f>
        <v>1366086.3783413817</v>
      </c>
      <c r="BH16" s="18">
        <f t="shared" ref="BH16" si="119">+BH8-BH15</f>
        <v>1629980.4981794523</v>
      </c>
      <c r="BI16" s="79">
        <f>+BD16/BD$8</f>
        <v>0.44173059403516812</v>
      </c>
      <c r="BK16" s="18">
        <f t="shared" ref="BK16:BO16" si="120">+BK8-BK15</f>
        <v>11664793.87403948</v>
      </c>
      <c r="BL16" s="18">
        <f t="shared" si="120"/>
        <v>1947581.0324256967</v>
      </c>
      <c r="BM16" s="18">
        <f t="shared" si="120"/>
        <v>2147411.4592338791</v>
      </c>
      <c r="BN16" s="18">
        <f t="shared" si="120"/>
        <v>3615301.2242786437</v>
      </c>
      <c r="BO16" s="18">
        <f t="shared" si="120"/>
        <v>3954498.7457204456</v>
      </c>
      <c r="BP16" s="71">
        <f>+BK16/BK$8</f>
        <v>0.55277072392383875</v>
      </c>
      <c r="BQ16" s="72">
        <f>(+BK16/BD16)-1</f>
        <v>2.3236961577024902</v>
      </c>
      <c r="BS16" s="18">
        <f t="shared" ref="BS16:BW16" si="121">+BS8-BS15</f>
        <v>24818026.104390722</v>
      </c>
      <c r="BT16" s="18">
        <f t="shared" si="121"/>
        <v>4693400.0745432433</v>
      </c>
      <c r="BU16" s="18">
        <f t="shared" si="121"/>
        <v>5068074.8864810681</v>
      </c>
      <c r="BV16" s="18">
        <f t="shared" si="121"/>
        <v>7608309.7405036474</v>
      </c>
      <c r="BW16" s="18">
        <f t="shared" si="121"/>
        <v>7448240.0583578739</v>
      </c>
      <c r="BX16" s="71">
        <f>+BS16/BS$8</f>
        <v>0.58231565103165805</v>
      </c>
      <c r="BY16" s="72">
        <f>(+BS16/BK16)-1</f>
        <v>1.1276009136881835</v>
      </c>
      <c r="CA16" s="18">
        <f t="shared" ref="CA16:CE16" si="122">+CA8-CA15</f>
        <v>43928333.763701841</v>
      </c>
      <c r="CB16" s="18">
        <f t="shared" si="122"/>
        <v>9141094.2136808075</v>
      </c>
      <c r="CC16" s="18">
        <f t="shared" si="122"/>
        <v>9748748.5549864732</v>
      </c>
      <c r="CD16" s="18">
        <f t="shared" si="122"/>
        <v>12017045.707107449</v>
      </c>
      <c r="CE16" s="18">
        <f t="shared" si="122"/>
        <v>13021443.98845277</v>
      </c>
      <c r="CF16" s="71">
        <f>+CA16/CA$8</f>
        <v>0.60648112212826544</v>
      </c>
      <c r="CG16" s="72">
        <f>(+CA16/BS16)-1</f>
        <v>0.77001722775729475</v>
      </c>
    </row>
    <row r="17" spans="1:85" s="16" customFormat="1" x14ac:dyDescent="0.25">
      <c r="B17" s="16" t="s">
        <v>187</v>
      </c>
      <c r="E17" s="41">
        <f>IF(E8=0,0,E16/E8)</f>
        <v>0</v>
      </c>
      <c r="F17" s="41">
        <f t="shared" ref="F17:P17" si="123">IF(F8=0,0,F16/F8)</f>
        <v>0</v>
      </c>
      <c r="G17" s="41">
        <f t="shared" si="123"/>
        <v>0</v>
      </c>
      <c r="H17" s="41">
        <f t="shared" si="123"/>
        <v>0</v>
      </c>
      <c r="I17" s="41">
        <f t="shared" si="123"/>
        <v>0</v>
      </c>
      <c r="J17" s="41">
        <f t="shared" si="123"/>
        <v>0</v>
      </c>
      <c r="K17" s="41">
        <f t="shared" si="123"/>
        <v>0</v>
      </c>
      <c r="L17" s="41">
        <f t="shared" si="123"/>
        <v>0</v>
      </c>
      <c r="M17" s="41">
        <f t="shared" si="123"/>
        <v>0</v>
      </c>
      <c r="N17" s="41">
        <f t="shared" si="123"/>
        <v>0</v>
      </c>
      <c r="O17" s="41">
        <f t="shared" si="123"/>
        <v>0</v>
      </c>
      <c r="P17" s="41">
        <f t="shared" si="123"/>
        <v>0</v>
      </c>
      <c r="R17" s="41">
        <f t="shared" ref="R17:AC17" si="124">IF(R8=0,0,R16/R8)</f>
        <v>0</v>
      </c>
      <c r="S17" s="41">
        <f t="shared" si="124"/>
        <v>0</v>
      </c>
      <c r="T17" s="41">
        <f t="shared" si="124"/>
        <v>0</v>
      </c>
      <c r="U17" s="41">
        <f t="shared" si="124"/>
        <v>0</v>
      </c>
      <c r="V17" s="41">
        <f t="shared" si="124"/>
        <v>0</v>
      </c>
      <c r="W17" s="41">
        <f t="shared" si="124"/>
        <v>0</v>
      </c>
      <c r="X17" s="41">
        <f t="shared" si="124"/>
        <v>-0.18943779625860094</v>
      </c>
      <c r="Y17" s="41">
        <f t="shared" si="124"/>
        <v>-0.19487313419416186</v>
      </c>
      <c r="Z17" s="41">
        <f t="shared" si="124"/>
        <v>-7.6790984821056368E-2</v>
      </c>
      <c r="AA17" s="41">
        <f t="shared" si="124"/>
        <v>3.9272283194271063E-2</v>
      </c>
      <c r="AB17" s="41">
        <f t="shared" si="124"/>
        <v>3.0044886699166294E-2</v>
      </c>
      <c r="AC17" s="41">
        <f t="shared" si="124"/>
        <v>7.8565876229195447E-2</v>
      </c>
      <c r="AE17" s="41">
        <f t="shared" ref="AE17:AP17" si="125">IF(AE8=0,0,AE16/AE8)</f>
        <v>0.15074012642278453</v>
      </c>
      <c r="AF17" s="41">
        <f t="shared" si="125"/>
        <v>0.10561651238974624</v>
      </c>
      <c r="AG17" s="41">
        <f t="shared" si="125"/>
        <v>0.12313553733724088</v>
      </c>
      <c r="AH17" s="41">
        <f t="shared" si="125"/>
        <v>0.21991211310008346</v>
      </c>
      <c r="AI17" s="41">
        <f t="shared" si="125"/>
        <v>0.46629792965713751</v>
      </c>
      <c r="AJ17" s="41">
        <f t="shared" si="125"/>
        <v>0.52578263779814849</v>
      </c>
      <c r="AK17" s="41">
        <f t="shared" si="125"/>
        <v>0.3886494241755018</v>
      </c>
      <c r="AL17" s="41">
        <f t="shared" si="125"/>
        <v>0.57465541464803105</v>
      </c>
      <c r="AM17" s="41">
        <f t="shared" si="125"/>
        <v>0.59199571038667287</v>
      </c>
      <c r="AN17" s="41">
        <f t="shared" si="125"/>
        <v>0.43157765163739692</v>
      </c>
      <c r="AO17" s="41">
        <f t="shared" si="125"/>
        <v>0.62146453826345205</v>
      </c>
      <c r="AP17" s="41">
        <f t="shared" si="125"/>
        <v>0.62921179426187968</v>
      </c>
      <c r="AR17" s="41">
        <f t="shared" ref="AR17:AV17" si="126">IF(AR8=0,0,AR16/AR8)</f>
        <v>0</v>
      </c>
      <c r="AS17" s="41">
        <f t="shared" si="126"/>
        <v>0</v>
      </c>
      <c r="AT17" s="41">
        <f t="shared" si="126"/>
        <v>0</v>
      </c>
      <c r="AU17" s="41">
        <f t="shared" si="126"/>
        <v>0</v>
      </c>
      <c r="AV17" s="41">
        <f t="shared" si="126"/>
        <v>0</v>
      </c>
      <c r="AX17" s="41">
        <f t="shared" ref="AX17:BB17" si="127">IF(AX8=0,0,AX16/AX8)</f>
        <v>-0.14315958635683285</v>
      </c>
      <c r="AY17" s="41">
        <f t="shared" si="127"/>
        <v>0</v>
      </c>
      <c r="AZ17" s="41">
        <f t="shared" si="127"/>
        <v>0</v>
      </c>
      <c r="BA17" s="41">
        <f t="shared" si="127"/>
        <v>-0.16524770912759082</v>
      </c>
      <c r="BB17" s="41">
        <f t="shared" si="127"/>
        <v>4.6355904754020051E-2</v>
      </c>
      <c r="BD17" s="41">
        <f t="shared" ref="BD17:BH17" si="128">IF(BD8=0,0,BD16/BD8)</f>
        <v>0.44173059403516812</v>
      </c>
      <c r="BE17" s="41">
        <f t="shared" si="128"/>
        <v>0.13225576125962954</v>
      </c>
      <c r="BF17" s="41">
        <f t="shared" si="128"/>
        <v>0.36380423112725424</v>
      </c>
      <c r="BG17" s="41">
        <f t="shared" si="128"/>
        <v>0.48285423684566298</v>
      </c>
      <c r="BH17" s="41">
        <f t="shared" si="128"/>
        <v>0.52828822784062091</v>
      </c>
      <c r="BI17" s="78"/>
      <c r="BK17" s="41">
        <f t="shared" ref="BK17:BO17" si="129">IF(BK8=0,0,BK16/BK8)</f>
        <v>0.55277072392383875</v>
      </c>
      <c r="BL17" s="41">
        <f t="shared" si="129"/>
        <v>0.54320512341070537</v>
      </c>
      <c r="BM17" s="41">
        <f t="shared" si="129"/>
        <v>0.55525943753296869</v>
      </c>
      <c r="BN17" s="41">
        <f t="shared" si="129"/>
        <v>0.54865550012435971</v>
      </c>
      <c r="BO17" s="41">
        <f t="shared" si="129"/>
        <v>0.56010564610817359</v>
      </c>
      <c r="BP17" s="69"/>
      <c r="BQ17" s="70"/>
      <c r="BS17" s="41">
        <f t="shared" ref="BS17:BW17" si="130">IF(BS8=0,0,BS16/BS8)</f>
        <v>0.58231565103165805</v>
      </c>
      <c r="BT17" s="41">
        <f t="shared" si="130"/>
        <v>0.57701114690109045</v>
      </c>
      <c r="BU17" s="41">
        <f t="shared" si="130"/>
        <v>0.58578020842185163</v>
      </c>
      <c r="BV17" s="41">
        <f t="shared" si="130"/>
        <v>0.58118582775800498</v>
      </c>
      <c r="BW17" s="41">
        <f t="shared" si="130"/>
        <v>0.58450993761946568</v>
      </c>
      <c r="BX17" s="69"/>
      <c r="BY17" s="70"/>
      <c r="CA17" s="41">
        <f t="shared" ref="CA17:CE17" si="131">IF(CA8=0,0,CA16/CA8)</f>
        <v>0.60648112212826544</v>
      </c>
      <c r="CB17" s="41">
        <f t="shared" si="131"/>
        <v>0.60168926048143923</v>
      </c>
      <c r="CC17" s="41">
        <f t="shared" si="131"/>
        <v>0.60940624399510923</v>
      </c>
      <c r="CD17" s="41">
        <f t="shared" si="131"/>
        <v>0.60413797331722519</v>
      </c>
      <c r="CE17" s="41">
        <f t="shared" si="131"/>
        <v>0.6098820818621975</v>
      </c>
      <c r="CF17" s="69"/>
      <c r="CG17" s="70"/>
    </row>
    <row r="18" spans="1:85" s="16" customFormat="1" x14ac:dyDescent="0.25">
      <c r="BI18" s="78"/>
      <c r="BP18" s="69"/>
      <c r="BQ18" s="70"/>
      <c r="BX18" s="69"/>
      <c r="BY18" s="70"/>
      <c r="CF18" s="69"/>
      <c r="CG18" s="70"/>
    </row>
    <row r="19" spans="1:85" s="16" customFormat="1" x14ac:dyDescent="0.25">
      <c r="A19" s="16" t="s">
        <v>188</v>
      </c>
      <c r="BI19" s="78"/>
      <c r="BP19" s="69"/>
      <c r="BQ19" s="70"/>
      <c r="BX19" s="69"/>
      <c r="BY19" s="70"/>
      <c r="CF19" s="69"/>
      <c r="CG19" s="70"/>
    </row>
    <row r="20" spans="1:85" s="16" customFormat="1" x14ac:dyDescent="0.25">
      <c r="B20" s="16" t="s">
        <v>189</v>
      </c>
      <c r="C20" s="16" t="s">
        <v>652</v>
      </c>
      <c r="E20" s="16">
        <f>+'S&amp;M'!E75</f>
        <v>0</v>
      </c>
      <c r="F20" s="16">
        <f>+'S&amp;M'!F75</f>
        <v>0</v>
      </c>
      <c r="G20" s="16">
        <f>+'S&amp;M'!G75</f>
        <v>0</v>
      </c>
      <c r="H20" s="16">
        <f>+'S&amp;M'!H75</f>
        <v>0</v>
      </c>
      <c r="I20" s="16">
        <f>+'S&amp;M'!I75</f>
        <v>0</v>
      </c>
      <c r="J20" s="16">
        <f>+'S&amp;M'!J75</f>
        <v>0</v>
      </c>
      <c r="K20" s="16">
        <f>+'S&amp;M'!K75</f>
        <v>0</v>
      </c>
      <c r="L20" s="16">
        <f>+'S&amp;M'!L75</f>
        <v>0</v>
      </c>
      <c r="M20" s="16">
        <f>+'S&amp;M'!M75</f>
        <v>0</v>
      </c>
      <c r="N20" s="16">
        <f>+'S&amp;M'!N75</f>
        <v>0</v>
      </c>
      <c r="O20" s="16">
        <f>+'S&amp;M'!O75</f>
        <v>0</v>
      </c>
      <c r="P20" s="16">
        <f>+'S&amp;M'!P75</f>
        <v>0</v>
      </c>
      <c r="R20" s="16">
        <f>+'S&amp;M'!R75</f>
        <v>0</v>
      </c>
      <c r="S20" s="16">
        <f>+'S&amp;M'!S75</f>
        <v>0</v>
      </c>
      <c r="T20" s="16">
        <f>+'S&amp;M'!T75</f>
        <v>24034.166666666668</v>
      </c>
      <c r="U20" s="16">
        <f>+'S&amp;M'!U75</f>
        <v>24034.166666666668</v>
      </c>
      <c r="V20" s="16">
        <f>+'S&amp;M'!V75</f>
        <v>25034.166666666668</v>
      </c>
      <c r="W20" s="16">
        <f>+'S&amp;M'!W75</f>
        <v>30934.166666666668</v>
      </c>
      <c r="X20" s="16">
        <f>+'S&amp;M'!X75</f>
        <v>24034.166666666668</v>
      </c>
      <c r="Y20" s="16">
        <f>+'S&amp;M'!Y75</f>
        <v>28934.166666666668</v>
      </c>
      <c r="Z20" s="16">
        <f>+'S&amp;M'!Z75</f>
        <v>24034.166666666668</v>
      </c>
      <c r="AA20" s="16">
        <f>+'S&amp;M'!AA75</f>
        <v>25934.166666666668</v>
      </c>
      <c r="AB20" s="16">
        <f>+'S&amp;M'!AB75</f>
        <v>26034.166666666668</v>
      </c>
      <c r="AC20" s="16">
        <f>+'S&amp;M'!AC75</f>
        <v>31034.166666666668</v>
      </c>
      <c r="AE20" s="16">
        <f>+'S&amp;M'!AE75</f>
        <v>55885.833333333336</v>
      </c>
      <c r="AF20" s="16">
        <f>+'S&amp;M'!AF75</f>
        <v>59885.833333333336</v>
      </c>
      <c r="AG20" s="16">
        <f>+'S&amp;M'!AG75</f>
        <v>55885.833333333336</v>
      </c>
      <c r="AH20" s="16">
        <f>+'S&amp;M'!AH75</f>
        <v>55885.833333333336</v>
      </c>
      <c r="AI20" s="16">
        <f>+'S&amp;M'!AI75</f>
        <v>55885.833333333336</v>
      </c>
      <c r="AJ20" s="16">
        <f>+'S&amp;M'!AJ75</f>
        <v>65885.833333333343</v>
      </c>
      <c r="AK20" s="16">
        <f>+'S&amp;M'!AK75</f>
        <v>59885.833333333336</v>
      </c>
      <c r="AL20" s="16">
        <f>+'S&amp;M'!AL75</f>
        <v>55885.833333333336</v>
      </c>
      <c r="AM20" s="16">
        <f>+'S&amp;M'!AM75</f>
        <v>55885.833333333336</v>
      </c>
      <c r="AN20" s="16">
        <f>+'S&amp;M'!AN75</f>
        <v>55885.833333333336</v>
      </c>
      <c r="AO20" s="16">
        <f>+'S&amp;M'!AO75</f>
        <v>55885.833333333336</v>
      </c>
      <c r="AP20" s="16">
        <f>+'S&amp;M'!AP75</f>
        <v>65885.833333333343</v>
      </c>
      <c r="AR20" s="16">
        <f t="shared" ref="AR20:AR22" si="132">SUM(E20:P20)</f>
        <v>0</v>
      </c>
      <c r="AS20" s="16">
        <f t="shared" ref="AS20:AS22" si="133">SUM(E20:G20)</f>
        <v>0</v>
      </c>
      <c r="AT20" s="16">
        <f t="shared" ref="AT20:AT22" si="134">SUM(H20:J20)</f>
        <v>0</v>
      </c>
      <c r="AU20" s="16">
        <f t="shared" ref="AU20:AU22" si="135">SUM(K20:M20)</f>
        <v>0</v>
      </c>
      <c r="AV20" s="16">
        <f t="shared" ref="AV20:AV22" si="136">SUM(N20:P20)</f>
        <v>0</v>
      </c>
      <c r="AX20" s="16">
        <f t="shared" ref="AX20:AX22" si="137">SUM(R20:AC20)</f>
        <v>264041.66666666663</v>
      </c>
      <c r="AY20" s="16">
        <f t="shared" ref="AY20:AY22" si="138">SUM(R20:T20)</f>
        <v>24034.166666666668</v>
      </c>
      <c r="AZ20" s="16">
        <f t="shared" ref="AZ20:AZ22" si="139">SUM(U20:W20)</f>
        <v>80002.5</v>
      </c>
      <c r="BA20" s="16">
        <f t="shared" ref="BA20:BA22" si="140">SUM(X20:Z20)</f>
        <v>77002.5</v>
      </c>
      <c r="BB20" s="16">
        <f t="shared" ref="BB20:BB22" si="141">SUM(AA20:AC20)</f>
        <v>83002.5</v>
      </c>
      <c r="BD20" s="16">
        <f t="shared" ref="BD20:BD22" si="142">SUM(AE20:AP20)</f>
        <v>698630</v>
      </c>
      <c r="BE20" s="16">
        <f t="shared" ref="BE20:BE22" si="143">SUM(AE20:AG20)</f>
        <v>171657.5</v>
      </c>
      <c r="BF20" s="16">
        <f t="shared" ref="BF20:BF22" si="144">SUM(AH20:AJ20)</f>
        <v>177657.5</v>
      </c>
      <c r="BG20" s="16">
        <f t="shared" ref="BG20:BG22" si="145">SUM(AK20:AM20)</f>
        <v>171657.5</v>
      </c>
      <c r="BH20" s="16">
        <f t="shared" ref="BH20:BH22" si="146">SUM(AN20:AP20)</f>
        <v>177657.5</v>
      </c>
      <c r="BI20" s="79">
        <f t="shared" ref="BI20:BI22" si="147">+BD20/BD$8</f>
        <v>8.7932405966963181E-2</v>
      </c>
      <c r="BK20" s="16">
        <f t="shared" ref="BK20:BK22" si="148">SUM(BL20:BO20)</f>
        <v>4721950</v>
      </c>
      <c r="BL20" s="16">
        <f>+'S&amp;M'!BK75</f>
        <v>1180487.5</v>
      </c>
      <c r="BM20" s="16">
        <f>+'S&amp;M'!BL75</f>
        <v>1180487.5</v>
      </c>
      <c r="BN20" s="16">
        <f>+'S&amp;M'!BM75</f>
        <v>1180487.5</v>
      </c>
      <c r="BO20" s="16">
        <f>+'S&amp;M'!BN75</f>
        <v>1180487.5</v>
      </c>
      <c r="BP20" s="71">
        <f t="shared" ref="BP20:BP21" si="149">+BK20/BK$8</f>
        <v>0.22376355279120605</v>
      </c>
      <c r="BQ20" s="72">
        <f t="shared" ref="BQ20:BQ22" si="150">(+BK20/BD20)-1</f>
        <v>5.7588709331119476</v>
      </c>
      <c r="BS20" s="16">
        <f t="shared" ref="BS20:BS22" si="151">SUM(BT20:BW20)</f>
        <v>8945445</v>
      </c>
      <c r="BT20" s="16">
        <f>+'S&amp;M'!BQ75</f>
        <v>2236361.25</v>
      </c>
      <c r="BU20" s="16">
        <f>+'S&amp;M'!BR75</f>
        <v>2236361.25</v>
      </c>
      <c r="BV20" s="16">
        <f>+'S&amp;M'!BS75</f>
        <v>2236361.25</v>
      </c>
      <c r="BW20" s="16">
        <f>+'S&amp;M'!BT75</f>
        <v>2236361.25</v>
      </c>
      <c r="BX20" s="71">
        <f t="shared" ref="BX20:BX21" si="152">+BS20/BS$8</f>
        <v>0.20989069021977211</v>
      </c>
      <c r="BY20" s="72">
        <f>(+BS20/BK20)-1</f>
        <v>0.89443873823314513</v>
      </c>
      <c r="CA20" s="16">
        <f t="shared" ref="CA20:CA22" si="153">SUM(CB20:CE20)</f>
        <v>10904345</v>
      </c>
      <c r="CB20" s="16">
        <f>+'S&amp;M'!BW75</f>
        <v>2726086.25</v>
      </c>
      <c r="CC20" s="16">
        <f>+'S&amp;M'!BX75</f>
        <v>2726086.25</v>
      </c>
      <c r="CD20" s="16">
        <f>+'S&amp;M'!BY75</f>
        <v>2726086.25</v>
      </c>
      <c r="CE20" s="16">
        <f>+'S&amp;M'!BZ75</f>
        <v>2726086.25</v>
      </c>
      <c r="CF20" s="71">
        <f t="shared" ref="CF20:CF21" si="154">+CA20/CA$8</f>
        <v>0.15054701203209123</v>
      </c>
      <c r="CG20" s="72">
        <f>(+CA20/BS20)-1</f>
        <v>0.21898295724807437</v>
      </c>
    </row>
    <row r="21" spans="1:85" s="16" customFormat="1" x14ac:dyDescent="0.25">
      <c r="B21" s="16" t="s">
        <v>190</v>
      </c>
      <c r="C21" s="16" t="s">
        <v>651</v>
      </c>
      <c r="E21" s="16">
        <f>+Develop!E75</f>
        <v>171468.41666666669</v>
      </c>
      <c r="F21" s="16">
        <f>+Develop!F75</f>
        <v>59147.416666666672</v>
      </c>
      <c r="G21" s="16">
        <f>+Develop!G75</f>
        <v>59147.416666666672</v>
      </c>
      <c r="H21" s="16">
        <f>+Develop!H75</f>
        <v>97569.835858585866</v>
      </c>
      <c r="I21" s="16">
        <f>+Develop!I75</f>
        <v>69931.835858585866</v>
      </c>
      <c r="J21" s="16">
        <f>+Develop!J75</f>
        <v>84933.835858585866</v>
      </c>
      <c r="K21" s="16">
        <f>+Develop!K75</f>
        <v>119882.58585858587</v>
      </c>
      <c r="L21" s="16">
        <f>+Develop!L75</f>
        <v>131715.08585858587</v>
      </c>
      <c r="M21" s="16">
        <f>+Develop!M75</f>
        <v>141322.58585858587</v>
      </c>
      <c r="N21" s="16">
        <f>+Develop!N75</f>
        <v>70082.585858585866</v>
      </c>
      <c r="O21" s="16">
        <f>+Develop!O75</f>
        <v>116122.58585858587</v>
      </c>
      <c r="P21" s="16">
        <f>+Develop!P75</f>
        <v>117522.58585858587</v>
      </c>
      <c r="R21" s="16">
        <f>+Develop!R75</f>
        <v>89043.696969696975</v>
      </c>
      <c r="S21" s="16">
        <f>+Develop!S75</f>
        <v>66233.696969696975</v>
      </c>
      <c r="T21" s="16">
        <f>+Develop!T75</f>
        <v>69233.696969696975</v>
      </c>
      <c r="U21" s="16">
        <f>+Develop!U75</f>
        <v>70193.696969696975</v>
      </c>
      <c r="V21" s="16">
        <f>+Develop!V75</f>
        <v>74483.696969696975</v>
      </c>
      <c r="W21" s="16">
        <f>+Develop!W75</f>
        <v>74483.696969696975</v>
      </c>
      <c r="X21" s="16">
        <f>+Develop!X75</f>
        <v>73493.696969696975</v>
      </c>
      <c r="Y21" s="16">
        <f>+Develop!Y75</f>
        <v>67483.696969696975</v>
      </c>
      <c r="Z21" s="16">
        <f>+Develop!Z75</f>
        <v>67483.696969696975</v>
      </c>
      <c r="AA21" s="16">
        <f>+Develop!AA75</f>
        <v>69393.696969696975</v>
      </c>
      <c r="AB21" s="16">
        <f>+Develop!AB75</f>
        <v>66683.696969696975</v>
      </c>
      <c r="AC21" s="16">
        <f>+Develop!AC75</f>
        <v>66683.696969696975</v>
      </c>
      <c r="AE21" s="16">
        <f>+Develop!AE75</f>
        <v>86043.696969696975</v>
      </c>
      <c r="AF21" s="16">
        <f>+Develop!AF75</f>
        <v>66683.696969696975</v>
      </c>
      <c r="AG21" s="16">
        <f>+Develop!AG75</f>
        <v>66683.696969696975</v>
      </c>
      <c r="AH21" s="16">
        <f>+Develop!AH75</f>
        <v>63093.696969696975</v>
      </c>
      <c r="AI21" s="16">
        <f>+Develop!AI75</f>
        <v>62883.696969696975</v>
      </c>
      <c r="AJ21" s="16">
        <f>+Develop!AJ75</f>
        <v>63183.696969696975</v>
      </c>
      <c r="AK21" s="16">
        <f>+Develop!AK75</f>
        <v>63093.696969696975</v>
      </c>
      <c r="AL21" s="16">
        <f>+Develop!AL75</f>
        <v>62883.696969696975</v>
      </c>
      <c r="AM21" s="16">
        <f>+Develop!AM75</f>
        <v>62883.696969696975</v>
      </c>
      <c r="AN21" s="16">
        <f>+Develop!AN75</f>
        <v>63093.696969696975</v>
      </c>
      <c r="AO21" s="16">
        <f>+Develop!AO75</f>
        <v>62883.696969696975</v>
      </c>
      <c r="AP21" s="16">
        <f>+Develop!AP75</f>
        <v>62883.696969696975</v>
      </c>
      <c r="AR21" s="16">
        <f t="shared" si="132"/>
        <v>1238846.7727272729</v>
      </c>
      <c r="AS21" s="16">
        <f t="shared" si="133"/>
        <v>289763.25000000006</v>
      </c>
      <c r="AT21" s="16">
        <f t="shared" si="134"/>
        <v>252435.5075757576</v>
      </c>
      <c r="AU21" s="16">
        <f t="shared" si="135"/>
        <v>392920.25757575757</v>
      </c>
      <c r="AV21" s="16">
        <f t="shared" si="136"/>
        <v>303727.75757575757</v>
      </c>
      <c r="AX21" s="16">
        <f t="shared" si="137"/>
        <v>854894.36363636388</v>
      </c>
      <c r="AY21" s="16">
        <f t="shared" si="138"/>
        <v>224511.09090909094</v>
      </c>
      <c r="AZ21" s="16">
        <f t="shared" si="139"/>
        <v>219161.09090909094</v>
      </c>
      <c r="BA21" s="16">
        <f t="shared" si="140"/>
        <v>208461.09090909094</v>
      </c>
      <c r="BB21" s="16">
        <f t="shared" si="141"/>
        <v>202761.09090909094</v>
      </c>
      <c r="BD21" s="16">
        <f t="shared" si="142"/>
        <v>786294.36363636388</v>
      </c>
      <c r="BE21" s="16">
        <f t="shared" si="143"/>
        <v>219411.09090909094</v>
      </c>
      <c r="BF21" s="16">
        <f t="shared" si="144"/>
        <v>189161.09090909094</v>
      </c>
      <c r="BG21" s="16">
        <f t="shared" si="145"/>
        <v>188861.09090909094</v>
      </c>
      <c r="BH21" s="16">
        <f t="shared" si="146"/>
        <v>188861.09090909094</v>
      </c>
      <c r="BI21" s="79">
        <f t="shared" si="147"/>
        <v>9.8966198406606823E-2</v>
      </c>
      <c r="BK21" s="16">
        <f t="shared" si="148"/>
        <v>793979.61084322934</v>
      </c>
      <c r="BL21" s="16">
        <f>+BH21*1.02</f>
        <v>192638.31272727277</v>
      </c>
      <c r="BM21" s="16">
        <f>+BL21*1.02</f>
        <v>196491.07898181822</v>
      </c>
      <c r="BN21" s="16">
        <f t="shared" ref="BN21:BO21" si="155">+BM21*1.02</f>
        <v>200420.90056145459</v>
      </c>
      <c r="BO21" s="16">
        <f t="shared" si="155"/>
        <v>204429.3185726837</v>
      </c>
      <c r="BP21" s="71">
        <f t="shared" si="149"/>
        <v>3.7625069847427479E-2</v>
      </c>
      <c r="BQ21" s="72">
        <f t="shared" si="150"/>
        <v>9.774007753691194E-3</v>
      </c>
      <c r="BS21" s="16">
        <f t="shared" si="151"/>
        <v>859429.06516099628</v>
      </c>
      <c r="BT21" s="16">
        <f>+BO21*1.02</f>
        <v>208517.90494413738</v>
      </c>
      <c r="BU21" s="16">
        <f>+BT21*1.02</f>
        <v>212688.26304302012</v>
      </c>
      <c r="BV21" s="16">
        <f t="shared" ref="BV21:BW21" si="156">+BU21*1.02</f>
        <v>216942.02830388054</v>
      </c>
      <c r="BW21" s="16">
        <f t="shared" si="156"/>
        <v>221280.86886995815</v>
      </c>
      <c r="BX21" s="71">
        <f t="shared" si="152"/>
        <v>2.0165140994279771E-2</v>
      </c>
      <c r="BY21" s="72">
        <f>(+BS21/BK21)-1</f>
        <v>8.2432160000000199E-2</v>
      </c>
      <c r="CA21" s="16">
        <f t="shared" si="153"/>
        <v>930273.65936899802</v>
      </c>
      <c r="CB21" s="16">
        <f>+BW21*1.02</f>
        <v>225706.48624735733</v>
      </c>
      <c r="CC21" s="16">
        <f>+CB21*1.02</f>
        <v>230220.61597230448</v>
      </c>
      <c r="CD21" s="16">
        <f t="shared" ref="CD21:CE21" si="157">+CC21*1.02</f>
        <v>234825.02829175058</v>
      </c>
      <c r="CE21" s="16">
        <f t="shared" si="157"/>
        <v>239521.5288575856</v>
      </c>
      <c r="CF21" s="71">
        <f t="shared" si="154"/>
        <v>1.2843496770338988E-2</v>
      </c>
      <c r="CG21" s="72">
        <f>(+CA21/BS21)-1</f>
        <v>8.2432159999999977E-2</v>
      </c>
    </row>
    <row r="22" spans="1:85" s="16" customFormat="1" x14ac:dyDescent="0.25">
      <c r="B22" s="16" t="s">
        <v>111</v>
      </c>
      <c r="C22" s="16" t="s">
        <v>650</v>
      </c>
      <c r="E22" s="16">
        <f>+'G&amp;A'!E75</f>
        <v>153860</v>
      </c>
      <c r="F22" s="16">
        <f>+'G&amp;A'!F75</f>
        <v>92210</v>
      </c>
      <c r="G22" s="16">
        <f>+'G&amp;A'!G75</f>
        <v>117210</v>
      </c>
      <c r="H22" s="16">
        <f>+'G&amp;A'!H75</f>
        <v>92985</v>
      </c>
      <c r="I22" s="16">
        <f>+'G&amp;A'!I75</f>
        <v>102235</v>
      </c>
      <c r="J22" s="16">
        <f>+'G&amp;A'!J75</f>
        <v>118335</v>
      </c>
      <c r="K22" s="16">
        <f>+'G&amp;A'!K75</f>
        <v>92985</v>
      </c>
      <c r="L22" s="16">
        <f>+'G&amp;A'!L75</f>
        <v>92235</v>
      </c>
      <c r="M22" s="16">
        <f>+'G&amp;A'!M75</f>
        <v>102235</v>
      </c>
      <c r="N22" s="16">
        <f>+'G&amp;A'!N75</f>
        <v>92985</v>
      </c>
      <c r="O22" s="16">
        <f>+'G&amp;A'!O75</f>
        <v>92235</v>
      </c>
      <c r="P22" s="16">
        <f>+'G&amp;A'!P75</f>
        <v>112235</v>
      </c>
      <c r="R22" s="16">
        <f>+'G&amp;A'!R75</f>
        <v>124035</v>
      </c>
      <c r="S22" s="16">
        <f>+'G&amp;A'!S75</f>
        <v>108185</v>
      </c>
      <c r="T22" s="16">
        <f>+'G&amp;A'!T75</f>
        <v>118185</v>
      </c>
      <c r="U22" s="16">
        <f>+'G&amp;A'!U75</f>
        <v>108935</v>
      </c>
      <c r="V22" s="16">
        <f>+'G&amp;A'!V75</f>
        <v>123485</v>
      </c>
      <c r="W22" s="16">
        <f>+'G&amp;A'!W75</f>
        <v>134585</v>
      </c>
      <c r="X22" s="16">
        <f>+'G&amp;A'!X75</f>
        <v>121965</v>
      </c>
      <c r="Y22" s="16">
        <f>+'G&amp;A'!Y75</f>
        <v>121215</v>
      </c>
      <c r="Z22" s="16">
        <f>+'G&amp;A'!Z75</f>
        <v>131215</v>
      </c>
      <c r="AA22" s="16">
        <f>+'G&amp;A'!AA75</f>
        <v>121965</v>
      </c>
      <c r="AB22" s="16">
        <f>+'G&amp;A'!AB75</f>
        <v>121215</v>
      </c>
      <c r="AC22" s="16">
        <f>+'G&amp;A'!AC75</f>
        <v>121215</v>
      </c>
      <c r="AE22" s="16">
        <f>+'G&amp;A'!AE75</f>
        <v>123857.5</v>
      </c>
      <c r="AF22" s="16">
        <f>+'G&amp;A'!AF75</f>
        <v>123007.5</v>
      </c>
      <c r="AG22" s="16">
        <f>+'G&amp;A'!AG75</f>
        <v>133007.5</v>
      </c>
      <c r="AH22" s="16">
        <f>+'G&amp;A'!AH75</f>
        <v>123757.5</v>
      </c>
      <c r="AI22" s="16">
        <f>+'G&amp;A'!AI75</f>
        <v>128007.5</v>
      </c>
      <c r="AJ22" s="16">
        <f>+'G&amp;A'!AJ75</f>
        <v>129107.5</v>
      </c>
      <c r="AK22" s="16">
        <f>+'G&amp;A'!AK75</f>
        <v>159947.5</v>
      </c>
      <c r="AL22" s="16">
        <f>+'G&amp;A'!AL75</f>
        <v>159197.5</v>
      </c>
      <c r="AM22" s="16">
        <f>+'G&amp;A'!AM75</f>
        <v>164197.5</v>
      </c>
      <c r="AN22" s="16">
        <f>+'G&amp;A'!AN75</f>
        <v>159947.5</v>
      </c>
      <c r="AO22" s="16">
        <f>+'G&amp;A'!AO75</f>
        <v>159197.5</v>
      </c>
      <c r="AP22" s="16">
        <f>+'G&amp;A'!AP75</f>
        <v>164197.5</v>
      </c>
      <c r="AR22" s="16">
        <f t="shared" si="132"/>
        <v>1261745</v>
      </c>
      <c r="AS22" s="16">
        <f t="shared" si="133"/>
        <v>363280</v>
      </c>
      <c r="AT22" s="16">
        <f t="shared" si="134"/>
        <v>313555</v>
      </c>
      <c r="AU22" s="16">
        <f t="shared" si="135"/>
        <v>287455</v>
      </c>
      <c r="AV22" s="16">
        <f t="shared" si="136"/>
        <v>297455</v>
      </c>
      <c r="AX22" s="16">
        <f t="shared" si="137"/>
        <v>1456200</v>
      </c>
      <c r="AY22" s="16">
        <f t="shared" si="138"/>
        <v>350405</v>
      </c>
      <c r="AZ22" s="16">
        <f t="shared" si="139"/>
        <v>367005</v>
      </c>
      <c r="BA22" s="16">
        <f t="shared" si="140"/>
        <v>374395</v>
      </c>
      <c r="BB22" s="16">
        <f t="shared" si="141"/>
        <v>364395</v>
      </c>
      <c r="BD22" s="16">
        <f t="shared" si="142"/>
        <v>1727430</v>
      </c>
      <c r="BE22" s="16">
        <f t="shared" si="143"/>
        <v>379872.5</v>
      </c>
      <c r="BF22" s="16">
        <f t="shared" si="144"/>
        <v>380872.5</v>
      </c>
      <c r="BG22" s="16">
        <f t="shared" si="145"/>
        <v>483342.5</v>
      </c>
      <c r="BH22" s="16">
        <f t="shared" si="146"/>
        <v>483342.5</v>
      </c>
      <c r="BI22" s="80">
        <f t="shared" si="147"/>
        <v>0.21742134755093714</v>
      </c>
      <c r="BK22" s="16">
        <f t="shared" si="148"/>
        <v>2024607.46</v>
      </c>
      <c r="BL22" s="16">
        <f>'G&amp;A'!BK75</f>
        <v>442885</v>
      </c>
      <c r="BM22" s="16">
        <f>'G&amp;A'!BL75</f>
        <v>472904.00000000006</v>
      </c>
      <c r="BN22" s="16">
        <f>'G&amp;A'!BM75</f>
        <v>508926.8</v>
      </c>
      <c r="BO22" s="16">
        <f>'G&amp;A'!BN75</f>
        <v>599891.66</v>
      </c>
      <c r="BP22" s="75">
        <f>+BK22/BK$8</f>
        <v>9.5942006640726732E-2</v>
      </c>
      <c r="BQ22" s="72">
        <f t="shared" si="150"/>
        <v>0.17203444423218306</v>
      </c>
      <c r="BS22" s="16">
        <f t="shared" si="151"/>
        <v>3145309.0376639999</v>
      </c>
      <c r="BT22" s="16">
        <f>'G&amp;A'!BQ75</f>
        <v>683589.49199999997</v>
      </c>
      <c r="BU22" s="16">
        <f>'G&amp;A'!BR75</f>
        <v>761749.39039999992</v>
      </c>
      <c r="BV22" s="16">
        <f>'G&amp;A'!BS75</f>
        <v>817772.04896000004</v>
      </c>
      <c r="BW22" s="16">
        <f>'G&amp;A'!BT75</f>
        <v>882198.1063039999</v>
      </c>
      <c r="BX22" s="75">
        <f>+BS22/BS$8</f>
        <v>7.3799691895683681E-2</v>
      </c>
      <c r="BY22" s="72">
        <f>(+BS22/BK22)-1</f>
        <v>0.55354017991418436</v>
      </c>
      <c r="CA22" s="16">
        <f t="shared" si="153"/>
        <v>5748196.2563684601</v>
      </c>
      <c r="CB22" s="16">
        <f>'G&amp;A'!BW75</f>
        <v>1359178.7723392001</v>
      </c>
      <c r="CC22" s="16">
        <f>'G&amp;A'!BX75</f>
        <v>1425770.1495731198</v>
      </c>
      <c r="CD22" s="16">
        <f>'G&amp;A'!BY75</f>
        <v>1462395.4070517758</v>
      </c>
      <c r="CE22" s="16">
        <f>'G&amp;A'!BZ75</f>
        <v>1500851.9274043646</v>
      </c>
      <c r="CF22" s="75">
        <f>+CA22/CA$8</f>
        <v>7.9360454109836442E-2</v>
      </c>
      <c r="CG22" s="72">
        <f>(+CA22/BS22)-1</f>
        <v>0.82754577929728868</v>
      </c>
    </row>
    <row r="23" spans="1:85" s="16" customFormat="1" x14ac:dyDescent="0.25">
      <c r="B23" s="16" t="s">
        <v>191</v>
      </c>
      <c r="E23" s="18">
        <f>SUM(E20:E22)</f>
        <v>325328.41666666669</v>
      </c>
      <c r="F23" s="18">
        <f t="shared" ref="F23:P23" si="158">SUM(F20:F22)</f>
        <v>151357.41666666669</v>
      </c>
      <c r="G23" s="18">
        <f t="shared" si="158"/>
        <v>176357.41666666669</v>
      </c>
      <c r="H23" s="18">
        <f t="shared" si="158"/>
        <v>190554.83585858587</v>
      </c>
      <c r="I23" s="18">
        <f t="shared" si="158"/>
        <v>172166.83585858587</v>
      </c>
      <c r="J23" s="18">
        <f t="shared" si="158"/>
        <v>203268.83585858587</v>
      </c>
      <c r="K23" s="18">
        <f t="shared" si="158"/>
        <v>212867.58585858587</v>
      </c>
      <c r="L23" s="18">
        <f t="shared" si="158"/>
        <v>223950.08585858587</v>
      </c>
      <c r="M23" s="18">
        <f t="shared" si="158"/>
        <v>243557.58585858587</v>
      </c>
      <c r="N23" s="18">
        <f t="shared" si="158"/>
        <v>163067.58585858587</v>
      </c>
      <c r="O23" s="18">
        <f t="shared" si="158"/>
        <v>208357.58585858587</v>
      </c>
      <c r="P23" s="18">
        <f t="shared" si="158"/>
        <v>229757.58585858587</v>
      </c>
      <c r="R23" s="18">
        <f t="shared" ref="R23:AC23" si="159">SUM(R20:R22)</f>
        <v>213078.69696969696</v>
      </c>
      <c r="S23" s="18">
        <f t="shared" si="159"/>
        <v>174418.69696969696</v>
      </c>
      <c r="T23" s="18">
        <f t="shared" si="159"/>
        <v>211452.86363636365</v>
      </c>
      <c r="U23" s="18">
        <f t="shared" si="159"/>
        <v>203162.86363636365</v>
      </c>
      <c r="V23" s="18">
        <f t="shared" si="159"/>
        <v>223002.86363636365</v>
      </c>
      <c r="W23" s="18">
        <f t="shared" si="159"/>
        <v>240002.86363636365</v>
      </c>
      <c r="X23" s="18">
        <f t="shared" si="159"/>
        <v>219492.86363636365</v>
      </c>
      <c r="Y23" s="18">
        <f t="shared" si="159"/>
        <v>217632.86363636365</v>
      </c>
      <c r="Z23" s="18">
        <f t="shared" si="159"/>
        <v>222732.86363636365</v>
      </c>
      <c r="AA23" s="18">
        <f t="shared" si="159"/>
        <v>217292.86363636365</v>
      </c>
      <c r="AB23" s="18">
        <f t="shared" si="159"/>
        <v>213932.86363636365</v>
      </c>
      <c r="AC23" s="18">
        <f t="shared" si="159"/>
        <v>218932.86363636365</v>
      </c>
      <c r="AE23" s="18">
        <f t="shared" ref="AE23:AP23" si="160">SUM(AE20:AE22)</f>
        <v>265787.03030303027</v>
      </c>
      <c r="AF23" s="18">
        <f t="shared" si="160"/>
        <v>249577.0303030303</v>
      </c>
      <c r="AG23" s="18">
        <f t="shared" si="160"/>
        <v>255577.0303030303</v>
      </c>
      <c r="AH23" s="18">
        <f t="shared" si="160"/>
        <v>242737.0303030303</v>
      </c>
      <c r="AI23" s="18">
        <f t="shared" si="160"/>
        <v>246777.0303030303</v>
      </c>
      <c r="AJ23" s="18">
        <f t="shared" si="160"/>
        <v>258177.03030303033</v>
      </c>
      <c r="AK23" s="18">
        <f t="shared" si="160"/>
        <v>282927.03030303027</v>
      </c>
      <c r="AL23" s="18">
        <f t="shared" si="160"/>
        <v>277967.03030303027</v>
      </c>
      <c r="AM23" s="18">
        <f t="shared" si="160"/>
        <v>282967.03030303027</v>
      </c>
      <c r="AN23" s="18">
        <f t="shared" si="160"/>
        <v>278927.03030303027</v>
      </c>
      <c r="AO23" s="18">
        <f t="shared" si="160"/>
        <v>277967.03030303027</v>
      </c>
      <c r="AP23" s="18">
        <f t="shared" si="160"/>
        <v>292967.03030303033</v>
      </c>
      <c r="AR23" s="18">
        <f t="shared" ref="AR23" si="161">SUM(AR20:AR22)</f>
        <v>2500591.7727272729</v>
      </c>
      <c r="AS23" s="18">
        <f t="shared" ref="AS23" si="162">SUM(AS20:AS22)</f>
        <v>653043.25</v>
      </c>
      <c r="AT23" s="18">
        <f t="shared" ref="AT23" si="163">SUM(AT20:AT22)</f>
        <v>565990.50757575757</v>
      </c>
      <c r="AU23" s="18">
        <f t="shared" ref="AU23" si="164">SUM(AU20:AU22)</f>
        <v>680375.25757575757</v>
      </c>
      <c r="AV23" s="18">
        <f t="shared" ref="AV23" si="165">SUM(AV20:AV22)</f>
        <v>601182.75757575757</v>
      </c>
      <c r="AX23" s="18">
        <f t="shared" ref="AX23" si="166">SUM(AX20:AX22)</f>
        <v>2575136.0303030303</v>
      </c>
      <c r="AY23" s="18">
        <f t="shared" ref="AY23" si="167">SUM(AY20:AY22)</f>
        <v>598950.25757575757</v>
      </c>
      <c r="AZ23" s="18">
        <f t="shared" ref="AZ23" si="168">SUM(AZ20:AZ22)</f>
        <v>666168.59090909094</v>
      </c>
      <c r="BA23" s="18">
        <f t="shared" ref="BA23" si="169">SUM(BA20:BA22)</f>
        <v>659858.59090909094</v>
      </c>
      <c r="BB23" s="18">
        <f t="shared" ref="BB23" si="170">SUM(BB20:BB22)</f>
        <v>650158.59090909094</v>
      </c>
      <c r="BD23" s="18">
        <f t="shared" ref="BD23" si="171">SUM(BD20:BD22)</f>
        <v>3212354.3636363638</v>
      </c>
      <c r="BE23" s="18">
        <f t="shared" ref="BE23" si="172">SUM(BE20:BE22)</f>
        <v>770941.09090909094</v>
      </c>
      <c r="BF23" s="18">
        <f t="shared" ref="BF23" si="173">SUM(BF20:BF22)</f>
        <v>747691.09090909094</v>
      </c>
      <c r="BG23" s="18">
        <f t="shared" ref="BG23" si="174">SUM(BG20:BG22)</f>
        <v>843861.09090909094</v>
      </c>
      <c r="BH23" s="18">
        <f t="shared" ref="BH23" si="175">SUM(BH20:BH22)</f>
        <v>849861.09090909094</v>
      </c>
      <c r="BI23" s="78"/>
      <c r="BK23" s="18">
        <f t="shared" ref="BK23:BO23" si="176">SUM(BK20:BK22)</f>
        <v>7540537.0708432291</v>
      </c>
      <c r="BL23" s="18">
        <f t="shared" si="176"/>
        <v>1816010.8127272727</v>
      </c>
      <c r="BM23" s="18">
        <f t="shared" si="176"/>
        <v>1849882.5789818182</v>
      </c>
      <c r="BN23" s="18">
        <f t="shared" si="176"/>
        <v>1889835.2005614548</v>
      </c>
      <c r="BO23" s="18">
        <f t="shared" si="176"/>
        <v>1984808.4785726839</v>
      </c>
      <c r="BP23" s="73">
        <f>SUM(BP20:BP22)</f>
        <v>0.35733062927936027</v>
      </c>
      <c r="BQ23" s="72">
        <f>(+BK23/BD23)-1</f>
        <v>1.3473553093026109</v>
      </c>
      <c r="BS23" s="18">
        <f t="shared" ref="BS23:BW23" si="177">SUM(BS20:BS22)</f>
        <v>12950183.102824997</v>
      </c>
      <c r="BT23" s="18">
        <f t="shared" si="177"/>
        <v>3128468.6469441373</v>
      </c>
      <c r="BU23" s="18">
        <f t="shared" si="177"/>
        <v>3210798.9034430198</v>
      </c>
      <c r="BV23" s="18">
        <f t="shared" si="177"/>
        <v>3271075.3272638805</v>
      </c>
      <c r="BW23" s="18">
        <f t="shared" si="177"/>
        <v>3339840.2251739576</v>
      </c>
      <c r="BX23" s="73">
        <f>SUM(BX20:BX22)</f>
        <v>0.30385552310973557</v>
      </c>
      <c r="BY23" s="72">
        <f>(+BS23/BK23)-1</f>
        <v>0.71740858524508622</v>
      </c>
      <c r="CA23" s="18">
        <f t="shared" ref="CA23:CE23" si="178">SUM(CA20:CA22)</f>
        <v>17582814.915737458</v>
      </c>
      <c r="CB23" s="18">
        <f t="shared" si="178"/>
        <v>4310971.5085865576</v>
      </c>
      <c r="CC23" s="18">
        <f t="shared" si="178"/>
        <v>4382077.0155454241</v>
      </c>
      <c r="CD23" s="18">
        <f t="shared" si="178"/>
        <v>4423306.6853435263</v>
      </c>
      <c r="CE23" s="18">
        <f t="shared" si="178"/>
        <v>4466459.7062619496</v>
      </c>
      <c r="CF23" s="73">
        <f>SUM(CF20:CF22)</f>
        <v>0.24275096291226667</v>
      </c>
      <c r="CG23" s="72">
        <f>(+CA23/BS23)-1</f>
        <v>0.35772712834476317</v>
      </c>
    </row>
    <row r="24" spans="1:85" s="16" customFormat="1" x14ac:dyDescent="0.25">
      <c r="BI24" s="78"/>
      <c r="BP24" s="69"/>
      <c r="BQ24" s="70"/>
      <c r="BX24" s="69"/>
      <c r="BY24" s="70"/>
      <c r="CF24" s="69"/>
      <c r="CG24" s="70"/>
    </row>
    <row r="25" spans="1:85" s="16" customFormat="1" x14ac:dyDescent="0.25">
      <c r="A25" s="16" t="s">
        <v>192</v>
      </c>
      <c r="E25" s="18">
        <f t="shared" ref="E25:P25" si="179">+E16-E23</f>
        <v>-326583.41666666669</v>
      </c>
      <c r="F25" s="18">
        <f t="shared" si="179"/>
        <v>-152612.41666666669</v>
      </c>
      <c r="G25" s="18">
        <f t="shared" si="179"/>
        <v>-177612.41666666669</v>
      </c>
      <c r="H25" s="18">
        <f t="shared" si="179"/>
        <v>-192925.25252525252</v>
      </c>
      <c r="I25" s="18">
        <f t="shared" si="179"/>
        <v>-174537.25252525252</v>
      </c>
      <c r="J25" s="18">
        <f t="shared" si="179"/>
        <v>-206139.25252525252</v>
      </c>
      <c r="K25" s="18">
        <f t="shared" si="179"/>
        <v>-215238.00252525252</v>
      </c>
      <c r="L25" s="18">
        <f t="shared" si="179"/>
        <v>-226320.50252525252</v>
      </c>
      <c r="M25" s="18">
        <f t="shared" si="179"/>
        <v>-245928.00252525252</v>
      </c>
      <c r="N25" s="18">
        <f t="shared" si="179"/>
        <v>-165438.00252525252</v>
      </c>
      <c r="O25" s="18">
        <f t="shared" si="179"/>
        <v>-210728.00252525252</v>
      </c>
      <c r="P25" s="18">
        <f t="shared" si="179"/>
        <v>-232628.00252525252</v>
      </c>
      <c r="R25" s="18">
        <f t="shared" ref="R25:AC25" si="180">+R16-R23</f>
        <v>-226283.69696969696</v>
      </c>
      <c r="S25" s="18">
        <f t="shared" si="180"/>
        <v>-196373.69696969696</v>
      </c>
      <c r="T25" s="18">
        <f t="shared" si="180"/>
        <v>-219657.86363636365</v>
      </c>
      <c r="U25" s="18">
        <f t="shared" si="180"/>
        <v>-214944.3846786035</v>
      </c>
      <c r="V25" s="18">
        <f t="shared" si="180"/>
        <v>-291100.67648454115</v>
      </c>
      <c r="W25" s="18">
        <f t="shared" si="180"/>
        <v>-259745.57266605203</v>
      </c>
      <c r="X25" s="18">
        <f t="shared" si="180"/>
        <v>-299151.45696310536</v>
      </c>
      <c r="Y25" s="18">
        <f t="shared" si="180"/>
        <v>-251326.42853853424</v>
      </c>
      <c r="Z25" s="18">
        <f t="shared" si="180"/>
        <v>-236010.02491192429</v>
      </c>
      <c r="AA25" s="18">
        <f t="shared" si="180"/>
        <v>-199769.57087507989</v>
      </c>
      <c r="AB25" s="18">
        <f t="shared" si="180"/>
        <v>-207959.94016056939</v>
      </c>
      <c r="AC25" s="18">
        <f t="shared" si="180"/>
        <v>-203313.96744199959</v>
      </c>
      <c r="AE25" s="18">
        <f t="shared" ref="AE25:AP25" si="181">+AE16-AE23</f>
        <v>-193707.62405144738</v>
      </c>
      <c r="AF25" s="18">
        <f t="shared" si="181"/>
        <v>-223471.79693565672</v>
      </c>
      <c r="AG25" s="18">
        <f t="shared" si="181"/>
        <v>-225141.61953938447</v>
      </c>
      <c r="AH25" s="18">
        <f t="shared" si="181"/>
        <v>-131316.35907974196</v>
      </c>
      <c r="AI25" s="18">
        <f t="shared" si="181"/>
        <v>-118237.34301374372</v>
      </c>
      <c r="AJ25" s="18">
        <f t="shared" si="181"/>
        <v>-113239.78836759267</v>
      </c>
      <c r="AK25" s="18">
        <f t="shared" si="181"/>
        <v>284551.65341834538</v>
      </c>
      <c r="AL25" s="18">
        <f t="shared" si="181"/>
        <v>115401.84068598656</v>
      </c>
      <c r="AM25" s="18">
        <f t="shared" si="181"/>
        <v>122271.79332795902</v>
      </c>
      <c r="AN25" s="18">
        <f t="shared" si="181"/>
        <v>388033.07253740309</v>
      </c>
      <c r="AO25" s="18">
        <f t="shared" si="181"/>
        <v>200560.66415982798</v>
      </c>
      <c r="AP25" s="18">
        <f t="shared" si="181"/>
        <v>191526.05127861717</v>
      </c>
      <c r="AR25" s="18">
        <f t="shared" ref="AR25:AV25" si="182">+AR16-AR23</f>
        <v>-2526690.5227272729</v>
      </c>
      <c r="AS25" s="18">
        <f t="shared" si="182"/>
        <v>-656808.25</v>
      </c>
      <c r="AT25" s="18">
        <f t="shared" si="182"/>
        <v>-573601.75757575757</v>
      </c>
      <c r="AU25" s="18">
        <f t="shared" si="182"/>
        <v>-687486.50757575757</v>
      </c>
      <c r="AV25" s="18">
        <f t="shared" si="182"/>
        <v>-608794.00757575757</v>
      </c>
      <c r="AX25" s="18">
        <f t="shared" ref="AX25:BB25" si="183">+AX16-AX23</f>
        <v>-2805637.2802961669</v>
      </c>
      <c r="AY25" s="18">
        <f t="shared" si="183"/>
        <v>-642315.25757575757</v>
      </c>
      <c r="AZ25" s="18">
        <f t="shared" si="183"/>
        <v>-765790.63382919668</v>
      </c>
      <c r="BA25" s="18">
        <f t="shared" si="183"/>
        <v>-786487.91041356383</v>
      </c>
      <c r="BB25" s="18">
        <f t="shared" si="183"/>
        <v>-611043.47847764881</v>
      </c>
      <c r="BD25" s="18">
        <f t="shared" ref="BD25:BH25" si="184">+BD16-BD23</f>
        <v>297230.5444205706</v>
      </c>
      <c r="BE25" s="18">
        <f t="shared" si="184"/>
        <v>-642321.04052648856</v>
      </c>
      <c r="BF25" s="18">
        <f t="shared" si="184"/>
        <v>-362793.49046107836</v>
      </c>
      <c r="BG25" s="18">
        <f t="shared" si="184"/>
        <v>522225.28743229073</v>
      </c>
      <c r="BH25" s="18">
        <f t="shared" si="184"/>
        <v>780119.40727036132</v>
      </c>
      <c r="BI25" s="79">
        <f>+BD25/BD$8</f>
        <v>3.7410642110661002E-2</v>
      </c>
      <c r="BK25" s="18">
        <f t="shared" ref="BK25:BO25" si="185">+BK16-BK23</f>
        <v>4124256.8031962514</v>
      </c>
      <c r="BL25" s="18">
        <f t="shared" si="185"/>
        <v>131570.21969842399</v>
      </c>
      <c r="BM25" s="18">
        <f t="shared" si="185"/>
        <v>297528.88025206095</v>
      </c>
      <c r="BN25" s="18">
        <f t="shared" si="185"/>
        <v>1725466.023717189</v>
      </c>
      <c r="BO25" s="18">
        <f t="shared" si="185"/>
        <v>1969690.2671477618</v>
      </c>
      <c r="BP25" s="73">
        <f>+BK25/BK$8</f>
        <v>0.19544009464447848</v>
      </c>
      <c r="BQ25" s="72">
        <f>(+BK25/BD25)-1</f>
        <v>12.875615681545082</v>
      </c>
      <c r="BS25" s="18">
        <f t="shared" ref="BS25:BW25" si="186">+BS16-BS23</f>
        <v>11867843.001565725</v>
      </c>
      <c r="BT25" s="18">
        <f t="shared" si="186"/>
        <v>1564931.427599106</v>
      </c>
      <c r="BU25" s="18">
        <f t="shared" si="186"/>
        <v>1857275.9830380483</v>
      </c>
      <c r="BV25" s="18">
        <f t="shared" si="186"/>
        <v>4337234.4132397668</v>
      </c>
      <c r="BW25" s="18">
        <f t="shared" si="186"/>
        <v>4108399.8331839163</v>
      </c>
      <c r="BX25" s="73">
        <f>+BS25/BS$8</f>
        <v>0.27846012792192248</v>
      </c>
      <c r="BY25" s="72">
        <f>(+BS25/BK25)-1</f>
        <v>1.8775712977834655</v>
      </c>
      <c r="CA25" s="18">
        <f t="shared" ref="CA25:CE25" si="187">+CA16-CA23</f>
        <v>26345518.847964384</v>
      </c>
      <c r="CB25" s="18">
        <f t="shared" si="187"/>
        <v>4830122.7050942499</v>
      </c>
      <c r="CC25" s="18">
        <f t="shared" si="187"/>
        <v>5366671.5394410491</v>
      </c>
      <c r="CD25" s="18">
        <f t="shared" si="187"/>
        <v>7593739.0217639226</v>
      </c>
      <c r="CE25" s="18">
        <f t="shared" si="187"/>
        <v>8554984.2821908202</v>
      </c>
      <c r="CF25" s="73">
        <f>+CA25/CA$8</f>
        <v>0.36373015921599883</v>
      </c>
      <c r="CG25" s="72">
        <f>(+CA25/BS25)-1</f>
        <v>1.2199079347855055</v>
      </c>
    </row>
    <row r="26" spans="1:85" s="16" customFormat="1" x14ac:dyDescent="0.25">
      <c r="BI26" s="78"/>
      <c r="BP26" s="69"/>
      <c r="BQ26" s="70"/>
      <c r="BX26" s="69"/>
      <c r="BY26" s="70"/>
      <c r="CF26" s="69"/>
      <c r="CG26" s="70"/>
    </row>
    <row r="27" spans="1:85" s="16" customFormat="1" x14ac:dyDescent="0.25">
      <c r="A27" s="16" t="s">
        <v>193</v>
      </c>
      <c r="BI27" s="78"/>
      <c r="BP27" s="69"/>
      <c r="BQ27" s="70"/>
      <c r="BX27" s="69"/>
      <c r="BY27" s="70"/>
      <c r="CF27" s="69"/>
      <c r="CG27" s="70"/>
    </row>
    <row r="28" spans="1:85" s="16" customFormat="1" x14ac:dyDescent="0.25">
      <c r="B28" s="16" t="s">
        <v>194</v>
      </c>
      <c r="AR28" s="16">
        <f t="shared" ref="AR28:AR29" si="188">SUM(E28:P28)</f>
        <v>0</v>
      </c>
      <c r="AS28" s="16">
        <f t="shared" ref="AS28:AS29" si="189">SUM(E28:G28)</f>
        <v>0</v>
      </c>
      <c r="AT28" s="16">
        <f t="shared" ref="AT28:AT29" si="190">SUM(H28:J28)</f>
        <v>0</v>
      </c>
      <c r="AU28" s="16">
        <f t="shared" ref="AU28:AU29" si="191">SUM(K28:M28)</f>
        <v>0</v>
      </c>
      <c r="AV28" s="16">
        <f t="shared" ref="AV28:AV29" si="192">SUM(N28:P28)</f>
        <v>0</v>
      </c>
      <c r="AX28" s="16">
        <f t="shared" ref="AX28:AX29" si="193">SUM(R28:AC28)</f>
        <v>0</v>
      </c>
      <c r="AY28" s="16">
        <f t="shared" ref="AY28:AY29" si="194">SUM(R28:T28)</f>
        <v>0</v>
      </c>
      <c r="AZ28" s="16">
        <f t="shared" ref="AZ28:AZ29" si="195">SUM(U28:W28)</f>
        <v>0</v>
      </c>
      <c r="BA28" s="16">
        <f t="shared" ref="BA28:BA29" si="196">SUM(X28:Z28)</f>
        <v>0</v>
      </c>
      <c r="BB28" s="16">
        <f t="shared" ref="BB28:BB29" si="197">SUM(AA28:AC28)</f>
        <v>0</v>
      </c>
      <c r="BD28" s="16">
        <f t="shared" ref="BD28:BD29" si="198">SUM(AE28:AP28)</f>
        <v>0</v>
      </c>
      <c r="BE28" s="16">
        <f t="shared" ref="BE28:BE29" si="199">SUM(AE28:AG28)</f>
        <v>0</v>
      </c>
      <c r="BF28" s="16">
        <f t="shared" ref="BF28:BF29" si="200">SUM(AH28:AJ28)</f>
        <v>0</v>
      </c>
      <c r="BG28" s="16">
        <f t="shared" ref="BG28:BG29" si="201">SUM(AK28:AM28)</f>
        <v>0</v>
      </c>
      <c r="BH28" s="16">
        <f t="shared" ref="BH28:BH29" si="202">SUM(AN28:AP28)</f>
        <v>0</v>
      </c>
      <c r="BI28" s="79">
        <f t="shared" ref="BI28:BI29" si="203">+BD28/BD$8</f>
        <v>0</v>
      </c>
      <c r="BK28" s="16">
        <f t="shared" ref="BK28:BK29" si="204">SUM(BL28:BO28)</f>
        <v>0</v>
      </c>
      <c r="BP28" s="71">
        <f t="shared" ref="BP28:BP29" si="205">+BK28/BK$8</f>
        <v>0</v>
      </c>
      <c r="BQ28" s="70"/>
      <c r="BS28" s="16">
        <f t="shared" ref="BS28:BS29" si="206">SUM(BT28:BW28)</f>
        <v>0</v>
      </c>
      <c r="BX28" s="71">
        <f t="shared" ref="BX28:BX29" si="207">+BS28/BS$8</f>
        <v>0</v>
      </c>
      <c r="BY28" s="70"/>
      <c r="CA28" s="16">
        <f t="shared" ref="CA28:CA29" si="208">SUM(CB28:CE28)</f>
        <v>0</v>
      </c>
      <c r="CF28" s="71">
        <f t="shared" ref="CF28:CF29" si="209">+CA28/CA$8</f>
        <v>0</v>
      </c>
      <c r="CG28" s="70"/>
    </row>
    <row r="29" spans="1:85" s="16" customFormat="1" x14ac:dyDescent="0.25">
      <c r="B29" s="16" t="s">
        <v>193</v>
      </c>
      <c r="AR29" s="16">
        <f t="shared" si="188"/>
        <v>0</v>
      </c>
      <c r="AS29" s="16">
        <f t="shared" si="189"/>
        <v>0</v>
      </c>
      <c r="AT29" s="16">
        <f t="shared" si="190"/>
        <v>0</v>
      </c>
      <c r="AU29" s="16">
        <f t="shared" si="191"/>
        <v>0</v>
      </c>
      <c r="AV29" s="16">
        <f t="shared" si="192"/>
        <v>0</v>
      </c>
      <c r="AX29" s="16">
        <f t="shared" si="193"/>
        <v>0</v>
      </c>
      <c r="AY29" s="16">
        <f t="shared" si="194"/>
        <v>0</v>
      </c>
      <c r="AZ29" s="16">
        <f t="shared" si="195"/>
        <v>0</v>
      </c>
      <c r="BA29" s="16">
        <f t="shared" si="196"/>
        <v>0</v>
      </c>
      <c r="BB29" s="16">
        <f t="shared" si="197"/>
        <v>0</v>
      </c>
      <c r="BD29" s="16">
        <f t="shared" si="198"/>
        <v>0</v>
      </c>
      <c r="BE29" s="16">
        <f t="shared" si="199"/>
        <v>0</v>
      </c>
      <c r="BF29" s="16">
        <f t="shared" si="200"/>
        <v>0</v>
      </c>
      <c r="BG29" s="16">
        <f t="shared" si="201"/>
        <v>0</v>
      </c>
      <c r="BH29" s="16">
        <f t="shared" si="202"/>
        <v>0</v>
      </c>
      <c r="BI29" s="79">
        <f t="shared" si="203"/>
        <v>0</v>
      </c>
      <c r="BK29" s="16">
        <f t="shared" si="204"/>
        <v>0</v>
      </c>
      <c r="BP29" s="71">
        <f t="shared" si="205"/>
        <v>0</v>
      </c>
      <c r="BQ29" s="70"/>
      <c r="BS29" s="16">
        <f t="shared" si="206"/>
        <v>0</v>
      </c>
      <c r="BX29" s="71">
        <f t="shared" si="207"/>
        <v>0</v>
      </c>
      <c r="BY29" s="70"/>
      <c r="CA29" s="16">
        <f t="shared" si="208"/>
        <v>0</v>
      </c>
      <c r="CF29" s="71">
        <f t="shared" si="209"/>
        <v>0</v>
      </c>
      <c r="CG29" s="70"/>
    </row>
    <row r="30" spans="1:85" s="16" customFormat="1" x14ac:dyDescent="0.25">
      <c r="BI30" s="78"/>
      <c r="BP30" s="69"/>
      <c r="BQ30" s="70"/>
      <c r="BX30" s="69"/>
      <c r="BY30" s="70"/>
      <c r="CF30" s="69"/>
      <c r="CG30" s="70"/>
    </row>
    <row r="31" spans="1:85" s="16" customFormat="1" x14ac:dyDescent="0.25">
      <c r="B31" s="16" t="s">
        <v>195</v>
      </c>
      <c r="E31" s="18">
        <f>SUM(E25:E29)</f>
        <v>-326583.41666666669</v>
      </c>
      <c r="F31" s="18">
        <f t="shared" ref="F31:P31" si="210">SUM(F25:F29)</f>
        <v>-152612.41666666669</v>
      </c>
      <c r="G31" s="18">
        <f t="shared" si="210"/>
        <v>-177612.41666666669</v>
      </c>
      <c r="H31" s="18">
        <f t="shared" si="210"/>
        <v>-192925.25252525252</v>
      </c>
      <c r="I31" s="18">
        <f t="shared" si="210"/>
        <v>-174537.25252525252</v>
      </c>
      <c r="J31" s="18">
        <f t="shared" si="210"/>
        <v>-206139.25252525252</v>
      </c>
      <c r="K31" s="18">
        <f t="shared" si="210"/>
        <v>-215238.00252525252</v>
      </c>
      <c r="L31" s="18">
        <f t="shared" si="210"/>
        <v>-226320.50252525252</v>
      </c>
      <c r="M31" s="18">
        <f t="shared" si="210"/>
        <v>-245928.00252525252</v>
      </c>
      <c r="N31" s="18">
        <f t="shared" si="210"/>
        <v>-165438.00252525252</v>
      </c>
      <c r="O31" s="18">
        <f t="shared" si="210"/>
        <v>-210728.00252525252</v>
      </c>
      <c r="P31" s="18">
        <f t="shared" si="210"/>
        <v>-232628.00252525252</v>
      </c>
      <c r="R31" s="18">
        <f t="shared" ref="R31:AC31" si="211">SUM(R25:R29)</f>
        <v>-226283.69696969696</v>
      </c>
      <c r="S31" s="18">
        <f t="shared" si="211"/>
        <v>-196373.69696969696</v>
      </c>
      <c r="T31" s="18">
        <f t="shared" si="211"/>
        <v>-219657.86363636365</v>
      </c>
      <c r="U31" s="18">
        <f t="shared" si="211"/>
        <v>-214944.3846786035</v>
      </c>
      <c r="V31" s="18">
        <f t="shared" si="211"/>
        <v>-291100.67648454115</v>
      </c>
      <c r="W31" s="18">
        <f t="shared" si="211"/>
        <v>-259745.57266605203</v>
      </c>
      <c r="X31" s="18">
        <f t="shared" si="211"/>
        <v>-299151.45696310536</v>
      </c>
      <c r="Y31" s="18">
        <f t="shared" si="211"/>
        <v>-251326.42853853424</v>
      </c>
      <c r="Z31" s="18">
        <f t="shared" si="211"/>
        <v>-236010.02491192429</v>
      </c>
      <c r="AA31" s="18">
        <f t="shared" si="211"/>
        <v>-199769.57087507989</v>
      </c>
      <c r="AB31" s="18">
        <f t="shared" si="211"/>
        <v>-207959.94016056939</v>
      </c>
      <c r="AC31" s="18">
        <f t="shared" si="211"/>
        <v>-203313.96744199959</v>
      </c>
      <c r="AE31" s="18">
        <f t="shared" ref="AE31:AP31" si="212">SUM(AE25:AE29)</f>
        <v>-193707.62405144738</v>
      </c>
      <c r="AF31" s="18">
        <f t="shared" si="212"/>
        <v>-223471.79693565672</v>
      </c>
      <c r="AG31" s="18">
        <f t="shared" si="212"/>
        <v>-225141.61953938447</v>
      </c>
      <c r="AH31" s="18">
        <f t="shared" si="212"/>
        <v>-131316.35907974196</v>
      </c>
      <c r="AI31" s="18">
        <f t="shared" si="212"/>
        <v>-118237.34301374372</v>
      </c>
      <c r="AJ31" s="18">
        <f t="shared" si="212"/>
        <v>-113239.78836759267</v>
      </c>
      <c r="AK31" s="18">
        <f t="shared" si="212"/>
        <v>284551.65341834538</v>
      </c>
      <c r="AL31" s="18">
        <f t="shared" si="212"/>
        <v>115401.84068598656</v>
      </c>
      <c r="AM31" s="18">
        <f t="shared" si="212"/>
        <v>122271.79332795902</v>
      </c>
      <c r="AN31" s="18">
        <f t="shared" si="212"/>
        <v>388033.07253740309</v>
      </c>
      <c r="AO31" s="18">
        <f t="shared" si="212"/>
        <v>200560.66415982798</v>
      </c>
      <c r="AP31" s="18">
        <f t="shared" si="212"/>
        <v>191526.05127861717</v>
      </c>
      <c r="AR31" s="18">
        <f t="shared" ref="AR31:AV31" si="213">SUM(AR25:AR29)</f>
        <v>-2526690.5227272729</v>
      </c>
      <c r="AS31" s="18">
        <f t="shared" si="213"/>
        <v>-656808.25</v>
      </c>
      <c r="AT31" s="18">
        <f t="shared" si="213"/>
        <v>-573601.75757575757</v>
      </c>
      <c r="AU31" s="18">
        <f t="shared" si="213"/>
        <v>-687486.50757575757</v>
      </c>
      <c r="AV31" s="18">
        <f t="shared" si="213"/>
        <v>-608794.00757575757</v>
      </c>
      <c r="AX31" s="18">
        <f t="shared" ref="AX31:BB31" si="214">SUM(AX25:AX29)</f>
        <v>-2805637.2802961669</v>
      </c>
      <c r="AY31" s="18">
        <f t="shared" si="214"/>
        <v>-642315.25757575757</v>
      </c>
      <c r="AZ31" s="18">
        <f t="shared" si="214"/>
        <v>-765790.63382919668</v>
      </c>
      <c r="BA31" s="18">
        <f t="shared" si="214"/>
        <v>-786487.91041356383</v>
      </c>
      <c r="BB31" s="18">
        <f t="shared" si="214"/>
        <v>-611043.47847764881</v>
      </c>
      <c r="BD31" s="18">
        <f t="shared" ref="BD31:BH31" si="215">SUM(BD25:BD29)</f>
        <v>297230.5444205706</v>
      </c>
      <c r="BE31" s="18">
        <f t="shared" si="215"/>
        <v>-642321.04052648856</v>
      </c>
      <c r="BF31" s="18">
        <f t="shared" si="215"/>
        <v>-362793.49046107836</v>
      </c>
      <c r="BG31" s="18">
        <f t="shared" si="215"/>
        <v>522225.28743229073</v>
      </c>
      <c r="BH31" s="18">
        <f t="shared" si="215"/>
        <v>780119.40727036132</v>
      </c>
      <c r="BI31" s="79">
        <f>+BD31/BD$8</f>
        <v>3.7410642110661002E-2</v>
      </c>
      <c r="BK31" s="18">
        <f t="shared" ref="BK31:BO31" si="216">SUM(BK25:BK29)</f>
        <v>4124256.8031962514</v>
      </c>
      <c r="BL31" s="18">
        <f t="shared" si="216"/>
        <v>131570.21969842399</v>
      </c>
      <c r="BM31" s="18">
        <f t="shared" si="216"/>
        <v>297528.88025206095</v>
      </c>
      <c r="BN31" s="18">
        <f t="shared" si="216"/>
        <v>1725466.023717189</v>
      </c>
      <c r="BO31" s="18">
        <f t="shared" si="216"/>
        <v>1969690.2671477618</v>
      </c>
      <c r="BP31" s="71">
        <f>+BK31/BK$8</f>
        <v>0.19544009464447848</v>
      </c>
      <c r="BQ31" s="72">
        <f>(+BK31/BD31)-1</f>
        <v>12.875615681545082</v>
      </c>
      <c r="BS31" s="18">
        <f t="shared" ref="BS31:BW31" si="217">SUM(BS25:BS29)</f>
        <v>11867843.001565725</v>
      </c>
      <c r="BT31" s="18">
        <f t="shared" si="217"/>
        <v>1564931.427599106</v>
      </c>
      <c r="BU31" s="18">
        <f t="shared" si="217"/>
        <v>1857275.9830380483</v>
      </c>
      <c r="BV31" s="18">
        <f t="shared" si="217"/>
        <v>4337234.4132397668</v>
      </c>
      <c r="BW31" s="18">
        <f t="shared" si="217"/>
        <v>4108399.8331839163</v>
      </c>
      <c r="BX31" s="71">
        <f>+BS31/BS$8</f>
        <v>0.27846012792192248</v>
      </c>
      <c r="BY31" s="72">
        <f>(+BS31/BK31)-1</f>
        <v>1.8775712977834655</v>
      </c>
      <c r="CA31" s="18">
        <f t="shared" ref="CA31:CE31" si="218">SUM(CA25:CA29)</f>
        <v>26345518.847964384</v>
      </c>
      <c r="CB31" s="18">
        <f t="shared" si="218"/>
        <v>4830122.7050942499</v>
      </c>
      <c r="CC31" s="18">
        <f t="shared" si="218"/>
        <v>5366671.5394410491</v>
      </c>
      <c r="CD31" s="18">
        <f t="shared" si="218"/>
        <v>7593739.0217639226</v>
      </c>
      <c r="CE31" s="18">
        <f t="shared" si="218"/>
        <v>8554984.2821908202</v>
      </c>
      <c r="CF31" s="71">
        <f>+CA31/CA$8</f>
        <v>0.36373015921599883</v>
      </c>
      <c r="CG31" s="72">
        <f>(+CA31/BS31)-1</f>
        <v>1.2199079347855055</v>
      </c>
    </row>
    <row r="32" spans="1:85" s="16" customFormat="1" x14ac:dyDescent="0.25">
      <c r="B32" s="16" t="s">
        <v>196</v>
      </c>
      <c r="C32" s="65">
        <v>0.38</v>
      </c>
      <c r="D32" s="272">
        <v>2.3E-2</v>
      </c>
      <c r="X32" s="16">
        <f>X8*$D32</f>
        <v>9671.5000000000018</v>
      </c>
      <c r="Y32" s="16">
        <f t="shared" ref="Y32:AP32" si="219">Y8*$D32</f>
        <v>3976.7000000000007</v>
      </c>
      <c r="Z32" s="16">
        <f t="shared" si="219"/>
        <v>3976.7000000000007</v>
      </c>
      <c r="AA32" s="16">
        <f t="shared" si="219"/>
        <v>10262.600000000002</v>
      </c>
      <c r="AB32" s="16">
        <f t="shared" si="219"/>
        <v>4572.4000000000015</v>
      </c>
      <c r="AC32" s="16">
        <f t="shared" si="219"/>
        <v>4572.4000000000015</v>
      </c>
      <c r="AE32" s="16">
        <f t="shared" si="219"/>
        <v>10997.910000000002</v>
      </c>
      <c r="AF32" s="16">
        <f t="shared" si="219"/>
        <v>5684.9100000000017</v>
      </c>
      <c r="AG32" s="16">
        <f t="shared" si="219"/>
        <v>5684.9100000000017</v>
      </c>
      <c r="AH32" s="16">
        <f t="shared" si="219"/>
        <v>11653.180000000006</v>
      </c>
      <c r="AI32" s="16">
        <f t="shared" si="219"/>
        <v>6340.180000000003</v>
      </c>
      <c r="AJ32" s="16">
        <f t="shared" si="219"/>
        <v>6340.180000000003</v>
      </c>
      <c r="AK32" s="16">
        <f t="shared" si="219"/>
        <v>33582.990000000013</v>
      </c>
      <c r="AL32" s="16">
        <f t="shared" si="219"/>
        <v>15744.190000000006</v>
      </c>
      <c r="AM32" s="16">
        <f t="shared" si="219"/>
        <v>15744.190000000006</v>
      </c>
      <c r="AN32" s="16">
        <f t="shared" si="219"/>
        <v>35544.200000000012</v>
      </c>
      <c r="AO32" s="16">
        <f t="shared" si="219"/>
        <v>17710.000000000004</v>
      </c>
      <c r="AP32" s="16">
        <f t="shared" si="219"/>
        <v>17710.000000000004</v>
      </c>
      <c r="AR32" s="16">
        <f t="shared" ref="AR32" si="220">SUM(E32:P32)</f>
        <v>0</v>
      </c>
      <c r="AS32" s="16">
        <f t="shared" ref="AS32" si="221">SUM(E32:G32)</f>
        <v>0</v>
      </c>
      <c r="AT32" s="16">
        <f t="shared" ref="AT32" si="222">SUM(H32:J32)</f>
        <v>0</v>
      </c>
      <c r="AU32" s="16">
        <f t="shared" ref="AU32" si="223">SUM(K32:M32)</f>
        <v>0</v>
      </c>
      <c r="AV32" s="16">
        <f t="shared" ref="AV32" si="224">SUM(N32:P32)</f>
        <v>0</v>
      </c>
      <c r="AX32" s="16">
        <f t="shared" ref="AX32" si="225">SUM(R32:AC32)</f>
        <v>37032.300000000003</v>
      </c>
      <c r="AY32" s="16">
        <f t="shared" ref="AY32" si="226">SUM(R32:T32)</f>
        <v>0</v>
      </c>
      <c r="AZ32" s="16">
        <f t="shared" ref="AZ32" si="227">SUM(U32:W32)</f>
        <v>0</v>
      </c>
      <c r="BA32" s="16">
        <f t="shared" ref="BA32" si="228">SUM(X32:Z32)</f>
        <v>17624.900000000001</v>
      </c>
      <c r="BB32" s="16">
        <f t="shared" ref="BB32" si="229">SUM(AA32:AC32)</f>
        <v>19407.400000000005</v>
      </c>
      <c r="BD32" s="16">
        <f t="shared" ref="BD32" si="230">SUM(AE32:AP32)</f>
        <v>182736.84000000003</v>
      </c>
      <c r="BE32" s="16">
        <f t="shared" ref="BE32" si="231">SUM(AE32:AG32)</f>
        <v>22367.730000000003</v>
      </c>
      <c r="BF32" s="16">
        <f t="shared" ref="BF32" si="232">SUM(AH32:AJ32)</f>
        <v>24333.540000000012</v>
      </c>
      <c r="BG32" s="16">
        <f t="shared" ref="BG32" si="233">SUM(AK32:AM32)</f>
        <v>65071.370000000024</v>
      </c>
      <c r="BH32" s="16">
        <f t="shared" ref="BH32" si="234">SUM(AN32:AP32)</f>
        <v>70964.200000000012</v>
      </c>
      <c r="BI32" s="79">
        <f>+BD32/BD$8</f>
        <v>2.2999999999999996E-2</v>
      </c>
      <c r="BK32" s="16">
        <f>SUM(BL32:BO32)</f>
        <v>485355.40594200022</v>
      </c>
      <c r="BL32" s="16">
        <f t="shared" ref="BL32:BN32" si="235">BL8*$D32</f>
        <v>82463.073000000033</v>
      </c>
      <c r="BM32" s="16">
        <f t="shared" si="235"/>
        <v>88950.246000000028</v>
      </c>
      <c r="BN32" s="16">
        <f t="shared" si="235"/>
        <v>151555.80895400004</v>
      </c>
      <c r="BO32" s="16">
        <f>BO8*$D32</f>
        <v>162386.27798800005</v>
      </c>
      <c r="BP32" s="71">
        <f>+BK32/BK$8</f>
        <v>2.3000000000000003E-2</v>
      </c>
      <c r="BQ32" s="72">
        <f>(+BK32/BD32)-1</f>
        <v>1.6560347981392267</v>
      </c>
      <c r="BS32" s="16">
        <f>SUM(BT32:BW32)</f>
        <v>5143909.9130698042</v>
      </c>
      <c r="BT32" s="16">
        <f>IF(+$AR31+$AX31+$BD31+$BK31+SUM($BT31:BT31)&lt;0,0,(+$AR31+$AX31+$BD31+$BK31+SUM($BT31:BT31))*$C32) + BT8*$D32</f>
        <v>435636.22685734573</v>
      </c>
      <c r="BU32" s="16">
        <f>BU31*$C32 + BU8*$D32</f>
        <v>904757.12476605852</v>
      </c>
      <c r="BV32" s="16">
        <f t="shared" ref="BV32:BW32" si="236">BV31*$C32 + BV8*$D32</f>
        <v>1949242.3172201114</v>
      </c>
      <c r="BW32" s="16">
        <f t="shared" si="236"/>
        <v>1854274.2442262883</v>
      </c>
      <c r="BX32" s="71">
        <f>+BS32/BS$8</f>
        <v>0.1206936940624585</v>
      </c>
      <c r="BY32" s="72">
        <f>(+BS32/BK32)-1</f>
        <v>9.5982334802396316</v>
      </c>
      <c r="CA32" s="16">
        <f>SUM(CB32:CE32)</f>
        <v>11677221.030621717</v>
      </c>
      <c r="CB32" s="16">
        <f>CB31*$C32 + CB8*$D32</f>
        <v>2184871.456868995</v>
      </c>
      <c r="CC32" s="16">
        <f t="shared" ref="CC32:CE32" si="237">CC31*$C32 + CC8*$D32</f>
        <v>2407269.0861809189</v>
      </c>
      <c r="CD32" s="16">
        <f t="shared" si="237"/>
        <v>3343119.0546205509</v>
      </c>
      <c r="CE32" s="16">
        <f t="shared" si="237"/>
        <v>3741961.432951252</v>
      </c>
      <c r="CF32" s="71">
        <f>+CA32/CA$8</f>
        <v>0.16121745368459972</v>
      </c>
      <c r="CG32" s="72">
        <f>(+CA32/BS32)-1</f>
        <v>1.2701060531701529</v>
      </c>
    </row>
    <row r="33" spans="2:85" s="16" customFormat="1" x14ac:dyDescent="0.25">
      <c r="B33" s="16" t="s">
        <v>197</v>
      </c>
      <c r="E33" s="17">
        <f>+E31-E32</f>
        <v>-326583.41666666669</v>
      </c>
      <c r="F33" s="17">
        <f t="shared" ref="F33:P33" si="238">+F31-F32</f>
        <v>-152612.41666666669</v>
      </c>
      <c r="G33" s="17">
        <f t="shared" si="238"/>
        <v>-177612.41666666669</v>
      </c>
      <c r="H33" s="17">
        <f t="shared" si="238"/>
        <v>-192925.25252525252</v>
      </c>
      <c r="I33" s="17">
        <f t="shared" si="238"/>
        <v>-174537.25252525252</v>
      </c>
      <c r="J33" s="17">
        <f t="shared" si="238"/>
        <v>-206139.25252525252</v>
      </c>
      <c r="K33" s="17">
        <f t="shared" si="238"/>
        <v>-215238.00252525252</v>
      </c>
      <c r="L33" s="17">
        <f t="shared" si="238"/>
        <v>-226320.50252525252</v>
      </c>
      <c r="M33" s="17">
        <f t="shared" si="238"/>
        <v>-245928.00252525252</v>
      </c>
      <c r="N33" s="17">
        <f t="shared" si="238"/>
        <v>-165438.00252525252</v>
      </c>
      <c r="O33" s="17">
        <f t="shared" si="238"/>
        <v>-210728.00252525252</v>
      </c>
      <c r="P33" s="17">
        <f t="shared" si="238"/>
        <v>-232628.00252525252</v>
      </c>
      <c r="R33" s="17">
        <f t="shared" ref="R33:AC33" si="239">+R31-R32</f>
        <v>-226283.69696969696</v>
      </c>
      <c r="S33" s="17">
        <f t="shared" si="239"/>
        <v>-196373.69696969696</v>
      </c>
      <c r="T33" s="17">
        <f t="shared" si="239"/>
        <v>-219657.86363636365</v>
      </c>
      <c r="U33" s="17">
        <f t="shared" si="239"/>
        <v>-214944.3846786035</v>
      </c>
      <c r="V33" s="17">
        <f t="shared" si="239"/>
        <v>-291100.67648454115</v>
      </c>
      <c r="W33" s="17">
        <f t="shared" si="239"/>
        <v>-259745.57266605203</v>
      </c>
      <c r="X33" s="17">
        <f t="shared" si="239"/>
        <v>-308822.95696310536</v>
      </c>
      <c r="Y33" s="17">
        <f t="shared" si="239"/>
        <v>-255303.12853853425</v>
      </c>
      <c r="Z33" s="17">
        <f t="shared" si="239"/>
        <v>-239986.72491192431</v>
      </c>
      <c r="AA33" s="17">
        <f t="shared" si="239"/>
        <v>-210032.1708750799</v>
      </c>
      <c r="AB33" s="17">
        <f t="shared" si="239"/>
        <v>-212532.34016056938</v>
      </c>
      <c r="AC33" s="17">
        <f t="shared" si="239"/>
        <v>-207886.36744199958</v>
      </c>
      <c r="AE33" s="17">
        <f t="shared" ref="AE33:AP33" si="240">+AE31-AE32</f>
        <v>-204705.53405144738</v>
      </c>
      <c r="AF33" s="17">
        <f t="shared" si="240"/>
        <v>-229156.70693565672</v>
      </c>
      <c r="AG33" s="17">
        <f t="shared" si="240"/>
        <v>-230826.52953938447</v>
      </c>
      <c r="AH33" s="17">
        <f t="shared" si="240"/>
        <v>-142969.53907974195</v>
      </c>
      <c r="AI33" s="17">
        <f t="shared" si="240"/>
        <v>-124577.52301374373</v>
      </c>
      <c r="AJ33" s="17">
        <f t="shared" si="240"/>
        <v>-119579.96836759268</v>
      </c>
      <c r="AK33" s="17">
        <f t="shared" si="240"/>
        <v>250968.66341834536</v>
      </c>
      <c r="AL33" s="17">
        <f t="shared" si="240"/>
        <v>99657.650685986562</v>
      </c>
      <c r="AM33" s="17">
        <f t="shared" si="240"/>
        <v>106527.60332795902</v>
      </c>
      <c r="AN33" s="17">
        <f t="shared" si="240"/>
        <v>352488.87253740308</v>
      </c>
      <c r="AO33" s="17">
        <f t="shared" si="240"/>
        <v>182850.66415982798</v>
      </c>
      <c r="AP33" s="17">
        <f t="shared" si="240"/>
        <v>173816.05127861717</v>
      </c>
      <c r="AR33" s="17">
        <f t="shared" ref="AR33" si="241">+AR31-AR32</f>
        <v>-2526690.5227272729</v>
      </c>
      <c r="AS33" s="17">
        <f t="shared" ref="AS33" si="242">+AS31-AS32</f>
        <v>-656808.25</v>
      </c>
      <c r="AT33" s="17">
        <f t="shared" ref="AT33" si="243">+AT31-AT32</f>
        <v>-573601.75757575757</v>
      </c>
      <c r="AU33" s="17">
        <f t="shared" ref="AU33" si="244">+AU31-AU32</f>
        <v>-687486.50757575757</v>
      </c>
      <c r="AV33" s="17">
        <f t="shared" ref="AV33" si="245">+AV31-AV32</f>
        <v>-608794.00757575757</v>
      </c>
      <c r="AX33" s="17">
        <f t="shared" ref="AX33" si="246">+AX31-AX32</f>
        <v>-2842669.5802961667</v>
      </c>
      <c r="AY33" s="17">
        <f t="shared" ref="AY33" si="247">+AY31-AY32</f>
        <v>-642315.25757575757</v>
      </c>
      <c r="AZ33" s="17">
        <f t="shared" ref="AZ33" si="248">+AZ31-AZ32</f>
        <v>-765790.63382919668</v>
      </c>
      <c r="BA33" s="17">
        <f t="shared" ref="BA33" si="249">+BA31-BA32</f>
        <v>-804112.81041356386</v>
      </c>
      <c r="BB33" s="17">
        <f t="shared" ref="BB33" si="250">+BB31-BB32</f>
        <v>-630450.87847764883</v>
      </c>
      <c r="BD33" s="17">
        <f t="shared" ref="BD33" si="251">+BD31-BD32</f>
        <v>114493.70442057058</v>
      </c>
      <c r="BE33" s="17">
        <f t="shared" ref="BE33" si="252">+BE31-BE32</f>
        <v>-664688.77052648854</v>
      </c>
      <c r="BF33" s="17">
        <f t="shared" ref="BF33" si="253">+BF31-BF32</f>
        <v>-387127.03046107839</v>
      </c>
      <c r="BG33" s="17">
        <f t="shared" ref="BG33" si="254">+BG31-BG32</f>
        <v>457153.91743229073</v>
      </c>
      <c r="BH33" s="17">
        <f t="shared" ref="BH33" si="255">+BH31-BH32</f>
        <v>709155.20727036125</v>
      </c>
      <c r="BI33" s="81">
        <f>+BD33/BD$8</f>
        <v>1.4410642110661006E-2</v>
      </c>
      <c r="BK33" s="17">
        <f t="shared" ref="BK33:BO33" si="256">+BK31-BK32</f>
        <v>3638901.3972542509</v>
      </c>
      <c r="BL33" s="17">
        <f t="shared" si="256"/>
        <v>49107.146698423952</v>
      </c>
      <c r="BM33" s="17">
        <f t="shared" si="256"/>
        <v>208578.6342520609</v>
      </c>
      <c r="BN33" s="17">
        <f t="shared" si="256"/>
        <v>1573910.214763189</v>
      </c>
      <c r="BO33" s="17">
        <f t="shared" si="256"/>
        <v>1807303.9891597617</v>
      </c>
      <c r="BP33" s="76">
        <f>+BK33/BK$8</f>
        <v>0.17244009464447846</v>
      </c>
      <c r="BQ33" s="77">
        <f>(+BK33/BD33)-1</f>
        <v>30.782545736204391</v>
      </c>
      <c r="BS33" s="17">
        <f t="shared" ref="BS33:BW33" si="257">+BS31-BS32</f>
        <v>6723933.0884959204</v>
      </c>
      <c r="BT33" s="17">
        <f t="shared" si="257"/>
        <v>1129295.2007417602</v>
      </c>
      <c r="BU33" s="17">
        <f t="shared" si="257"/>
        <v>952518.85827198974</v>
      </c>
      <c r="BV33" s="17">
        <f t="shared" si="257"/>
        <v>2387992.0960196555</v>
      </c>
      <c r="BW33" s="17">
        <f t="shared" si="257"/>
        <v>2254125.5889576282</v>
      </c>
      <c r="BX33" s="76">
        <f>+BS33/BS$8</f>
        <v>0.15776643385946398</v>
      </c>
      <c r="BY33" s="77">
        <f>(+BS33/BK33)-1</f>
        <v>0.84779205437374405</v>
      </c>
      <c r="CA33" s="17">
        <f t="shared" ref="CA33:CE33" si="258">+CA31-CA32</f>
        <v>14668297.817342667</v>
      </c>
      <c r="CB33" s="17">
        <f t="shared" si="258"/>
        <v>2645251.2482252549</v>
      </c>
      <c r="CC33" s="17">
        <f t="shared" si="258"/>
        <v>2959402.4532601302</v>
      </c>
      <c r="CD33" s="17">
        <f t="shared" si="258"/>
        <v>4250619.9671433717</v>
      </c>
      <c r="CE33" s="17">
        <f t="shared" si="258"/>
        <v>4813022.8492395682</v>
      </c>
      <c r="CF33" s="76">
        <f>+CA33/CA$8</f>
        <v>0.20251270553139911</v>
      </c>
      <c r="CG33" s="77">
        <f>(+CA33/BS33)-1</f>
        <v>1.1815056194474751</v>
      </c>
    </row>
    <row r="34" spans="2:85" s="16" customFormat="1" x14ac:dyDescent="0.25">
      <c r="B34" s="16" t="s">
        <v>411</v>
      </c>
      <c r="BK34" s="65">
        <f t="shared" ref="BK34" si="259">+BK33/BK8</f>
        <v>0.17244009464447846</v>
      </c>
      <c r="BL34" s="65">
        <f t="shared" ref="BL34" si="260">+BL33/BL8</f>
        <v>1.3696607863058298E-2</v>
      </c>
      <c r="BM34" s="65">
        <f t="shared" ref="BM34" si="261">+BM33/BM8</f>
        <v>5.3932493765080754E-2</v>
      </c>
      <c r="BN34" s="65">
        <f t="shared" ref="BN34" si="262">+BN33/BN8</f>
        <v>0.23885547633836121</v>
      </c>
      <c r="BO34" s="65">
        <f t="shared" ref="BO34" si="263">+BO33/BO8</f>
        <v>0.25598216958791487</v>
      </c>
      <c r="BS34" s="65">
        <f t="shared" ref="BS34:BW34" si="264">+BS33/BS8</f>
        <v>0.15776643385946398</v>
      </c>
      <c r="BT34" s="65">
        <f t="shared" si="264"/>
        <v>0.13883664478215504</v>
      </c>
      <c r="BU34" s="65">
        <f t="shared" si="264"/>
        <v>0.11009440622368645</v>
      </c>
      <c r="BV34" s="65">
        <f t="shared" si="264"/>
        <v>0.18241465060449605</v>
      </c>
      <c r="BW34" s="65">
        <f t="shared" si="264"/>
        <v>0.17689531984265139</v>
      </c>
      <c r="CA34" s="65">
        <f t="shared" ref="CA34:CD34" si="265">+CA33/CA8</f>
        <v>0.20251270553139911</v>
      </c>
      <c r="CB34" s="65">
        <f t="shared" si="265"/>
        <v>0.17411693065696637</v>
      </c>
      <c r="CC34" s="65">
        <f t="shared" si="265"/>
        <v>0.18499588160869024</v>
      </c>
      <c r="CD34" s="65">
        <f t="shared" si="265"/>
        <v>0.21369319838510004</v>
      </c>
      <c r="CE34" s="65">
        <f>+CE33/CE8</f>
        <v>0.22542633504760326</v>
      </c>
    </row>
    <row r="35" spans="2:85" s="16" customFormat="1" x14ac:dyDescent="0.25"/>
    <row r="36" spans="2:85" s="16" customFormat="1" x14ac:dyDescent="0.25"/>
    <row r="37" spans="2:85" s="16" customFormat="1" x14ac:dyDescent="0.25"/>
    <row r="38" spans="2:85" s="16" customFormat="1" x14ac:dyDescent="0.25"/>
    <row r="39" spans="2:85" s="16" customFormat="1" x14ac:dyDescent="0.25"/>
    <row r="40" spans="2:85" s="16" customFormat="1" x14ac:dyDescent="0.25"/>
    <row r="41" spans="2:85" s="16" customFormat="1" x14ac:dyDescent="0.25"/>
    <row r="42" spans="2:85" s="16" customFormat="1" x14ac:dyDescent="0.25"/>
    <row r="43" spans="2:85" s="16" customFormat="1" x14ac:dyDescent="0.25"/>
    <row r="44" spans="2:85" s="16" customFormat="1" x14ac:dyDescent="0.25"/>
    <row r="45" spans="2:85" s="16" customFormat="1" x14ac:dyDescent="0.25"/>
    <row r="46" spans="2:85" s="16" customFormat="1" x14ac:dyDescent="0.25"/>
    <row r="47" spans="2:85" s="16" customFormat="1" x14ac:dyDescent="0.25"/>
    <row r="48" spans="2:85" s="16" customFormat="1" x14ac:dyDescent="0.25"/>
    <row r="49" s="16" customFormat="1" x14ac:dyDescent="0.25"/>
    <row r="50" s="16" customFormat="1" x14ac:dyDescent="0.25"/>
    <row r="51" s="16" customFormat="1" x14ac:dyDescent="0.25"/>
    <row r="52" s="16" customFormat="1" x14ac:dyDescent="0.25"/>
    <row r="53" s="16" customFormat="1" x14ac:dyDescent="0.25"/>
    <row r="54" s="16" customFormat="1" x14ac:dyDescent="0.25"/>
    <row r="55" s="16" customFormat="1" x14ac:dyDescent="0.25"/>
    <row r="56" s="16" customFormat="1" x14ac:dyDescent="0.25"/>
    <row r="57" s="16" customFormat="1" x14ac:dyDescent="0.25"/>
    <row r="58" s="16" customFormat="1" x14ac:dyDescent="0.25"/>
    <row r="59" s="16" customFormat="1" x14ac:dyDescent="0.25"/>
    <row r="60" s="16" customFormat="1" x14ac:dyDescent="0.25"/>
    <row r="61" s="16" customFormat="1" x14ac:dyDescent="0.25"/>
    <row r="62" s="16" customFormat="1" x14ac:dyDescent="0.25"/>
    <row r="63" s="16" customFormat="1" x14ac:dyDescent="0.25"/>
    <row r="64" s="16" customFormat="1" x14ac:dyDescent="0.25"/>
    <row r="65" s="16" customFormat="1" x14ac:dyDescent="0.25"/>
    <row r="66" s="16" customFormat="1" x14ac:dyDescent="0.25"/>
    <row r="67" s="16" customFormat="1" x14ac:dyDescent="0.25"/>
    <row r="68" s="16" customFormat="1" x14ac:dyDescent="0.25"/>
    <row r="69" s="16" customFormat="1" x14ac:dyDescent="0.25"/>
    <row r="70" s="16" customFormat="1" x14ac:dyDescent="0.25"/>
    <row r="71" s="16" customFormat="1" x14ac:dyDescent="0.25"/>
    <row r="72" s="16" customFormat="1" x14ac:dyDescent="0.25"/>
    <row r="73" s="16" customFormat="1" x14ac:dyDescent="0.25"/>
    <row r="74" s="16" customFormat="1" x14ac:dyDescent="0.25"/>
    <row r="75" s="16" customFormat="1" x14ac:dyDescent="0.25"/>
    <row r="76" s="16" customFormat="1" x14ac:dyDescent="0.25"/>
    <row r="77" s="16" customFormat="1" x14ac:dyDescent="0.25"/>
    <row r="78" s="16" customFormat="1" x14ac:dyDescent="0.25"/>
    <row r="79" s="16" customFormat="1" x14ac:dyDescent="0.25"/>
    <row r="80" s="16" customFormat="1" x14ac:dyDescent="0.25"/>
    <row r="81" s="16" customFormat="1" x14ac:dyDescent="0.25"/>
    <row r="82" s="16" customFormat="1" x14ac:dyDescent="0.25"/>
    <row r="83" s="16" customFormat="1" x14ac:dyDescent="0.25"/>
    <row r="84" s="16" customFormat="1" x14ac:dyDescent="0.25"/>
    <row r="85" s="16" customFormat="1" x14ac:dyDescent="0.25"/>
    <row r="86" s="16" customFormat="1" x14ac:dyDescent="0.25"/>
    <row r="87" s="16" customFormat="1" x14ac:dyDescent="0.25"/>
    <row r="88" s="16" customFormat="1" x14ac:dyDescent="0.25"/>
    <row r="89" s="16" customFormat="1" x14ac:dyDescent="0.25"/>
    <row r="90" s="16" customFormat="1" x14ac:dyDescent="0.25"/>
    <row r="91" s="16" customFormat="1" x14ac:dyDescent="0.25"/>
    <row r="92" s="16" customFormat="1" x14ac:dyDescent="0.25"/>
    <row r="93" s="16" customFormat="1" x14ac:dyDescent="0.25"/>
    <row r="94" s="16" customFormat="1" x14ac:dyDescent="0.25"/>
    <row r="95" s="16" customFormat="1" x14ac:dyDescent="0.25"/>
    <row r="96" s="16" customFormat="1" x14ac:dyDescent="0.25"/>
    <row r="97" s="16" customFormat="1" x14ac:dyDescent="0.25"/>
    <row r="98" s="16" customFormat="1" x14ac:dyDescent="0.25"/>
    <row r="99" s="16" customFormat="1" x14ac:dyDescent="0.25"/>
    <row r="100" s="16" customFormat="1" x14ac:dyDescent="0.25"/>
    <row r="101" s="16" customFormat="1" x14ac:dyDescent="0.25"/>
    <row r="102" s="16" customFormat="1" x14ac:dyDescent="0.25"/>
    <row r="103" s="16" customFormat="1" x14ac:dyDescent="0.25"/>
    <row r="104" s="16" customFormat="1" x14ac:dyDescent="0.25"/>
    <row r="105" s="16" customFormat="1" x14ac:dyDescent="0.25"/>
    <row r="106" s="16" customFormat="1" x14ac:dyDescent="0.25"/>
    <row r="107" s="16" customFormat="1" x14ac:dyDescent="0.25"/>
    <row r="108" s="16" customFormat="1" x14ac:dyDescent="0.25"/>
    <row r="109" s="16" customFormat="1" x14ac:dyDescent="0.25"/>
    <row r="110" s="16" customFormat="1" x14ac:dyDescent="0.25"/>
    <row r="111" s="16" customFormat="1" x14ac:dyDescent="0.25"/>
    <row r="112"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row r="150" s="16" customFormat="1" x14ac:dyDescent="0.25"/>
    <row r="151" s="16" customFormat="1" x14ac:dyDescent="0.25"/>
    <row r="152" s="16" customFormat="1" x14ac:dyDescent="0.25"/>
    <row r="153" s="16" customFormat="1" x14ac:dyDescent="0.25"/>
    <row r="154" s="16" customFormat="1" x14ac:dyDescent="0.25"/>
    <row r="155" s="16" customFormat="1" x14ac:dyDescent="0.25"/>
    <row r="156" s="16" customFormat="1" x14ac:dyDescent="0.25"/>
    <row r="157" s="16" customFormat="1" x14ac:dyDescent="0.25"/>
    <row r="158" s="16" customFormat="1" x14ac:dyDescent="0.25"/>
    <row r="159" s="16" customFormat="1" x14ac:dyDescent="0.25"/>
    <row r="160" s="16" customFormat="1" x14ac:dyDescent="0.25"/>
    <row r="161" s="16" customFormat="1" x14ac:dyDescent="0.25"/>
    <row r="162" s="16" customFormat="1" x14ac:dyDescent="0.25"/>
    <row r="163" s="16" customFormat="1" x14ac:dyDescent="0.25"/>
    <row r="164" s="16" customFormat="1" x14ac:dyDescent="0.25"/>
    <row r="165" s="16" customFormat="1" x14ac:dyDescent="0.25"/>
    <row r="166" s="16" customFormat="1" x14ac:dyDescent="0.25"/>
    <row r="167" s="16" customFormat="1" x14ac:dyDescent="0.25"/>
    <row r="168" s="16" customFormat="1" x14ac:dyDescent="0.25"/>
    <row r="169" s="16" customFormat="1" x14ac:dyDescent="0.25"/>
    <row r="170" s="16" customFormat="1" x14ac:dyDescent="0.25"/>
    <row r="171" s="16" customFormat="1" x14ac:dyDescent="0.25"/>
    <row r="172" s="16" customFormat="1" x14ac:dyDescent="0.25"/>
    <row r="173" s="16" customFormat="1" x14ac:dyDescent="0.25"/>
    <row r="174" s="16" customFormat="1" x14ac:dyDescent="0.25"/>
    <row r="175" s="16" customFormat="1" x14ac:dyDescent="0.25"/>
    <row r="176" s="16" customFormat="1" x14ac:dyDescent="0.25"/>
    <row r="177" s="16" customFormat="1" x14ac:dyDescent="0.25"/>
    <row r="178" s="16" customFormat="1" x14ac:dyDescent="0.25"/>
    <row r="179" s="16" customFormat="1" x14ac:dyDescent="0.25"/>
    <row r="180" s="16" customFormat="1" x14ac:dyDescent="0.25"/>
    <row r="181" s="16" customFormat="1" x14ac:dyDescent="0.25"/>
    <row r="182" s="16" customFormat="1" x14ac:dyDescent="0.25"/>
    <row r="183" s="16" customFormat="1" x14ac:dyDescent="0.25"/>
    <row r="184" s="16" customFormat="1" x14ac:dyDescent="0.25"/>
    <row r="185" s="16" customFormat="1" x14ac:dyDescent="0.25"/>
    <row r="186" s="16" customFormat="1" x14ac:dyDescent="0.25"/>
    <row r="187" s="16" customFormat="1" x14ac:dyDescent="0.25"/>
    <row r="188" s="16" customFormat="1" x14ac:dyDescent="0.25"/>
    <row r="189" s="16" customFormat="1" x14ac:dyDescent="0.25"/>
    <row r="190" s="16" customFormat="1" x14ac:dyDescent="0.25"/>
    <row r="191" s="16" customFormat="1" x14ac:dyDescent="0.25"/>
    <row r="19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sheetData>
  <mergeCells count="12">
    <mergeCell ref="BX3:BY3"/>
    <mergeCell ref="CA3:CE3"/>
    <mergeCell ref="CF3:CG3"/>
    <mergeCell ref="BD3:BI3"/>
    <mergeCell ref="BK3:BO3"/>
    <mergeCell ref="BP3:BQ3"/>
    <mergeCell ref="BS3:BW3"/>
    <mergeCell ref="E3:P3"/>
    <mergeCell ref="R3:AC3"/>
    <mergeCell ref="AE3:AP3"/>
    <mergeCell ref="AR3:AV3"/>
    <mergeCell ref="AX3:BB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E30"/>
  <sheetViews>
    <sheetView zoomScaleNormal="100" workbookViewId="0">
      <selection activeCell="G13" sqref="G13"/>
    </sheetView>
  </sheetViews>
  <sheetFormatPr defaultColWidth="10.25" defaultRowHeight="15.75" x14ac:dyDescent="0.25"/>
  <cols>
    <col min="1" max="1" width="16.5" style="111" bestFit="1" customWidth="1"/>
    <col min="2" max="2" width="15.875" style="111" customWidth="1"/>
    <col min="3" max="4" width="16.25" style="111" customWidth="1"/>
    <col min="5" max="5" width="15.25" style="111" customWidth="1"/>
    <col min="6" max="6" width="16.5" style="111" bestFit="1" customWidth="1"/>
    <col min="7" max="7" width="10.25" style="107"/>
    <col min="8" max="8" width="15.875" style="123" customWidth="1"/>
    <col min="9" max="9" width="15.875" style="110" customWidth="1"/>
    <col min="10" max="11" width="16.25" style="110" customWidth="1"/>
    <col min="12" max="13" width="15.25" style="110" customWidth="1"/>
    <col min="14" max="16384" width="10.25" style="107"/>
  </cols>
  <sheetData>
    <row r="1" spans="1:31" x14ac:dyDescent="0.25">
      <c r="A1" s="125"/>
      <c r="B1" s="128" t="s">
        <v>440</v>
      </c>
      <c r="C1" s="126" t="s">
        <v>435</v>
      </c>
      <c r="D1" s="126" t="s">
        <v>436</v>
      </c>
      <c r="E1" s="126" t="s">
        <v>437</v>
      </c>
      <c r="F1" s="126" t="s">
        <v>438</v>
      </c>
      <c r="G1" s="117" t="s">
        <v>444</v>
      </c>
      <c r="H1" s="126" t="s">
        <v>439</v>
      </c>
      <c r="I1" s="126" t="s">
        <v>441</v>
      </c>
      <c r="J1" s="126" t="s">
        <v>442</v>
      </c>
      <c r="K1" s="126" t="s">
        <v>443</v>
      </c>
      <c r="L1" s="117" t="s">
        <v>449</v>
      </c>
      <c r="M1" s="126" t="s">
        <v>445</v>
      </c>
      <c r="N1" s="126" t="s">
        <v>446</v>
      </c>
      <c r="O1" s="126" t="s">
        <v>447</v>
      </c>
      <c r="P1" s="126" t="s">
        <v>448</v>
      </c>
      <c r="Q1" s="117" t="s">
        <v>450</v>
      </c>
      <c r="R1" s="126" t="s">
        <v>431</v>
      </c>
      <c r="S1" s="126" t="s">
        <v>432</v>
      </c>
      <c r="T1" s="126" t="s">
        <v>433</v>
      </c>
      <c r="U1" s="126" t="s">
        <v>434</v>
      </c>
      <c r="V1" s="117" t="s">
        <v>455</v>
      </c>
      <c r="W1" s="126" t="s">
        <v>451</v>
      </c>
      <c r="X1" s="126" t="s">
        <v>452</v>
      </c>
      <c r="Y1" s="126" t="s">
        <v>453</v>
      </c>
      <c r="Z1" s="126" t="s">
        <v>454</v>
      </c>
      <c r="AA1" s="117" t="s">
        <v>460</v>
      </c>
      <c r="AB1" s="126" t="s">
        <v>456</v>
      </c>
      <c r="AC1" s="126" t="s">
        <v>457</v>
      </c>
      <c r="AD1" s="126" t="s">
        <v>458</v>
      </c>
      <c r="AE1" s="127" t="s">
        <v>459</v>
      </c>
    </row>
    <row r="2" spans="1:31" x14ac:dyDescent="0.25">
      <c r="A2" s="115" t="s">
        <v>461</v>
      </c>
      <c r="B2" s="111">
        <f>'P&amp;L'!AR6</f>
        <v>0</v>
      </c>
      <c r="C2" s="111">
        <f>'P&amp;L'!AS6</f>
        <v>0</v>
      </c>
      <c r="D2" s="111">
        <f>'P&amp;L'!AT6</f>
        <v>0</v>
      </c>
      <c r="E2" s="111">
        <f>'P&amp;L'!AU6</f>
        <v>0</v>
      </c>
      <c r="F2" s="111">
        <f>'P&amp;L'!AV6</f>
        <v>0</v>
      </c>
      <c r="G2" s="111">
        <f>'P&amp;L'!AX6</f>
        <v>495000.00000000012</v>
      </c>
      <c r="H2" s="110">
        <f>'P&amp;L'!AY6</f>
        <v>0</v>
      </c>
      <c r="I2" s="110">
        <f>'P&amp;L'!AZ6</f>
        <v>0</v>
      </c>
      <c r="J2" s="110">
        <f>'P&amp;L'!BA6</f>
        <v>247600.00000000006</v>
      </c>
      <c r="K2" s="110">
        <f>'P&amp;L'!BB6</f>
        <v>247400.00000000006</v>
      </c>
      <c r="L2" s="110">
        <f>'P&amp;L'!BD6</f>
        <v>2013000.0000000007</v>
      </c>
      <c r="M2" s="110">
        <f>'P&amp;L'!BE6</f>
        <v>231000.00000000009</v>
      </c>
      <c r="N2" s="110">
        <f>'P&amp;L'!BF6</f>
        <v>231000.00000000009</v>
      </c>
      <c r="O2" s="110">
        <f>'P&amp;L'!BG6</f>
        <v>775600.00000000023</v>
      </c>
      <c r="P2" s="110">
        <f>'P&amp;L'!BH6</f>
        <v>775400.00000000023</v>
      </c>
      <c r="Q2" s="110">
        <f>'P&amp;L'!BK6</f>
        <v>4342242.3000000017</v>
      </c>
      <c r="R2" s="110">
        <f>'P&amp;L'!BL6</f>
        <v>762300.00000000035</v>
      </c>
      <c r="S2" s="110">
        <f>'P&amp;L'!BM6</f>
        <v>762300.00000000035</v>
      </c>
      <c r="T2" s="110">
        <f>'P&amp;L'!BN6</f>
        <v>1408763.4000000004</v>
      </c>
      <c r="U2" s="110">
        <f>'P&amp;L'!BO6</f>
        <v>1408878.9000000004</v>
      </c>
      <c r="V2" s="110">
        <f>'P&amp;L'!BS6</f>
        <v>7159661.9600000037</v>
      </c>
      <c r="W2" s="110">
        <f>'P&amp;L'!BT6</f>
        <v>1399599.7400000005</v>
      </c>
      <c r="X2" s="110">
        <f>'P&amp;L'!BU6</f>
        <v>1399599.7400000005</v>
      </c>
      <c r="Y2" s="110">
        <f>'P&amp;L'!BV6</f>
        <v>2180253.7400000012</v>
      </c>
      <c r="Z2" s="110">
        <f>'P&amp;L'!BW6</f>
        <v>2180208.7400000012</v>
      </c>
      <c r="AA2" s="110">
        <f>'P&amp;L'!CA6</f>
        <v>9835560.2620000057</v>
      </c>
      <c r="AB2" s="110">
        <f>'P&amp;L'!CB6</f>
        <v>2174979.114000001</v>
      </c>
      <c r="AC2" s="110">
        <f>'P&amp;L'!CC6</f>
        <v>2174979.114000001</v>
      </c>
      <c r="AD2" s="110">
        <f>'P&amp;L'!CD6</f>
        <v>2742870.7720000013</v>
      </c>
      <c r="AE2" s="121">
        <f>'P&amp;L'!CE6</f>
        <v>2742731.2620000015</v>
      </c>
    </row>
    <row r="3" spans="1:31" x14ac:dyDescent="0.25">
      <c r="A3" s="115" t="s">
        <v>462</v>
      </c>
      <c r="B3" s="111">
        <f>'P&amp;L'!AR7</f>
        <v>0</v>
      </c>
      <c r="C3" s="110">
        <f>'P&amp;L'!AS7</f>
        <v>0</v>
      </c>
      <c r="D3" s="110">
        <f>'P&amp;L'!AT7</f>
        <v>0</v>
      </c>
      <c r="E3" s="110">
        <f>'P&amp;L'!AU7</f>
        <v>0</v>
      </c>
      <c r="F3" s="110">
        <f>'P&amp;L'!AV7</f>
        <v>0</v>
      </c>
      <c r="G3" s="111">
        <f>'P&amp;L'!AX7</f>
        <v>1115100.0000000002</v>
      </c>
      <c r="H3" s="110">
        <f>'P&amp;L'!AY7</f>
        <v>0</v>
      </c>
      <c r="I3" s="110">
        <f>'P&amp;L'!AZ7</f>
        <v>0</v>
      </c>
      <c r="J3" s="110">
        <f>'P&amp;L'!BA7</f>
        <v>518700.00000000012</v>
      </c>
      <c r="K3" s="110">
        <f>'P&amp;L'!BB7</f>
        <v>596400.00000000023</v>
      </c>
      <c r="L3" s="110">
        <f>'P&amp;L'!BD7</f>
        <v>5932080.0000000009</v>
      </c>
      <c r="M3" s="110">
        <f>'P&amp;L'!BE7</f>
        <v>741510.00000000023</v>
      </c>
      <c r="N3" s="110">
        <f>'P&amp;L'!BF7</f>
        <v>826980.00000000035</v>
      </c>
      <c r="O3" s="110">
        <f>'P&amp;L'!BG7</f>
        <v>2053590.0000000007</v>
      </c>
      <c r="P3" s="110">
        <f>'P&amp;L'!BH7</f>
        <v>2310000.0000000009</v>
      </c>
      <c r="Q3" s="110">
        <f>'P&amp;L'!BK7</f>
        <v>16760166.654000005</v>
      </c>
      <c r="R3" s="110">
        <f>'P&amp;L'!BL7</f>
        <v>2823051.0000000009</v>
      </c>
      <c r="S3" s="110">
        <f>'P&amp;L'!BM7</f>
        <v>3105102.0000000009</v>
      </c>
      <c r="T3" s="110">
        <f>'P&amp;L'!BN7</f>
        <v>5180619.5980000012</v>
      </c>
      <c r="U3" s="110">
        <f>'P&amp;L'!BO7</f>
        <v>5651394.0560000017</v>
      </c>
      <c r="V3" s="110">
        <f>'P&amp;L'!BS7</f>
        <v>35459879.62440002</v>
      </c>
      <c r="W3" s="110">
        <f>'P&amp;L'!BT7</f>
        <v>6734385.3654000033</v>
      </c>
      <c r="X3" s="110">
        <f>'P&amp;L'!BU7</f>
        <v>7252237.2692000046</v>
      </c>
      <c r="Y3" s="110">
        <f>'P&amp;L'!BV7</f>
        <v>10910756.703000005</v>
      </c>
      <c r="Z3" s="110">
        <f>'P&amp;L'!BW7</f>
        <v>10562500.286800006</v>
      </c>
      <c r="AA3" s="110">
        <f>'P&amp;L'!CA7</f>
        <v>62595933.74650003</v>
      </c>
      <c r="AB3" s="110">
        <f>'P&amp;L'!CB7</f>
        <v>13017404.752660006</v>
      </c>
      <c r="AC3" s="110">
        <f>'P&amp;L'!CC7</f>
        <v>13822147.024840007</v>
      </c>
      <c r="AD3" s="110">
        <f>'P&amp;L'!CD7</f>
        <v>17148356.460620008</v>
      </c>
      <c r="AE3" s="121">
        <f>'P&amp;L'!CE7</f>
        <v>18608025.508380011</v>
      </c>
    </row>
    <row r="4" spans="1:31" x14ac:dyDescent="0.25">
      <c r="A4" s="115" t="s">
        <v>463</v>
      </c>
      <c r="B4" s="111">
        <f>'P&amp;L'!AR8</f>
        <v>0</v>
      </c>
      <c r="C4" s="110">
        <f>'P&amp;L'!AS8</f>
        <v>0</v>
      </c>
      <c r="D4" s="110">
        <f>'P&amp;L'!AT8</f>
        <v>0</v>
      </c>
      <c r="E4" s="110">
        <f>'P&amp;L'!AU8</f>
        <v>0</v>
      </c>
      <c r="F4" s="110">
        <f>'P&amp;L'!AV8</f>
        <v>0</v>
      </c>
      <c r="G4" s="111">
        <f>'P&amp;L'!AX8</f>
        <v>1610100.0000000005</v>
      </c>
      <c r="H4" s="110">
        <f>'P&amp;L'!AY8</f>
        <v>0</v>
      </c>
      <c r="I4" s="110">
        <f>'P&amp;L'!AZ8</f>
        <v>0</v>
      </c>
      <c r="J4" s="110">
        <f>'P&amp;L'!BA8</f>
        <v>766300.00000000023</v>
      </c>
      <c r="K4" s="110">
        <f>'P&amp;L'!BB8</f>
        <v>843800.00000000023</v>
      </c>
      <c r="L4" s="110">
        <f>'P&amp;L'!BD8</f>
        <v>7945080.0000000019</v>
      </c>
      <c r="M4" s="110">
        <f>'P&amp;L'!BE8</f>
        <v>972510.00000000035</v>
      </c>
      <c r="N4" s="110">
        <f>'P&amp;L'!BF8</f>
        <v>1057980.0000000005</v>
      </c>
      <c r="O4" s="110">
        <f>'P&amp;L'!BG8</f>
        <v>2829190.0000000009</v>
      </c>
      <c r="P4" s="110">
        <f>'P&amp;L'!BH8</f>
        <v>3085400.0000000009</v>
      </c>
      <c r="Q4" s="110">
        <f>'P&amp;L'!BK8</f>
        <v>21102408.954000007</v>
      </c>
      <c r="R4" s="110">
        <f>'P&amp;L'!BL8</f>
        <v>3585351.0000000014</v>
      </c>
      <c r="S4" s="110">
        <f>'P&amp;L'!BM8</f>
        <v>3867402.0000000014</v>
      </c>
      <c r="T4" s="110">
        <f>'P&amp;L'!BN8</f>
        <v>6589382.9980000015</v>
      </c>
      <c r="U4" s="110">
        <f>'P&amp;L'!BO8</f>
        <v>7060272.9560000021</v>
      </c>
      <c r="V4" s="110">
        <f>'P&amp;L'!BS8</f>
        <v>42619541.584400021</v>
      </c>
      <c r="W4" s="110">
        <f>'P&amp;L'!BT8</f>
        <v>8133985.1054000035</v>
      </c>
      <c r="X4" s="110">
        <f>'P&amp;L'!BU8</f>
        <v>8651837.0092000049</v>
      </c>
      <c r="Y4" s="110">
        <f>'P&amp;L'!BV8</f>
        <v>13091010.443000007</v>
      </c>
      <c r="Z4" s="110">
        <f>'P&amp;L'!BW8</f>
        <v>12742709.026800007</v>
      </c>
      <c r="AA4" s="110">
        <f>'P&amp;L'!CA8</f>
        <v>72431494.00850004</v>
      </c>
      <c r="AB4" s="110">
        <f>'P&amp;L'!CB8</f>
        <v>15192383.866660006</v>
      </c>
      <c r="AC4" s="110">
        <f>'P&amp;L'!CC8</f>
        <v>15997126.138840009</v>
      </c>
      <c r="AD4" s="110">
        <f>'P&amp;L'!CD8</f>
        <v>19891227.232620008</v>
      </c>
      <c r="AE4" s="121">
        <f>'P&amp;L'!CE8</f>
        <v>21350756.770380013</v>
      </c>
    </row>
    <row r="5" spans="1:31" x14ac:dyDescent="0.25">
      <c r="A5" s="115" t="s">
        <v>185</v>
      </c>
      <c r="B5" s="111">
        <f>'P&amp;L'!AR15</f>
        <v>26098.750000000007</v>
      </c>
      <c r="C5" s="110">
        <f>'P&amp;L'!AS15</f>
        <v>3765</v>
      </c>
      <c r="D5" s="110">
        <f>'P&amp;L'!AT15</f>
        <v>7611.2500000000009</v>
      </c>
      <c r="E5" s="110">
        <f>'P&amp;L'!AU15</f>
        <v>7111.2500000000009</v>
      </c>
      <c r="F5" s="110">
        <f>'P&amp;L'!AV15</f>
        <v>7611.2500000000009</v>
      </c>
      <c r="G5" s="111">
        <f>'P&amp;L'!AX15</f>
        <v>1840601.2499931371</v>
      </c>
      <c r="H5" s="110">
        <f>'P&amp;L'!AY15</f>
        <v>43365</v>
      </c>
      <c r="I5" s="110">
        <f>'P&amp;L'!AZ15</f>
        <v>99622.042920105712</v>
      </c>
      <c r="J5" s="110">
        <f>'P&amp;L'!BA15</f>
        <v>892929.31950447313</v>
      </c>
      <c r="K5" s="110">
        <f>'P&amp;L'!BB15</f>
        <v>804684.8875685581</v>
      </c>
      <c r="L5" s="110">
        <f>'P&amp;L'!BD15</f>
        <v>4435495.0919430675</v>
      </c>
      <c r="M5" s="110">
        <f>'P&amp;L'!BE15</f>
        <v>843889.94961739797</v>
      </c>
      <c r="N5" s="110">
        <f>'P&amp;L'!BF15</f>
        <v>673082.39955198788</v>
      </c>
      <c r="O5" s="110">
        <f>'P&amp;L'!BG15</f>
        <v>1463103.6216586193</v>
      </c>
      <c r="P5" s="110">
        <f>'P&amp;L'!BH15</f>
        <v>1455419.5018205487</v>
      </c>
      <c r="Q5" s="110">
        <f>'P&amp;L'!BK15</f>
        <v>9437615.0799605269</v>
      </c>
      <c r="R5" s="110">
        <f>'P&amp;L'!BL15</f>
        <v>1637769.9675743047</v>
      </c>
      <c r="S5" s="110">
        <f>'P&amp;L'!BM15</f>
        <v>1719990.5407661223</v>
      </c>
      <c r="T5" s="110">
        <f>'P&amp;L'!BN15</f>
        <v>2974081.7737213578</v>
      </c>
      <c r="U5" s="110">
        <f>'P&amp;L'!BO15</f>
        <v>3105774.2102795565</v>
      </c>
      <c r="V5" s="110">
        <f>'P&amp;L'!BS15</f>
        <v>17801515.480009299</v>
      </c>
      <c r="W5" s="110">
        <f>'P&amp;L'!BT15</f>
        <v>3440585.0308567598</v>
      </c>
      <c r="X5" s="110">
        <f>'P&amp;L'!BU15</f>
        <v>3583762.1227189368</v>
      </c>
      <c r="Y5" s="110">
        <f>'P&amp;L'!BV15</f>
        <v>5482700.7024963601</v>
      </c>
      <c r="Z5" s="110">
        <f>'P&amp;L'!BW15</f>
        <v>5294468.9684421327</v>
      </c>
      <c r="AA5" s="110">
        <f>'P&amp;L'!CA15</f>
        <v>28503160.244798198</v>
      </c>
      <c r="AB5" s="110">
        <f>'P&amp;L'!CB15</f>
        <v>6051289.6529791998</v>
      </c>
      <c r="AC5" s="110">
        <f>'P&amp;L'!CC15</f>
        <v>6248377.5838535344</v>
      </c>
      <c r="AD5" s="110">
        <f>'P&amp;L'!CD15</f>
        <v>7874181.5255125593</v>
      </c>
      <c r="AE5" s="121">
        <f>'P&amp;L'!CE15</f>
        <v>8329312.7819272419</v>
      </c>
    </row>
    <row r="6" spans="1:31" x14ac:dyDescent="0.25">
      <c r="A6" s="113" t="s">
        <v>195</v>
      </c>
      <c r="B6" s="112">
        <f>'P&amp;L'!AR31</f>
        <v>-2526690.5227272729</v>
      </c>
      <c r="C6" s="119">
        <f>'P&amp;L'!AS31</f>
        <v>-656808.25</v>
      </c>
      <c r="D6" s="119">
        <f>'P&amp;L'!AT31</f>
        <v>-573601.75757575757</v>
      </c>
      <c r="E6" s="119">
        <f>'P&amp;L'!AU31</f>
        <v>-687486.50757575757</v>
      </c>
      <c r="F6" s="119">
        <f>'P&amp;L'!AV31</f>
        <v>-608794.00757575757</v>
      </c>
      <c r="G6" s="112">
        <f>'P&amp;L'!AX31</f>
        <v>-2805637.2802961669</v>
      </c>
      <c r="H6" s="119">
        <f>'P&amp;L'!AY31</f>
        <v>-642315.25757575757</v>
      </c>
      <c r="I6" s="119">
        <f>'P&amp;L'!AZ31</f>
        <v>-765790.63382919668</v>
      </c>
      <c r="J6" s="119">
        <f>'P&amp;L'!BA31</f>
        <v>-786487.91041356383</v>
      </c>
      <c r="K6" s="119">
        <f>'P&amp;L'!BB31</f>
        <v>-611043.47847764881</v>
      </c>
      <c r="L6" s="119">
        <f>'P&amp;L'!BD31</f>
        <v>297230.5444205706</v>
      </c>
      <c r="M6" s="119">
        <f>'P&amp;L'!BE31</f>
        <v>-642321.04052648856</v>
      </c>
      <c r="N6" s="119">
        <f>'P&amp;L'!BF31</f>
        <v>-362793.49046107836</v>
      </c>
      <c r="O6" s="119">
        <f>'P&amp;L'!BG31</f>
        <v>522225.28743229073</v>
      </c>
      <c r="P6" s="119">
        <f>'P&amp;L'!BH31</f>
        <v>780119.40727036132</v>
      </c>
      <c r="Q6" s="119">
        <f>'P&amp;L'!BK31</f>
        <v>4124256.8031962514</v>
      </c>
      <c r="R6" s="119">
        <f>'P&amp;L'!BL31</f>
        <v>131570.21969842399</v>
      </c>
      <c r="S6" s="119">
        <f>'P&amp;L'!BM31</f>
        <v>297528.88025206095</v>
      </c>
      <c r="T6" s="119">
        <f>'P&amp;L'!BN31</f>
        <v>1725466.023717189</v>
      </c>
      <c r="U6" s="119">
        <f>'P&amp;L'!BO31</f>
        <v>1969690.2671477618</v>
      </c>
      <c r="V6" s="119">
        <f>'P&amp;L'!BS31</f>
        <v>11867843.001565725</v>
      </c>
      <c r="W6" s="119">
        <f>'P&amp;L'!BT31</f>
        <v>1564931.427599106</v>
      </c>
      <c r="X6" s="119">
        <f>'P&amp;L'!BU31</f>
        <v>1857275.9830380483</v>
      </c>
      <c r="Y6" s="119">
        <f>'P&amp;L'!BV31</f>
        <v>4337234.4132397668</v>
      </c>
      <c r="Z6" s="119">
        <f>'P&amp;L'!BW31</f>
        <v>4108399.8331839163</v>
      </c>
      <c r="AA6" s="119">
        <f>'P&amp;L'!CA31</f>
        <v>26345518.847964384</v>
      </c>
      <c r="AB6" s="119">
        <f>'P&amp;L'!CB31</f>
        <v>4830122.7050942499</v>
      </c>
      <c r="AC6" s="119">
        <f>'P&amp;L'!CC31</f>
        <v>5366671.5394410491</v>
      </c>
      <c r="AD6" s="119">
        <f>'P&amp;L'!CD31</f>
        <v>7593739.0217639226</v>
      </c>
      <c r="AE6" s="122">
        <f>'P&amp;L'!CE31</f>
        <v>8554984.2821908202</v>
      </c>
    </row>
    <row r="7" spans="1:31" x14ac:dyDescent="0.25">
      <c r="A7" s="107"/>
      <c r="C7" s="110"/>
      <c r="D7" s="110"/>
      <c r="E7" s="110"/>
      <c r="F7" s="110"/>
      <c r="G7" s="111"/>
      <c r="H7" s="110"/>
      <c r="N7" s="110"/>
      <c r="O7" s="110"/>
      <c r="P7" s="110"/>
      <c r="Q7" s="110"/>
      <c r="R7" s="110"/>
      <c r="S7" s="110"/>
      <c r="T7" s="110"/>
      <c r="U7" s="110"/>
      <c r="V7" s="110"/>
      <c r="W7" s="110"/>
      <c r="X7" s="110"/>
      <c r="Y7" s="110"/>
      <c r="Z7" s="110"/>
      <c r="AA7" s="110"/>
      <c r="AB7" s="110"/>
      <c r="AC7" s="110"/>
      <c r="AD7" s="110"/>
      <c r="AE7" s="110"/>
    </row>
    <row r="8" spans="1:31" ht="16.5" thickBot="1" x14ac:dyDescent="0.3">
      <c r="A8" s="107"/>
      <c r="C8" s="107"/>
      <c r="D8" s="107"/>
      <c r="E8" s="107"/>
      <c r="F8" s="107"/>
      <c r="G8" s="111"/>
      <c r="H8" s="107"/>
      <c r="I8" s="107"/>
      <c r="J8" s="107"/>
      <c r="K8" s="107"/>
      <c r="L8" s="107"/>
      <c r="M8" s="107"/>
    </row>
    <row r="9" spans="1:31" x14ac:dyDescent="0.25">
      <c r="A9" s="145"/>
      <c r="B9" s="117" t="s">
        <v>461</v>
      </c>
      <c r="C9" s="117" t="s">
        <v>462</v>
      </c>
      <c r="D9" s="130" t="s">
        <v>181</v>
      </c>
      <c r="E9" s="131" t="s">
        <v>185</v>
      </c>
      <c r="F9" s="132" t="s">
        <v>195</v>
      </c>
      <c r="H9" s="107"/>
      <c r="I9" s="107"/>
      <c r="J9" s="107"/>
      <c r="K9" s="107"/>
      <c r="L9" s="107"/>
      <c r="M9" s="107"/>
    </row>
    <row r="10" spans="1:31" x14ac:dyDescent="0.25">
      <c r="A10" s="146" t="s">
        <v>419</v>
      </c>
      <c r="B10" s="110">
        <f>B2</f>
        <v>0</v>
      </c>
      <c r="C10" s="110">
        <f>B3</f>
        <v>0</v>
      </c>
      <c r="D10" s="133">
        <f>B4</f>
        <v>0</v>
      </c>
      <c r="E10" s="129">
        <f>B5</f>
        <v>26098.750000000007</v>
      </c>
      <c r="F10" s="134">
        <f>B6</f>
        <v>-2526690.5227272729</v>
      </c>
      <c r="H10" s="107"/>
      <c r="I10" s="107"/>
      <c r="J10" s="107"/>
      <c r="K10" s="107"/>
      <c r="L10" s="107"/>
      <c r="M10" s="107"/>
    </row>
    <row r="11" spans="1:31" s="108" customFormat="1" x14ac:dyDescent="0.25">
      <c r="A11" s="146" t="s">
        <v>420</v>
      </c>
      <c r="B11" s="110">
        <f>G2</f>
        <v>495000.00000000012</v>
      </c>
      <c r="C11" s="110">
        <f>G3</f>
        <v>1115100.0000000002</v>
      </c>
      <c r="D11" s="133">
        <f>G4</f>
        <v>1610100.0000000005</v>
      </c>
      <c r="E11" s="116">
        <f>G5</f>
        <v>1840601.2499931371</v>
      </c>
      <c r="F11" s="134">
        <f>G6</f>
        <v>-2805637.2802961669</v>
      </c>
    </row>
    <row r="12" spans="1:31" x14ac:dyDescent="0.25">
      <c r="A12" s="146" t="s">
        <v>421</v>
      </c>
      <c r="B12" s="110">
        <f>L2</f>
        <v>2013000.0000000007</v>
      </c>
      <c r="C12" s="110">
        <f>L3</f>
        <v>5932080.0000000009</v>
      </c>
      <c r="D12" s="133">
        <f>L4</f>
        <v>7945080.0000000019</v>
      </c>
      <c r="E12" s="116">
        <f>L5</f>
        <v>4435495.0919430675</v>
      </c>
      <c r="F12" s="134">
        <f>L6</f>
        <v>297230.5444205706</v>
      </c>
      <c r="H12" s="107"/>
      <c r="I12" s="107"/>
      <c r="J12" s="107"/>
      <c r="K12" s="107"/>
      <c r="L12" s="107"/>
      <c r="M12" s="107"/>
    </row>
    <row r="13" spans="1:31" x14ac:dyDescent="0.25">
      <c r="A13" s="146" t="s">
        <v>422</v>
      </c>
      <c r="B13" s="110">
        <f>Q2</f>
        <v>4342242.3000000017</v>
      </c>
      <c r="C13" s="110">
        <f>Q3</f>
        <v>16760166.654000005</v>
      </c>
      <c r="D13" s="133">
        <f>Q4</f>
        <v>21102408.954000007</v>
      </c>
      <c r="E13" s="116">
        <f>Q5</f>
        <v>9437615.0799605269</v>
      </c>
      <c r="F13" s="134">
        <f>Q6</f>
        <v>4124256.8031962514</v>
      </c>
      <c r="H13" s="107"/>
      <c r="I13" s="107"/>
      <c r="J13" s="107"/>
      <c r="K13" s="107"/>
      <c r="L13" s="107"/>
      <c r="M13" s="107"/>
    </row>
    <row r="14" spans="1:31" x14ac:dyDescent="0.25">
      <c r="A14" s="146" t="s">
        <v>423</v>
      </c>
      <c r="B14" s="110">
        <f>V2</f>
        <v>7159661.9600000037</v>
      </c>
      <c r="C14" s="110">
        <f>V3</f>
        <v>35459879.62440002</v>
      </c>
      <c r="D14" s="133">
        <f>V4</f>
        <v>42619541.584400021</v>
      </c>
      <c r="E14" s="116">
        <f>V5</f>
        <v>17801515.480009299</v>
      </c>
      <c r="F14" s="134">
        <f>V6</f>
        <v>11867843.001565725</v>
      </c>
      <c r="H14" s="107"/>
      <c r="I14" s="107"/>
      <c r="J14" s="107"/>
      <c r="K14" s="107"/>
      <c r="L14" s="107"/>
      <c r="M14" s="107"/>
    </row>
    <row r="15" spans="1:31" ht="16.5" thickBot="1" x14ac:dyDescent="0.3">
      <c r="A15" s="146" t="s">
        <v>424</v>
      </c>
      <c r="B15" s="119">
        <f>AA2</f>
        <v>9835560.2620000057</v>
      </c>
      <c r="C15" s="119">
        <f>AA3</f>
        <v>62595933.74650003</v>
      </c>
      <c r="D15" s="135">
        <f>AA4</f>
        <v>72431494.00850004</v>
      </c>
      <c r="E15" s="120">
        <f>AA5</f>
        <v>28503160.244798198</v>
      </c>
      <c r="F15" s="136">
        <f>AA6</f>
        <v>26345518.847964384</v>
      </c>
      <c r="H15" s="107"/>
      <c r="I15" s="107"/>
      <c r="J15" s="107"/>
      <c r="K15" s="107"/>
      <c r="L15" s="107"/>
      <c r="M15" s="107"/>
    </row>
    <row r="16" spans="1:31" s="108" customFormat="1" x14ac:dyDescent="0.25">
      <c r="A16" s="147"/>
      <c r="B16" s="117" t="s">
        <v>461</v>
      </c>
      <c r="C16" s="117" t="s">
        <v>462</v>
      </c>
      <c r="D16" s="137" t="s">
        <v>181</v>
      </c>
      <c r="E16" s="118" t="s">
        <v>185</v>
      </c>
      <c r="F16" s="132" t="s">
        <v>195</v>
      </c>
    </row>
    <row r="17" spans="1:13" x14ac:dyDescent="0.25">
      <c r="A17" s="148" t="s">
        <v>435</v>
      </c>
      <c r="B17" s="101">
        <f>C2</f>
        <v>0</v>
      </c>
      <c r="C17" s="101">
        <f>C3</f>
        <v>0</v>
      </c>
      <c r="D17" s="138">
        <f>C4</f>
        <v>0</v>
      </c>
      <c r="E17" s="124">
        <f>C5</f>
        <v>3765</v>
      </c>
      <c r="F17" s="139">
        <f>C6</f>
        <v>-656808.25</v>
      </c>
      <c r="H17" s="107"/>
      <c r="I17" s="107"/>
      <c r="J17" s="107"/>
      <c r="K17" s="107"/>
      <c r="L17" s="107"/>
      <c r="M17" s="107"/>
    </row>
    <row r="18" spans="1:13" x14ac:dyDescent="0.25">
      <c r="A18" s="149" t="s">
        <v>436</v>
      </c>
      <c r="B18" s="111">
        <f>D2</f>
        <v>0</v>
      </c>
      <c r="C18" s="111">
        <f>D3</f>
        <v>0</v>
      </c>
      <c r="D18" s="140">
        <f>D4</f>
        <v>0</v>
      </c>
      <c r="E18" s="114">
        <f>D5</f>
        <v>7611.2500000000009</v>
      </c>
      <c r="F18" s="141">
        <f>D6</f>
        <v>-573601.75757575757</v>
      </c>
      <c r="H18" s="107"/>
      <c r="I18" s="107"/>
      <c r="J18" s="107"/>
      <c r="K18" s="107"/>
      <c r="L18" s="107"/>
      <c r="M18" s="107"/>
    </row>
    <row r="19" spans="1:13" x14ac:dyDescent="0.25">
      <c r="A19" s="149" t="s">
        <v>437</v>
      </c>
      <c r="B19" s="111">
        <f>E2</f>
        <v>0</v>
      </c>
      <c r="C19" s="111">
        <f>E3</f>
        <v>0</v>
      </c>
      <c r="D19" s="140">
        <f>E4</f>
        <v>0</v>
      </c>
      <c r="E19" s="114">
        <f>E5</f>
        <v>7111.2500000000009</v>
      </c>
      <c r="F19" s="141">
        <f>E6</f>
        <v>-687486.50757575757</v>
      </c>
      <c r="H19" s="107"/>
      <c r="I19" s="107"/>
      <c r="J19" s="107"/>
      <c r="K19" s="107"/>
      <c r="L19" s="107"/>
      <c r="M19" s="107"/>
    </row>
    <row r="20" spans="1:13" x14ac:dyDescent="0.25">
      <c r="A20" s="149" t="s">
        <v>438</v>
      </c>
      <c r="B20" s="111">
        <f>F2</f>
        <v>0</v>
      </c>
      <c r="C20" s="111">
        <f>F3</f>
        <v>0</v>
      </c>
      <c r="D20" s="140">
        <f>F4</f>
        <v>0</v>
      </c>
      <c r="E20" s="114">
        <f>F5</f>
        <v>7611.2500000000009</v>
      </c>
      <c r="F20" s="141">
        <f>F6</f>
        <v>-608794.00757575757</v>
      </c>
    </row>
    <row r="21" spans="1:13" s="108" customFormat="1" x14ac:dyDescent="0.25">
      <c r="A21" s="149" t="s">
        <v>439</v>
      </c>
      <c r="B21" s="111">
        <f>H2</f>
        <v>0</v>
      </c>
      <c r="C21" s="111">
        <f>H3</f>
        <v>0</v>
      </c>
      <c r="D21" s="140">
        <f>H4</f>
        <v>0</v>
      </c>
      <c r="E21" s="114">
        <f>H5</f>
        <v>43365</v>
      </c>
      <c r="F21" s="141">
        <f>H6</f>
        <v>-642315.25757575757</v>
      </c>
      <c r="H21" s="123"/>
      <c r="I21" s="109"/>
      <c r="J21" s="109"/>
      <c r="K21" s="109"/>
      <c r="L21" s="109"/>
      <c r="M21" s="109"/>
    </row>
    <row r="22" spans="1:13" x14ac:dyDescent="0.25">
      <c r="A22" s="149" t="s">
        <v>441</v>
      </c>
      <c r="B22" s="111">
        <f>I2</f>
        <v>0</v>
      </c>
      <c r="C22" s="111">
        <f>I3</f>
        <v>0</v>
      </c>
      <c r="D22" s="140">
        <f>I4</f>
        <v>0</v>
      </c>
      <c r="E22" s="114">
        <f>I5</f>
        <v>99622.042920105712</v>
      </c>
      <c r="F22" s="141">
        <f>I6</f>
        <v>-765790.63382919668</v>
      </c>
    </row>
    <row r="23" spans="1:13" x14ac:dyDescent="0.25">
      <c r="A23" s="149" t="s">
        <v>442</v>
      </c>
      <c r="B23" s="111">
        <f>J2</f>
        <v>247600.00000000006</v>
      </c>
      <c r="C23" s="111">
        <f>J3</f>
        <v>518700.00000000012</v>
      </c>
      <c r="D23" s="140">
        <f>J4</f>
        <v>766300.00000000023</v>
      </c>
      <c r="E23" s="114">
        <f>J5</f>
        <v>892929.31950447313</v>
      </c>
      <c r="F23" s="141">
        <f>J6</f>
        <v>-786487.91041356383</v>
      </c>
    </row>
    <row r="24" spans="1:13" x14ac:dyDescent="0.25">
      <c r="A24" s="149" t="s">
        <v>443</v>
      </c>
      <c r="B24" s="111">
        <f>K2</f>
        <v>247400.00000000006</v>
      </c>
      <c r="C24" s="111">
        <f>K3</f>
        <v>596400.00000000023</v>
      </c>
      <c r="D24" s="140">
        <f>K4</f>
        <v>843800.00000000023</v>
      </c>
      <c r="E24" s="114">
        <f>K5</f>
        <v>804684.8875685581</v>
      </c>
      <c r="F24" s="141">
        <f>K6</f>
        <v>-611043.47847764881</v>
      </c>
    </row>
    <row r="25" spans="1:13" x14ac:dyDescent="0.25">
      <c r="A25" s="149" t="s">
        <v>445</v>
      </c>
      <c r="B25" s="111">
        <f>M2</f>
        <v>231000.00000000009</v>
      </c>
      <c r="C25" s="111">
        <f>M3</f>
        <v>741510.00000000023</v>
      </c>
      <c r="D25" s="140">
        <f>M4</f>
        <v>972510.00000000035</v>
      </c>
      <c r="E25" s="114">
        <f>M5</f>
        <v>843889.94961739797</v>
      </c>
      <c r="F25" s="141">
        <f>M6</f>
        <v>-642321.04052648856</v>
      </c>
    </row>
    <row r="26" spans="1:13" s="108" customFormat="1" x14ac:dyDescent="0.25">
      <c r="A26" s="149" t="s">
        <v>446</v>
      </c>
      <c r="B26" s="111">
        <f>N2</f>
        <v>231000.00000000009</v>
      </c>
      <c r="C26" s="111">
        <f>N3</f>
        <v>826980.00000000035</v>
      </c>
      <c r="D26" s="140">
        <f>N4</f>
        <v>1057980.0000000005</v>
      </c>
      <c r="E26" s="114">
        <f>N5</f>
        <v>673082.39955198788</v>
      </c>
      <c r="F26" s="141">
        <f>N6</f>
        <v>-362793.49046107836</v>
      </c>
      <c r="H26" s="123"/>
      <c r="I26" s="109"/>
      <c r="J26" s="109"/>
      <c r="K26" s="109"/>
      <c r="L26" s="109"/>
      <c r="M26" s="109"/>
    </row>
    <row r="27" spans="1:13" x14ac:dyDescent="0.25">
      <c r="A27" s="149" t="s">
        <v>447</v>
      </c>
      <c r="B27" s="111">
        <f>O2</f>
        <v>775600.00000000023</v>
      </c>
      <c r="C27" s="111">
        <f>O3</f>
        <v>2053590.0000000007</v>
      </c>
      <c r="D27" s="140">
        <f>O4</f>
        <v>2829190.0000000009</v>
      </c>
      <c r="E27" s="114">
        <f>O5</f>
        <v>1463103.6216586193</v>
      </c>
      <c r="F27" s="141">
        <f>O6</f>
        <v>522225.28743229073</v>
      </c>
    </row>
    <row r="28" spans="1:13" ht="16.5" thickBot="1" x14ac:dyDescent="0.3">
      <c r="A28" s="150" t="s">
        <v>448</v>
      </c>
      <c r="B28" s="112">
        <f>P2</f>
        <v>775400.00000000023</v>
      </c>
      <c r="C28" s="112">
        <f>P3</f>
        <v>2310000.0000000009</v>
      </c>
      <c r="D28" s="142">
        <f>P4</f>
        <v>3085400.0000000009</v>
      </c>
      <c r="E28" s="143">
        <f>P5</f>
        <v>1455419.5018205487</v>
      </c>
      <c r="F28" s="144">
        <f>P6</f>
        <v>780119.40727036132</v>
      </c>
    </row>
    <row r="29" spans="1:13" x14ac:dyDescent="0.25">
      <c r="B29" s="107"/>
      <c r="C29" s="107"/>
      <c r="D29" s="107"/>
      <c r="E29" s="107"/>
    </row>
    <row r="30" spans="1:13" x14ac:dyDescent="0.25">
      <c r="B30" s="107"/>
      <c r="C30" s="107"/>
      <c r="D30" s="107"/>
      <c r="E30" s="107"/>
    </row>
  </sheetData>
  <phoneticPr fontId="0" type="noConversion"/>
  <printOptions horizontalCentered="1"/>
  <pageMargins left="0.25" right="0.25" top="0.5" bottom="0.5" header="0.25" footer="0"/>
  <pageSetup scale="79" orientation="landscape" verticalDpi="0" r:id="rId1"/>
  <headerFooter alignWithMargins="0">
    <oddHeader>&amp;L&amp;9&amp;F&amp;C&amp;9&amp;A&amp;R&amp;9&amp;D  &amp;T</oddHeader>
    <oddFooter>&amp;C&amp;P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363"/>
  <sheetViews>
    <sheetView workbookViewId="0">
      <pane xSplit="2" ySplit="4" topLeftCell="C62" activePane="bottomRight" state="frozen"/>
      <selection activeCell="A5" sqref="A5:XFD363"/>
      <selection pane="topRight" activeCell="A5" sqref="A5:XFD363"/>
      <selection pane="bottomLeft" activeCell="A5" sqref="A5:XFD363"/>
      <selection pane="bottomRight" activeCell="E70" sqref="E70"/>
    </sheetView>
  </sheetViews>
  <sheetFormatPr defaultColWidth="10.25" defaultRowHeight="15.75" outlineLevelCol="1" x14ac:dyDescent="0.25"/>
  <cols>
    <col min="1" max="1" width="3.375" style="7" customWidth="1"/>
    <col min="2" max="2" width="20.625" style="7" customWidth="1"/>
    <col min="3" max="3" width="10.25" style="7"/>
    <col min="4" max="4" width="9.75" style="7" customWidth="1"/>
    <col min="5" max="16" width="10.25" style="7" outlineLevel="1"/>
    <col min="17" max="17" width="2" style="7" customWidth="1"/>
    <col min="18" max="29" width="10.25" style="7" customWidth="1" outlineLevel="1"/>
    <col min="30" max="30" width="1.625" style="7" customWidth="1"/>
    <col min="31" max="42" width="10.25" style="7" customWidth="1" outlineLevel="1"/>
    <col min="43" max="43" width="1.625" style="7" customWidth="1"/>
    <col min="44" max="48" width="10.25" style="7" outlineLevel="1"/>
    <col min="49" max="49" width="1.625" style="7" customWidth="1"/>
    <col min="50" max="54" width="10.25" style="7" customWidth="1" outlineLevel="1"/>
    <col min="55" max="55" width="1.625" style="7" customWidth="1"/>
    <col min="56" max="60" width="10.25" style="7" customWidth="1" outlineLevel="1"/>
    <col min="61" max="16384" width="10.25" style="7"/>
  </cols>
  <sheetData>
    <row r="1" spans="1:60" customFormat="1" x14ac:dyDescent="0.25">
      <c r="B1" s="4" t="s">
        <v>36</v>
      </c>
    </row>
    <row r="2" spans="1:60" customFormat="1" x14ac:dyDescent="0.25">
      <c r="B2" s="4" t="s">
        <v>209</v>
      </c>
    </row>
    <row r="3" spans="1:60"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32" t="s">
        <v>12</v>
      </c>
      <c r="AS3" s="432"/>
      <c r="AT3" s="432"/>
      <c r="AU3" s="432"/>
      <c r="AV3" s="432"/>
      <c r="AX3" s="433" t="s">
        <v>13</v>
      </c>
      <c r="AY3" s="433"/>
      <c r="AZ3" s="433"/>
      <c r="BA3" s="433"/>
      <c r="BB3" s="433"/>
      <c r="BD3" s="431" t="s">
        <v>166</v>
      </c>
      <c r="BE3" s="431"/>
      <c r="BF3" s="431"/>
      <c r="BG3" s="431"/>
      <c r="BH3" s="431"/>
    </row>
    <row r="4" spans="1:60" customFormat="1" ht="16.5" thickBot="1" x14ac:dyDescent="0.3">
      <c r="A4" s="1"/>
      <c r="B4" s="3"/>
      <c r="C4" s="6"/>
      <c r="D4" s="6"/>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c r="AR4" s="10" t="s">
        <v>167</v>
      </c>
      <c r="AS4" s="10" t="s">
        <v>168</v>
      </c>
      <c r="AT4" s="10" t="s">
        <v>169</v>
      </c>
      <c r="AU4" s="10" t="s">
        <v>170</v>
      </c>
      <c r="AV4" s="10" t="s">
        <v>171</v>
      </c>
      <c r="AX4" s="10" t="s">
        <v>167</v>
      </c>
      <c r="AY4" s="10" t="s">
        <v>168</v>
      </c>
      <c r="AZ4" s="10" t="s">
        <v>169</v>
      </c>
      <c r="BA4" s="10" t="s">
        <v>170</v>
      </c>
      <c r="BB4" s="10" t="s">
        <v>171</v>
      </c>
      <c r="BD4" s="10" t="s">
        <v>167</v>
      </c>
      <c r="BE4" s="10" t="s">
        <v>168</v>
      </c>
      <c r="BF4" s="10" t="s">
        <v>169</v>
      </c>
      <c r="BG4" s="10" t="s">
        <v>170</v>
      </c>
      <c r="BH4" s="10" t="s">
        <v>171</v>
      </c>
    </row>
    <row r="5" spans="1:60" s="16" customFormat="1" x14ac:dyDescent="0.25">
      <c r="B5" s="16" t="s">
        <v>14</v>
      </c>
      <c r="E5" s="37">
        <f>+'G&amp;A'!E5+'S&amp;M'!E5+Develop!E5+Factory!E5</f>
        <v>0</v>
      </c>
      <c r="F5" s="37">
        <f>+'G&amp;A'!F5+'S&amp;M'!F5+Develop!F5+Factory!F5</f>
        <v>0</v>
      </c>
      <c r="G5" s="37">
        <f>+'G&amp;A'!G5+'S&amp;M'!G5+Develop!G5+Factory!G5</f>
        <v>0</v>
      </c>
      <c r="H5" s="37">
        <f>+'G&amp;A'!H5+'S&amp;M'!H5+Develop!H5+Factory!H5</f>
        <v>0</v>
      </c>
      <c r="I5" s="37">
        <f>+'G&amp;A'!I5+'S&amp;M'!I5+Develop!I5+Factory!I5</f>
        <v>0</v>
      </c>
      <c r="J5" s="37">
        <f>+'G&amp;A'!J5+'S&amp;M'!J5+Develop!J5+Factory!J5</f>
        <v>0</v>
      </c>
      <c r="K5" s="37">
        <f>+'G&amp;A'!K5+'S&amp;M'!K5+Develop!K5+Factory!K5</f>
        <v>0</v>
      </c>
      <c r="L5" s="37">
        <f>+'G&amp;A'!L5+'S&amp;M'!L5+Develop!L5+Factory!L5</f>
        <v>0</v>
      </c>
      <c r="M5" s="37">
        <f>+'G&amp;A'!M5+'S&amp;M'!M5+Develop!M5+Factory!M5</f>
        <v>0</v>
      </c>
      <c r="N5" s="37">
        <f>+'G&amp;A'!N5+'S&amp;M'!N5+Develop!N5+Factory!N5</f>
        <v>0</v>
      </c>
      <c r="O5" s="37">
        <f>+'G&amp;A'!O5+'S&amp;M'!O5+Develop!O5+Factory!O5</f>
        <v>0</v>
      </c>
      <c r="P5" s="37">
        <f>+'G&amp;A'!P5+'S&amp;M'!P5+Develop!P5+Factory!P5</f>
        <v>0</v>
      </c>
      <c r="Q5" s="37"/>
      <c r="R5" s="37">
        <f>+'G&amp;A'!R5+'S&amp;M'!R5+Develop!R5+Factory!R5</f>
        <v>0</v>
      </c>
      <c r="S5" s="37">
        <f>+'G&amp;A'!S5+'S&amp;M'!S5+Develop!S5+Factory!S5</f>
        <v>0</v>
      </c>
      <c r="T5" s="37">
        <f>+'G&amp;A'!T5+'S&amp;M'!T5+Develop!T5+Factory!T5</f>
        <v>0</v>
      </c>
      <c r="U5" s="37">
        <f>+'G&amp;A'!U5+'S&amp;M'!U5+Develop!U5+Factory!U5</f>
        <v>0</v>
      </c>
      <c r="V5" s="37">
        <f>+'G&amp;A'!V5+'S&amp;M'!V5+Develop!V5+Factory!V5</f>
        <v>0</v>
      </c>
      <c r="W5" s="37">
        <f>+'G&amp;A'!W5+'S&amp;M'!W5+Develop!W5+Factory!W5</f>
        <v>0</v>
      </c>
      <c r="X5" s="37">
        <f>+'G&amp;A'!X5+'S&amp;M'!X5+Develop!X5+Factory!X5</f>
        <v>0</v>
      </c>
      <c r="Y5" s="37">
        <f>+'G&amp;A'!Y5+'S&amp;M'!Y5+Develop!Y5+Factory!Y5</f>
        <v>0</v>
      </c>
      <c r="Z5" s="37">
        <f>+'G&amp;A'!Z5+'S&amp;M'!Z5+Develop!Z5+Factory!Z5</f>
        <v>0</v>
      </c>
      <c r="AA5" s="37">
        <f>+'G&amp;A'!AA5+'S&amp;M'!AA5+Develop!AA5+Factory!AA5</f>
        <v>0</v>
      </c>
      <c r="AB5" s="37">
        <f>+'G&amp;A'!AB5+'S&amp;M'!AB5+Develop!AB5+Factory!AB5</f>
        <v>0</v>
      </c>
      <c r="AC5" s="37">
        <f>+'G&amp;A'!AC5+'S&amp;M'!AC5+Develop!AC5+Factory!AC5</f>
        <v>0</v>
      </c>
      <c r="AD5" s="37"/>
      <c r="AE5" s="37">
        <f>+'G&amp;A'!AE5+'S&amp;M'!AE5+Develop!AE5+Factory!AE5</f>
        <v>0</v>
      </c>
      <c r="AF5" s="37">
        <f>+'G&amp;A'!AF5+'S&amp;M'!AF5+Develop!AF5+Factory!AF5</f>
        <v>0</v>
      </c>
      <c r="AG5" s="37">
        <f>+'G&amp;A'!AG5+'S&amp;M'!AG5+Develop!AG5+Factory!AG5</f>
        <v>0</v>
      </c>
      <c r="AH5" s="37">
        <f>+'G&amp;A'!AH5+'S&amp;M'!AH5+Develop!AH5+Factory!AH5</f>
        <v>0</v>
      </c>
      <c r="AI5" s="37">
        <f>+'G&amp;A'!AI5+'S&amp;M'!AI5+Develop!AI5+Factory!AI5</f>
        <v>0</v>
      </c>
      <c r="AJ5" s="37">
        <f>+'G&amp;A'!AJ5+'S&amp;M'!AJ5+Develop!AJ5+Factory!AJ5</f>
        <v>0</v>
      </c>
      <c r="AK5" s="37">
        <f>+'G&amp;A'!AK5+'S&amp;M'!AK5+Develop!AK5+Factory!AK5</f>
        <v>0</v>
      </c>
      <c r="AL5" s="37">
        <f>+'G&amp;A'!AL5+'S&amp;M'!AL5+Develop!AL5+Factory!AL5</f>
        <v>0</v>
      </c>
      <c r="AM5" s="37">
        <f>+'G&amp;A'!AM5+'S&amp;M'!AM5+Develop!AM5+Factory!AM5</f>
        <v>0</v>
      </c>
      <c r="AN5" s="37">
        <f>+'G&amp;A'!AN5+'S&amp;M'!AN5+Develop!AN5+Factory!AN5</f>
        <v>0</v>
      </c>
      <c r="AO5" s="37">
        <f>+'G&amp;A'!AO5+'S&amp;M'!AO5+Develop!AO5+Factory!AO5</f>
        <v>0</v>
      </c>
      <c r="AP5" s="37">
        <f>+'G&amp;A'!AP5+'S&amp;M'!AP5+Develop!AP5+Factory!AP5</f>
        <v>0</v>
      </c>
      <c r="AQ5" s="37"/>
      <c r="AR5" s="37">
        <f t="shared" ref="AR5" si="0">SUM(E5:P5)</f>
        <v>0</v>
      </c>
      <c r="AS5" s="37">
        <f t="shared" ref="AS5" si="1">SUM(E5:G5)</f>
        <v>0</v>
      </c>
      <c r="AT5" s="37">
        <f t="shared" ref="AT5" si="2">SUM(H5:J5)</f>
        <v>0</v>
      </c>
      <c r="AU5" s="37">
        <f t="shared" ref="AU5" si="3">SUM(K5:M5)</f>
        <v>0</v>
      </c>
      <c r="AV5" s="37">
        <f t="shared" ref="AV5" si="4">SUM(N5:P5)</f>
        <v>0</v>
      </c>
      <c r="AW5" s="37"/>
      <c r="AX5" s="37">
        <f t="shared" ref="AX5" si="5">SUM(R5:AC5)</f>
        <v>0</v>
      </c>
      <c r="AY5" s="37">
        <f t="shared" ref="AY5" si="6">SUM(R5:T5)</f>
        <v>0</v>
      </c>
      <c r="AZ5" s="37">
        <f t="shared" ref="AZ5" si="7">SUM(U5:W5)</f>
        <v>0</v>
      </c>
      <c r="BA5" s="37">
        <f t="shared" ref="BA5" si="8">SUM(X5:Z5)</f>
        <v>0</v>
      </c>
      <c r="BB5" s="37">
        <f t="shared" ref="BB5" si="9">SUM(AA5:AC5)</f>
        <v>0</v>
      </c>
      <c r="BC5" s="37"/>
      <c r="BD5" s="37">
        <f t="shared" ref="BD5" si="10">SUM(AE5:AP5)</f>
        <v>0</v>
      </c>
      <c r="BE5" s="37">
        <f t="shared" ref="BE5" si="11">SUM(AE5:AG5)</f>
        <v>0</v>
      </c>
      <c r="BF5" s="37">
        <f t="shared" ref="BF5" si="12">SUM(AH5:AJ5)</f>
        <v>0</v>
      </c>
      <c r="BG5" s="37">
        <f t="shared" ref="BG5" si="13">SUM(AK5:AM5)</f>
        <v>0</v>
      </c>
      <c r="BH5" s="37">
        <f t="shared" ref="BH5" si="14">SUM(AN5:AP5)</f>
        <v>0</v>
      </c>
    </row>
    <row r="6" spans="1:60" s="16" customFormat="1" x14ac:dyDescent="0.25">
      <c r="B6" s="16" t="s">
        <v>15</v>
      </c>
      <c r="E6" s="37">
        <f>+'G&amp;A'!E6+'S&amp;M'!E6+Develop!E6+Factory!E6</f>
        <v>83750</v>
      </c>
      <c r="F6" s="37">
        <f>+'G&amp;A'!F6+'S&amp;M'!F6+Develop!F6+Factory!F6</f>
        <v>83750</v>
      </c>
      <c r="G6" s="37">
        <f>+'G&amp;A'!G6+'S&amp;M'!G6+Develop!G6+Factory!G6</f>
        <v>83750</v>
      </c>
      <c r="H6" s="37">
        <f>+'G&amp;A'!H6+'S&amp;M'!H6+Develop!H6+Factory!H6</f>
        <v>89583.333333333343</v>
      </c>
      <c r="I6" s="37">
        <f>+'G&amp;A'!I6+'S&amp;M'!I6+Develop!I6+Factory!I6</f>
        <v>89583.333333333343</v>
      </c>
      <c r="J6" s="37">
        <f>+'G&amp;A'!J6+'S&amp;M'!J6+Develop!J6+Factory!J6</f>
        <v>89583.333333333343</v>
      </c>
      <c r="K6" s="37">
        <f>+'G&amp;A'!K6+'S&amp;M'!K6+Develop!K6+Factory!K6</f>
        <v>93333.333333333343</v>
      </c>
      <c r="L6" s="37">
        <f>+'G&amp;A'!L6+'S&amp;M'!L6+Develop!L6+Factory!L6</f>
        <v>93333.333333333343</v>
      </c>
      <c r="M6" s="37">
        <f>+'G&amp;A'!M6+'S&amp;M'!M6+Develop!M6+Factory!M6</f>
        <v>93333.333333333343</v>
      </c>
      <c r="N6" s="37">
        <f>+'G&amp;A'!N6+'S&amp;M'!N6+Develop!N6+Factory!N6</f>
        <v>93333.333333333343</v>
      </c>
      <c r="O6" s="37">
        <f>+'G&amp;A'!O6+'S&amp;M'!O6+Develop!O6+Factory!O6</f>
        <v>93333.333333333343</v>
      </c>
      <c r="P6" s="37">
        <f>+'G&amp;A'!P6+'S&amp;M'!P6+Develop!P6+Factory!P6</f>
        <v>93333.333333333343</v>
      </c>
      <c r="Q6" s="37"/>
      <c r="R6" s="37">
        <f>+'G&amp;A'!R6+'S&amp;M'!R6+Develop!R6+Factory!R6</f>
        <v>97916.666666666672</v>
      </c>
      <c r="S6" s="37">
        <f>+'G&amp;A'!S6+'S&amp;M'!S6+Develop!S6+Factory!S6</f>
        <v>97916.666666666672</v>
      </c>
      <c r="T6" s="37">
        <f>+'G&amp;A'!T6+'S&amp;M'!T6+Develop!T6+Factory!T6</f>
        <v>112083.33333333333</v>
      </c>
      <c r="U6" s="37">
        <f>+'G&amp;A'!U6+'S&amp;M'!U6+Develop!U6+Factory!U6</f>
        <v>139166.66666666666</v>
      </c>
      <c r="V6" s="37">
        <f>+'G&amp;A'!V6+'S&amp;M'!V6+Develop!V6+Factory!V6</f>
        <v>155833.33333333331</v>
      </c>
      <c r="W6" s="37">
        <f>+'G&amp;A'!W6+'S&amp;M'!W6+Develop!W6+Factory!W6</f>
        <v>201666.66666666669</v>
      </c>
      <c r="X6" s="37">
        <f>+'G&amp;A'!X6+'S&amp;M'!X6+Develop!X6+Factory!X6</f>
        <v>228333.33333333337</v>
      </c>
      <c r="Y6" s="37">
        <f>+'G&amp;A'!Y6+'S&amp;M'!Y6+Develop!Y6+Factory!Y6</f>
        <v>228333.33333333337</v>
      </c>
      <c r="Z6" s="37">
        <f>+'G&amp;A'!Z6+'S&amp;M'!Z6+Develop!Z6+Factory!Z6</f>
        <v>228333.33333333337</v>
      </c>
      <c r="AA6" s="37">
        <f>+'G&amp;A'!AA6+'S&amp;M'!AA6+Develop!AA6+Factory!AA6</f>
        <v>228333.33333333337</v>
      </c>
      <c r="AB6" s="37">
        <f>+'G&amp;A'!AB6+'S&amp;M'!AB6+Develop!AB6+Factory!AB6</f>
        <v>228333.33333333337</v>
      </c>
      <c r="AC6" s="37">
        <f>+'G&amp;A'!AC6+'S&amp;M'!AC6+Develop!AC6+Factory!AC6</f>
        <v>228333.33333333337</v>
      </c>
      <c r="AD6" s="37"/>
      <c r="AE6" s="37">
        <f>+'G&amp;A'!AE6+'S&amp;M'!AE6+Develop!AE6+Factory!AE6</f>
        <v>240000</v>
      </c>
      <c r="AF6" s="37">
        <f>+'G&amp;A'!AF6+'S&amp;M'!AF6+Develop!AF6+Factory!AF6</f>
        <v>240000</v>
      </c>
      <c r="AG6" s="37">
        <f>+'G&amp;A'!AG6+'S&amp;M'!AG6+Develop!AG6+Factory!AG6</f>
        <v>240000</v>
      </c>
      <c r="AH6" s="37">
        <f>+'G&amp;A'!AH6+'S&amp;M'!AH6+Develop!AH6+Factory!AH6</f>
        <v>147500</v>
      </c>
      <c r="AI6" s="37">
        <f>+'G&amp;A'!AI6+'S&amp;M'!AI6+Develop!AI6+Factory!AI6</f>
        <v>147500</v>
      </c>
      <c r="AJ6" s="37">
        <f>+'G&amp;A'!AJ6+'S&amp;M'!AJ6+Develop!AJ6+Factory!AJ6</f>
        <v>147500</v>
      </c>
      <c r="AK6" s="37">
        <f>+'G&amp;A'!AK6+'S&amp;M'!AK6+Develop!AK6+Factory!AK6</f>
        <v>177500</v>
      </c>
      <c r="AL6" s="37">
        <f>+'G&amp;A'!AL6+'S&amp;M'!AL6+Develop!AL6+Factory!AL6</f>
        <v>177500</v>
      </c>
      <c r="AM6" s="37">
        <f>+'G&amp;A'!AM6+'S&amp;M'!AM6+Develop!AM6+Factory!AM6</f>
        <v>177500</v>
      </c>
      <c r="AN6" s="37">
        <f>+'G&amp;A'!AN6+'S&amp;M'!AN6+Develop!AN6+Factory!AN6</f>
        <v>177500</v>
      </c>
      <c r="AO6" s="37">
        <f>+'G&amp;A'!AO6+'S&amp;M'!AO6+Develop!AO6+Factory!AO6</f>
        <v>177500</v>
      </c>
      <c r="AP6" s="37">
        <f>+'G&amp;A'!AP6+'S&amp;M'!AP6+Develop!AP6+Factory!AP6</f>
        <v>182083.33333333331</v>
      </c>
      <c r="AQ6" s="37"/>
      <c r="AR6" s="37">
        <f>SUM(E6:P6)</f>
        <v>1080000.0000000002</v>
      </c>
      <c r="AS6" s="37">
        <f>SUM(E6:G6)</f>
        <v>251250</v>
      </c>
      <c r="AT6" s="37">
        <f>SUM(H6:J6)</f>
        <v>268750</v>
      </c>
      <c r="AU6" s="37">
        <f>SUM(K6:M6)</f>
        <v>280000</v>
      </c>
      <c r="AV6" s="37">
        <f>SUM(N6:P6)</f>
        <v>280000</v>
      </c>
      <c r="AW6" s="37"/>
      <c r="AX6" s="37">
        <f>SUM(R6:AC6)</f>
        <v>2174583.333333334</v>
      </c>
      <c r="AY6" s="37">
        <f>SUM(R6:T6)</f>
        <v>307916.66666666669</v>
      </c>
      <c r="AZ6" s="37">
        <f>SUM(U6:W6)</f>
        <v>496666.66666666669</v>
      </c>
      <c r="BA6" s="37">
        <f>SUM(X6:Z6)</f>
        <v>685000.00000000012</v>
      </c>
      <c r="BB6" s="37">
        <f>SUM(AA6:AC6)</f>
        <v>685000.00000000012</v>
      </c>
      <c r="BC6" s="37"/>
      <c r="BD6" s="37">
        <f>SUM(AE6:AP6)</f>
        <v>2232083.3333333335</v>
      </c>
      <c r="BE6" s="37">
        <f>SUM(AE6:AG6)</f>
        <v>720000</v>
      </c>
      <c r="BF6" s="37">
        <f>SUM(AH6:AJ6)</f>
        <v>442500</v>
      </c>
      <c r="BG6" s="37">
        <f>SUM(AK6:AM6)</f>
        <v>532500</v>
      </c>
      <c r="BH6" s="37">
        <f>SUM(AN6:AP6)</f>
        <v>537083.33333333326</v>
      </c>
    </row>
    <row r="7" spans="1:60" s="16" customFormat="1" x14ac:dyDescent="0.25">
      <c r="B7" s="16" t="s">
        <v>16</v>
      </c>
      <c r="E7" s="37">
        <f>+'G&amp;A'!E7+'S&amp;M'!E7+Develop!E7+Factory!E7</f>
        <v>12916.666666666666</v>
      </c>
      <c r="F7" s="37">
        <f>+'G&amp;A'!F7+'S&amp;M'!F7+Develop!F7+Factory!F7</f>
        <v>12916.666666666666</v>
      </c>
      <c r="G7" s="37">
        <f>+'G&amp;A'!G7+'S&amp;M'!G7+Develop!G7+Factory!G7</f>
        <v>12916.666666666666</v>
      </c>
      <c r="H7" s="37">
        <f>+'G&amp;A'!H7+'S&amp;M'!H7+Develop!H7+Factory!H7</f>
        <v>12916.666666666666</v>
      </c>
      <c r="I7" s="37">
        <f>+'G&amp;A'!I7+'S&amp;M'!I7+Develop!I7+Factory!I7</f>
        <v>12916.666666666666</v>
      </c>
      <c r="J7" s="37">
        <f>+'G&amp;A'!J7+'S&amp;M'!J7+Develop!J7+Factory!J7</f>
        <v>12916.666666666666</v>
      </c>
      <c r="K7" s="37">
        <f>+'G&amp;A'!K7+'S&amp;M'!K7+Develop!K7+Factory!K7</f>
        <v>12916.666666666666</v>
      </c>
      <c r="L7" s="37">
        <f>+'G&amp;A'!L7+'S&amp;M'!L7+Develop!L7+Factory!L7</f>
        <v>12916.666666666666</v>
      </c>
      <c r="M7" s="37">
        <f>+'G&amp;A'!M7+'S&amp;M'!M7+Develop!M7+Factory!M7</f>
        <v>12916.666666666666</v>
      </c>
      <c r="N7" s="37">
        <f>+'G&amp;A'!N7+'S&amp;M'!N7+Develop!N7+Factory!N7</f>
        <v>12916.666666666666</v>
      </c>
      <c r="O7" s="37">
        <f>+'G&amp;A'!O7+'S&amp;M'!O7+Develop!O7+Factory!O7</f>
        <v>12916.666666666666</v>
      </c>
      <c r="P7" s="37">
        <f>+'G&amp;A'!P7+'S&amp;M'!P7+Develop!P7+Factory!P7</f>
        <v>12916.666666666666</v>
      </c>
      <c r="Q7" s="37"/>
      <c r="R7" s="37">
        <f>+'G&amp;A'!R7+'S&amp;M'!R7+Develop!R7+Factory!R7</f>
        <v>12916.666666666666</v>
      </c>
      <c r="S7" s="37">
        <f>+'G&amp;A'!S7+'S&amp;M'!S7+Develop!S7+Factory!S7</f>
        <v>12916.666666666666</v>
      </c>
      <c r="T7" s="37">
        <f>+'G&amp;A'!T7+'S&amp;M'!T7+Develop!T7+Factory!T7</f>
        <v>12916.666666666666</v>
      </c>
      <c r="U7" s="37">
        <f>+'G&amp;A'!U7+'S&amp;M'!U7+Develop!U7+Factory!U7</f>
        <v>12916.666666666666</v>
      </c>
      <c r="V7" s="37">
        <f>+'G&amp;A'!V7+'S&amp;M'!V7+Develop!V7+Factory!V7</f>
        <v>12916.666666666666</v>
      </c>
      <c r="W7" s="37">
        <f>+'G&amp;A'!W7+'S&amp;M'!W7+Develop!W7+Factory!W7</f>
        <v>12916.666666666666</v>
      </c>
      <c r="X7" s="37">
        <f>+'G&amp;A'!X7+'S&amp;M'!X7+Develop!X7+Factory!X7</f>
        <v>12916.666666666666</v>
      </c>
      <c r="Y7" s="37">
        <f>+'G&amp;A'!Y7+'S&amp;M'!Y7+Develop!Y7+Factory!Y7</f>
        <v>12916.666666666666</v>
      </c>
      <c r="Z7" s="37">
        <f>+'G&amp;A'!Z7+'S&amp;M'!Z7+Develop!Z7+Factory!Z7</f>
        <v>12916.666666666666</v>
      </c>
      <c r="AA7" s="37">
        <f>+'G&amp;A'!AA7+'S&amp;M'!AA7+Develop!AA7+Factory!AA7</f>
        <v>12916.666666666666</v>
      </c>
      <c r="AB7" s="37">
        <f>+'G&amp;A'!AB7+'S&amp;M'!AB7+Develop!AB7+Factory!AB7</f>
        <v>12916.666666666666</v>
      </c>
      <c r="AC7" s="37">
        <f>+'G&amp;A'!AC7+'S&amp;M'!AC7+Develop!AC7+Factory!AC7</f>
        <v>12916.666666666666</v>
      </c>
      <c r="AD7" s="37"/>
      <c r="AE7" s="37">
        <f>+'G&amp;A'!AE7+'S&amp;M'!AE7+Develop!AE7+Factory!AE7</f>
        <v>12916.666666666666</v>
      </c>
      <c r="AF7" s="37">
        <f>+'G&amp;A'!AF7+'S&amp;M'!AF7+Develop!AF7+Factory!AF7</f>
        <v>12916.666666666666</v>
      </c>
      <c r="AG7" s="37">
        <f>+'G&amp;A'!AG7+'S&amp;M'!AG7+Develop!AG7+Factory!AG7</f>
        <v>12916.666666666666</v>
      </c>
      <c r="AH7" s="37">
        <f>+'G&amp;A'!AH7+'S&amp;M'!AH7+Develop!AH7+Factory!AH7</f>
        <v>12916.666666666666</v>
      </c>
      <c r="AI7" s="37">
        <f>+'G&amp;A'!AI7+'S&amp;M'!AI7+Develop!AI7+Factory!AI7</f>
        <v>12916.666666666666</v>
      </c>
      <c r="AJ7" s="37">
        <f>+'G&amp;A'!AJ7+'S&amp;M'!AJ7+Develop!AJ7+Factory!AJ7</f>
        <v>12916.666666666666</v>
      </c>
      <c r="AK7" s="37">
        <f>+'G&amp;A'!AK7+'S&amp;M'!AK7+Develop!AK7+Factory!AK7</f>
        <v>12916.666666666666</v>
      </c>
      <c r="AL7" s="37">
        <f>+'G&amp;A'!AL7+'S&amp;M'!AL7+Develop!AL7+Factory!AL7</f>
        <v>12916.666666666666</v>
      </c>
      <c r="AM7" s="37">
        <f>+'G&amp;A'!AM7+'S&amp;M'!AM7+Develop!AM7+Factory!AM7</f>
        <v>12916.666666666666</v>
      </c>
      <c r="AN7" s="37">
        <f>+'G&amp;A'!AN7+'S&amp;M'!AN7+Develop!AN7+Factory!AN7</f>
        <v>12916.666666666666</v>
      </c>
      <c r="AO7" s="37">
        <f>+'G&amp;A'!AO7+'S&amp;M'!AO7+Develop!AO7+Factory!AO7</f>
        <v>12916.666666666666</v>
      </c>
      <c r="AP7" s="37">
        <f>+'G&amp;A'!AP7+'S&amp;M'!AP7+Develop!AP7+Factory!AP7</f>
        <v>12916.666666666666</v>
      </c>
      <c r="AQ7" s="37"/>
      <c r="AR7" s="37">
        <f t="shared" ref="AR7" si="15">SUM(E7:P7)</f>
        <v>155000</v>
      </c>
      <c r="AS7" s="37">
        <f t="shared" ref="AS7" si="16">SUM(E7:G7)</f>
        <v>38750</v>
      </c>
      <c r="AT7" s="37">
        <f t="shared" ref="AT7" si="17">SUM(H7:J7)</f>
        <v>38750</v>
      </c>
      <c r="AU7" s="37">
        <f t="shared" ref="AU7" si="18">SUM(K7:M7)</f>
        <v>38750</v>
      </c>
      <c r="AV7" s="37">
        <f t="shared" ref="AV7" si="19">SUM(N7:P7)</f>
        <v>38750</v>
      </c>
      <c r="AW7" s="37"/>
      <c r="AX7" s="37">
        <f t="shared" ref="AX7" si="20">SUM(R7:AC7)</f>
        <v>155000</v>
      </c>
      <c r="AY7" s="37">
        <f t="shared" ref="AY7" si="21">SUM(R7:T7)</f>
        <v>38750</v>
      </c>
      <c r="AZ7" s="37">
        <f t="shared" ref="AZ7" si="22">SUM(U7:W7)</f>
        <v>38750</v>
      </c>
      <c r="BA7" s="37">
        <f t="shared" ref="BA7" si="23">SUM(X7:Z7)</f>
        <v>38750</v>
      </c>
      <c r="BB7" s="37">
        <f t="shared" ref="BB7" si="24">SUM(AA7:AC7)</f>
        <v>38750</v>
      </c>
      <c r="BC7" s="37"/>
      <c r="BD7" s="37">
        <f t="shared" ref="BD7" si="25">SUM(AE7:AP7)</f>
        <v>155000</v>
      </c>
      <c r="BE7" s="37">
        <f t="shared" ref="BE7" si="26">SUM(AE7:AG7)</f>
        <v>38750</v>
      </c>
      <c r="BF7" s="37">
        <f t="shared" ref="BF7" si="27">SUM(AH7:AJ7)</f>
        <v>38750</v>
      </c>
      <c r="BG7" s="37">
        <f t="shared" ref="BG7" si="28">SUM(AK7:AM7)</f>
        <v>38750</v>
      </c>
      <c r="BH7" s="37">
        <f t="shared" ref="BH7" si="29">SUM(AN7:AP7)</f>
        <v>38750</v>
      </c>
    </row>
    <row r="8" spans="1:60" s="16" customFormat="1" x14ac:dyDescent="0.25">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row>
    <row r="9" spans="1:60" s="16" customFormat="1" x14ac:dyDescent="0.25">
      <c r="B9" s="16" t="s">
        <v>17</v>
      </c>
      <c r="E9" s="38">
        <f>SUBTOTAL(9,E5:E8)</f>
        <v>96666.666666666672</v>
      </c>
      <c r="F9" s="38">
        <f t="shared" ref="F9:P9" si="30">SUBTOTAL(9,F5:F8)</f>
        <v>96666.666666666672</v>
      </c>
      <c r="G9" s="38">
        <f t="shared" si="30"/>
        <v>96666.666666666672</v>
      </c>
      <c r="H9" s="38">
        <f t="shared" si="30"/>
        <v>102500.00000000001</v>
      </c>
      <c r="I9" s="38">
        <f t="shared" si="30"/>
        <v>102500.00000000001</v>
      </c>
      <c r="J9" s="38">
        <f t="shared" si="30"/>
        <v>102500.00000000001</v>
      </c>
      <c r="K9" s="38">
        <f t="shared" si="30"/>
        <v>106250.00000000001</v>
      </c>
      <c r="L9" s="38">
        <f t="shared" si="30"/>
        <v>106250.00000000001</v>
      </c>
      <c r="M9" s="38">
        <f t="shared" si="30"/>
        <v>106250.00000000001</v>
      </c>
      <c r="N9" s="38">
        <f t="shared" si="30"/>
        <v>106250.00000000001</v>
      </c>
      <c r="O9" s="38">
        <f t="shared" si="30"/>
        <v>106250.00000000001</v>
      </c>
      <c r="P9" s="38">
        <f t="shared" si="30"/>
        <v>106250.00000000001</v>
      </c>
      <c r="Q9" s="37"/>
      <c r="R9" s="38">
        <f>SUBTOTAL(9,R5:R8)</f>
        <v>110833.33333333334</v>
      </c>
      <c r="S9" s="38">
        <f t="shared" ref="S9:AC9" si="31">SUBTOTAL(9,S5:S8)</f>
        <v>110833.33333333334</v>
      </c>
      <c r="T9" s="38">
        <f t="shared" si="31"/>
        <v>125000</v>
      </c>
      <c r="U9" s="38">
        <f t="shared" si="31"/>
        <v>152083.33333333331</v>
      </c>
      <c r="V9" s="38">
        <f t="shared" si="31"/>
        <v>168749.99999999997</v>
      </c>
      <c r="W9" s="38">
        <f t="shared" si="31"/>
        <v>214583.33333333334</v>
      </c>
      <c r="X9" s="38">
        <f t="shared" si="31"/>
        <v>241250.00000000003</v>
      </c>
      <c r="Y9" s="38">
        <f t="shared" si="31"/>
        <v>241250.00000000003</v>
      </c>
      <c r="Z9" s="38">
        <f t="shared" si="31"/>
        <v>241250.00000000003</v>
      </c>
      <c r="AA9" s="38">
        <f t="shared" si="31"/>
        <v>241250.00000000003</v>
      </c>
      <c r="AB9" s="38">
        <f t="shared" si="31"/>
        <v>241250.00000000003</v>
      </c>
      <c r="AC9" s="38">
        <f t="shared" si="31"/>
        <v>241250.00000000003</v>
      </c>
      <c r="AD9" s="37"/>
      <c r="AE9" s="38">
        <f>SUBTOTAL(9,AE5:AE8)</f>
        <v>252916.66666666666</v>
      </c>
      <c r="AF9" s="38">
        <f t="shared" ref="AF9:AP9" si="32">SUBTOTAL(9,AF5:AF8)</f>
        <v>252916.66666666666</v>
      </c>
      <c r="AG9" s="38">
        <f t="shared" si="32"/>
        <v>252916.66666666666</v>
      </c>
      <c r="AH9" s="38">
        <f t="shared" si="32"/>
        <v>160416.66666666666</v>
      </c>
      <c r="AI9" s="38">
        <f t="shared" si="32"/>
        <v>160416.66666666666</v>
      </c>
      <c r="AJ9" s="38">
        <f t="shared" si="32"/>
        <v>160416.66666666666</v>
      </c>
      <c r="AK9" s="38">
        <f t="shared" si="32"/>
        <v>190416.66666666666</v>
      </c>
      <c r="AL9" s="38">
        <f t="shared" si="32"/>
        <v>190416.66666666666</v>
      </c>
      <c r="AM9" s="38">
        <f t="shared" si="32"/>
        <v>190416.66666666666</v>
      </c>
      <c r="AN9" s="38">
        <f t="shared" si="32"/>
        <v>190416.66666666666</v>
      </c>
      <c r="AO9" s="38">
        <f t="shared" si="32"/>
        <v>190416.66666666666</v>
      </c>
      <c r="AP9" s="38">
        <f t="shared" si="32"/>
        <v>194999.99999999997</v>
      </c>
      <c r="AQ9" s="37"/>
      <c r="AR9" s="38">
        <f t="shared" ref="AR9:AV9" si="33">SUBTOTAL(9,AR5:AR8)</f>
        <v>1235000.0000000002</v>
      </c>
      <c r="AS9" s="38">
        <f t="shared" si="33"/>
        <v>290000</v>
      </c>
      <c r="AT9" s="38">
        <f t="shared" si="33"/>
        <v>307500</v>
      </c>
      <c r="AU9" s="38">
        <f t="shared" si="33"/>
        <v>318750</v>
      </c>
      <c r="AV9" s="38">
        <f t="shared" si="33"/>
        <v>318750</v>
      </c>
      <c r="AW9" s="37"/>
      <c r="AX9" s="38">
        <f t="shared" ref="AX9:BB9" si="34">SUBTOTAL(9,AX5:AX8)</f>
        <v>2329583.333333334</v>
      </c>
      <c r="AY9" s="38">
        <f t="shared" si="34"/>
        <v>346666.66666666669</v>
      </c>
      <c r="AZ9" s="38">
        <f t="shared" si="34"/>
        <v>535416.66666666674</v>
      </c>
      <c r="BA9" s="38">
        <f t="shared" si="34"/>
        <v>723750.00000000012</v>
      </c>
      <c r="BB9" s="38">
        <f t="shared" si="34"/>
        <v>723750.00000000012</v>
      </c>
      <c r="BC9" s="37"/>
      <c r="BD9" s="38">
        <f t="shared" ref="BD9:BH9" si="35">SUBTOTAL(9,BD5:BD8)</f>
        <v>2387083.3333333335</v>
      </c>
      <c r="BE9" s="38">
        <f t="shared" si="35"/>
        <v>758750</v>
      </c>
      <c r="BF9" s="38">
        <f t="shared" si="35"/>
        <v>481250</v>
      </c>
      <c r="BG9" s="38">
        <f t="shared" si="35"/>
        <v>571250</v>
      </c>
      <c r="BH9" s="38">
        <f t="shared" si="35"/>
        <v>575833.33333333326</v>
      </c>
    </row>
    <row r="10" spans="1:60" s="16" customFormat="1" x14ac:dyDescent="0.25">
      <c r="E10" s="37"/>
      <c r="F10" s="37"/>
      <c r="G10" s="37"/>
      <c r="H10" s="37"/>
      <c r="I10" s="37"/>
      <c r="J10" s="37"/>
      <c r="K10" s="37"/>
      <c r="L10" s="37"/>
      <c r="M10" s="37"/>
      <c r="N10" s="37"/>
      <c r="O10" s="37"/>
      <c r="P10" s="37"/>
      <c r="Q10" s="37"/>
      <c r="R10" s="37"/>
      <c r="S10" s="37"/>
      <c r="T10" s="37"/>
      <c r="U10" s="37"/>
      <c r="V10" s="37"/>
      <c r="W10" s="37"/>
      <c r="X10" s="37"/>
      <c r="Y10" s="37"/>
      <c r="Z10" s="37"/>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row>
    <row r="11" spans="1:60" s="16" customFormat="1" x14ac:dyDescent="0.25">
      <c r="B11" s="16" t="s">
        <v>19</v>
      </c>
      <c r="C11" s="20">
        <f>+'G&amp;A'!C11</f>
        <v>0.04</v>
      </c>
      <c r="E11" s="37">
        <f>+'G&amp;A'!E11+'S&amp;M'!E11+Develop!E11+Factory!E11</f>
        <v>3350</v>
      </c>
      <c r="F11" s="37">
        <f>+'G&amp;A'!F11+'S&amp;M'!F11+Develop!F11+Factory!F11</f>
        <v>3350</v>
      </c>
      <c r="G11" s="37">
        <f>+'G&amp;A'!G11+'S&amp;M'!G11+Develop!G11+Factory!G11</f>
        <v>3350</v>
      </c>
      <c r="H11" s="37">
        <f>+'G&amp;A'!H11+'S&amp;M'!H11+Develop!H11+Factory!H11</f>
        <v>3583.3333333333335</v>
      </c>
      <c r="I11" s="37">
        <f>+'G&amp;A'!I11+'S&amp;M'!I11+Develop!I11+Factory!I11</f>
        <v>3583.3333333333335</v>
      </c>
      <c r="J11" s="37">
        <f>+'G&amp;A'!J11+'S&amp;M'!J11+Develop!J11+Factory!J11</f>
        <v>3583.3333333333335</v>
      </c>
      <c r="K11" s="37">
        <f>+'G&amp;A'!K11+'S&amp;M'!K11+Develop!K11+Factory!K11</f>
        <v>3733.3333333333335</v>
      </c>
      <c r="L11" s="37">
        <f>+'G&amp;A'!L11+'S&amp;M'!L11+Develop!L11+Factory!L11</f>
        <v>3733.3333333333335</v>
      </c>
      <c r="M11" s="37">
        <f>+'G&amp;A'!M11+'S&amp;M'!M11+Develop!M11+Factory!M11</f>
        <v>3733.3333333333335</v>
      </c>
      <c r="N11" s="37">
        <f>+'G&amp;A'!N11+'S&amp;M'!N11+Develop!N11+Factory!N11</f>
        <v>3733.3333333333335</v>
      </c>
      <c r="O11" s="37">
        <f>+'G&amp;A'!O11+'S&amp;M'!O11+Develop!O11+Factory!O11</f>
        <v>3733.3333333333335</v>
      </c>
      <c r="P11" s="37">
        <f>+'G&amp;A'!P11+'S&amp;M'!P11+Develop!P11+Factory!P11</f>
        <v>3733.3333333333335</v>
      </c>
      <c r="Q11" s="37"/>
      <c r="R11" s="37">
        <f>+'G&amp;A'!R11+'S&amp;M'!R11+Develop!R11+Factory!R11</f>
        <v>3916.666666666667</v>
      </c>
      <c r="S11" s="37">
        <f>+'G&amp;A'!S11+'S&amp;M'!S11+Develop!S11+Factory!S11</f>
        <v>3916.666666666667</v>
      </c>
      <c r="T11" s="37">
        <f>+'G&amp;A'!T11+'S&amp;M'!T11+Develop!T11+Factory!T11</f>
        <v>4483.333333333333</v>
      </c>
      <c r="U11" s="37">
        <f>+'G&amp;A'!U11+'S&amp;M'!U11+Develop!U11+Factory!U11</f>
        <v>5566.6666666666661</v>
      </c>
      <c r="V11" s="37">
        <f>+'G&amp;A'!V11+'S&amp;M'!V11+Develop!V11+Factory!V11</f>
        <v>6233.333333333333</v>
      </c>
      <c r="W11" s="37">
        <f>+'G&amp;A'!W11+'S&amp;M'!W11+Develop!W11+Factory!W11</f>
        <v>8066.666666666667</v>
      </c>
      <c r="X11" s="37">
        <f>+'G&amp;A'!X11+'S&amp;M'!X11+Develop!X11+Factory!X11</f>
        <v>9133.3333333333358</v>
      </c>
      <c r="Y11" s="37">
        <f>+'G&amp;A'!Y11+'S&amp;M'!Y11+Develop!Y11+Factory!Y11</f>
        <v>9133.3333333333358</v>
      </c>
      <c r="Z11" s="37">
        <f>+'G&amp;A'!Z11+'S&amp;M'!Z11+Develop!Z11+Factory!Z11</f>
        <v>9133.3333333333358</v>
      </c>
      <c r="AA11" s="37">
        <f>+'G&amp;A'!AA11+'S&amp;M'!AA11+Develop!AA11+Factory!AA11</f>
        <v>9133.3333333333358</v>
      </c>
      <c r="AB11" s="37">
        <f>+'G&amp;A'!AB11+'S&amp;M'!AB11+Develop!AB11+Factory!AB11</f>
        <v>9133.3333333333358</v>
      </c>
      <c r="AC11" s="37">
        <f>+'G&amp;A'!AC11+'S&amp;M'!AC11+Develop!AC11+Factory!AC11</f>
        <v>9133.3333333333358</v>
      </c>
      <c r="AD11" s="37"/>
      <c r="AE11" s="37">
        <f>+'G&amp;A'!AE11+'S&amp;M'!AE11+Develop!AE11+Factory!AE11</f>
        <v>9600.0000000000018</v>
      </c>
      <c r="AF11" s="37">
        <f>+'G&amp;A'!AF11+'S&amp;M'!AF11+Develop!AF11+Factory!AF11</f>
        <v>9600.0000000000018</v>
      </c>
      <c r="AG11" s="37">
        <f>+'G&amp;A'!AG11+'S&amp;M'!AG11+Develop!AG11+Factory!AG11</f>
        <v>9600.0000000000018</v>
      </c>
      <c r="AH11" s="37">
        <f>+'G&amp;A'!AH11+'S&amp;M'!AH11+Develop!AH11+Factory!AH11</f>
        <v>5900</v>
      </c>
      <c r="AI11" s="37">
        <f>+'G&amp;A'!AI11+'S&amp;M'!AI11+Develop!AI11+Factory!AI11</f>
        <v>5900</v>
      </c>
      <c r="AJ11" s="37">
        <f>+'G&amp;A'!AJ11+'S&amp;M'!AJ11+Develop!AJ11+Factory!AJ11</f>
        <v>5900</v>
      </c>
      <c r="AK11" s="37">
        <f>+'G&amp;A'!AK11+'S&amp;M'!AK11+Develop!AK11+Factory!AK11</f>
        <v>7099.9999999999991</v>
      </c>
      <c r="AL11" s="37">
        <f>+'G&amp;A'!AL11+'S&amp;M'!AL11+Develop!AL11+Factory!AL11</f>
        <v>7099.9999999999991</v>
      </c>
      <c r="AM11" s="37">
        <f>+'G&amp;A'!AM11+'S&amp;M'!AM11+Develop!AM11+Factory!AM11</f>
        <v>7099.9999999999991</v>
      </c>
      <c r="AN11" s="37">
        <f>+'G&amp;A'!AN11+'S&amp;M'!AN11+Develop!AN11+Factory!AN11</f>
        <v>7099.9999999999991</v>
      </c>
      <c r="AO11" s="37">
        <f>+'G&amp;A'!AO11+'S&amp;M'!AO11+Develop!AO11+Factory!AO11</f>
        <v>7099.9999999999991</v>
      </c>
      <c r="AP11" s="37">
        <f>+'G&amp;A'!AP11+'S&amp;M'!AP11+Develop!AP11+Factory!AP11</f>
        <v>7283.333333333333</v>
      </c>
      <c r="AQ11" s="37"/>
      <c r="AR11" s="37">
        <f t="shared" ref="AR11:AR15" si="36">SUM(E11:P11)</f>
        <v>43200</v>
      </c>
      <c r="AS11" s="37">
        <f t="shared" ref="AS11:AS15" si="37">SUM(E11:G11)</f>
        <v>10050</v>
      </c>
      <c r="AT11" s="37">
        <f t="shared" ref="AT11:AT15" si="38">SUM(H11:J11)</f>
        <v>10750</v>
      </c>
      <c r="AU11" s="37">
        <f t="shared" ref="AU11:AU15" si="39">SUM(K11:M11)</f>
        <v>11200</v>
      </c>
      <c r="AV11" s="37">
        <f t="shared" ref="AV11:AV15" si="40">SUM(N11:P11)</f>
        <v>11200</v>
      </c>
      <c r="AW11" s="37"/>
      <c r="AX11" s="37">
        <f t="shared" ref="AX11:AX15" si="41">SUM(R11:AC11)</f>
        <v>86983.333333333372</v>
      </c>
      <c r="AY11" s="37">
        <f t="shared" ref="AY11:AY15" si="42">SUM(R11:T11)</f>
        <v>12316.666666666668</v>
      </c>
      <c r="AZ11" s="37">
        <f t="shared" ref="AZ11:AZ15" si="43">SUM(U11:W11)</f>
        <v>19866.666666666668</v>
      </c>
      <c r="BA11" s="37">
        <f t="shared" ref="BA11:BA15" si="44">SUM(X11:Z11)</f>
        <v>27400.000000000007</v>
      </c>
      <c r="BB11" s="37">
        <f t="shared" ref="BB11:BB15" si="45">SUM(AA11:AC11)</f>
        <v>27400.000000000007</v>
      </c>
      <c r="BC11" s="37"/>
      <c r="BD11" s="37">
        <f t="shared" ref="BD11:BD15" si="46">SUM(AE11:AP11)</f>
        <v>89283.333333333328</v>
      </c>
      <c r="BE11" s="37">
        <f t="shared" ref="BE11:BE15" si="47">SUM(AE11:AG11)</f>
        <v>28800.000000000007</v>
      </c>
      <c r="BF11" s="37">
        <f t="shared" ref="BF11:BF15" si="48">SUM(AH11:AJ11)</f>
        <v>17700</v>
      </c>
      <c r="BG11" s="37">
        <f t="shared" ref="BG11:BG15" si="49">SUM(AK11:AM11)</f>
        <v>21299.999999999996</v>
      </c>
      <c r="BH11" s="37">
        <f t="shared" ref="BH11:BH15" si="50">SUM(AN11:AP11)</f>
        <v>21483.333333333332</v>
      </c>
    </row>
    <row r="12" spans="1:60" s="16" customFormat="1" x14ac:dyDescent="0.25">
      <c r="B12" s="16" t="s">
        <v>18</v>
      </c>
      <c r="C12" s="20">
        <f>+'G&amp;A'!C12</f>
        <v>7.8E-2</v>
      </c>
      <c r="E12" s="37">
        <f>+'G&amp;A'!E12+'S&amp;M'!E12+Develop!E12+Factory!E12</f>
        <v>6532.5</v>
      </c>
      <c r="F12" s="37">
        <f>+'G&amp;A'!F12+'S&amp;M'!F12+Develop!F12+Factory!F12</f>
        <v>6532.5</v>
      </c>
      <c r="G12" s="37">
        <f>+'G&amp;A'!G12+'S&amp;M'!G12+Develop!G12+Factory!G12</f>
        <v>6532.5</v>
      </c>
      <c r="H12" s="37">
        <f>+'G&amp;A'!H12+'S&amp;M'!H12+Develop!H12+Factory!H12</f>
        <v>6987.5</v>
      </c>
      <c r="I12" s="37">
        <f>+'G&amp;A'!I12+'S&amp;M'!I12+Develop!I12+Factory!I12</f>
        <v>6987.5</v>
      </c>
      <c r="J12" s="37">
        <f>+'G&amp;A'!J12+'S&amp;M'!J12+Develop!J12+Factory!J12</f>
        <v>6987.5</v>
      </c>
      <c r="K12" s="37">
        <f>+'G&amp;A'!K12+'S&amp;M'!K12+Develop!K12+Factory!K12</f>
        <v>7280</v>
      </c>
      <c r="L12" s="37">
        <f>+'G&amp;A'!L12+'S&amp;M'!L12+Develop!L12+Factory!L12</f>
        <v>7280</v>
      </c>
      <c r="M12" s="37">
        <f>+'G&amp;A'!M12+'S&amp;M'!M12+Develop!M12+Factory!M12</f>
        <v>7280</v>
      </c>
      <c r="N12" s="37">
        <f>+'G&amp;A'!N12+'S&amp;M'!N12+Develop!N12+Factory!N12</f>
        <v>7280</v>
      </c>
      <c r="O12" s="37">
        <f>+'G&amp;A'!O12+'S&amp;M'!O12+Develop!O12+Factory!O12</f>
        <v>7280</v>
      </c>
      <c r="P12" s="37">
        <f>+'G&amp;A'!P12+'S&amp;M'!P12+Develop!P12+Factory!P12</f>
        <v>7280</v>
      </c>
      <c r="Q12" s="37"/>
      <c r="R12" s="37">
        <f>+'G&amp;A'!R12+'S&amp;M'!R12+Develop!R12+Factory!R12</f>
        <v>7637.5</v>
      </c>
      <c r="S12" s="37">
        <f>+'G&amp;A'!S12+'S&amp;M'!S12+Develop!S12+Factory!S12</f>
        <v>7637.5</v>
      </c>
      <c r="T12" s="37">
        <f>+'G&amp;A'!T12+'S&amp;M'!T12+Develop!T12+Factory!T12</f>
        <v>8742.5</v>
      </c>
      <c r="U12" s="37">
        <f>+'G&amp;A'!U12+'S&amp;M'!U12+Develop!U12+Factory!U12</f>
        <v>10855</v>
      </c>
      <c r="V12" s="37">
        <f>+'G&amp;A'!V12+'S&amp;M'!V12+Develop!V12+Factory!V12</f>
        <v>12155</v>
      </c>
      <c r="W12" s="37">
        <f>+'G&amp;A'!W12+'S&amp;M'!W12+Develop!W12+Factory!W12</f>
        <v>15730</v>
      </c>
      <c r="X12" s="37">
        <f>+'G&amp;A'!X12+'S&amp;M'!X12+Develop!X12+Factory!X12</f>
        <v>17810</v>
      </c>
      <c r="Y12" s="37">
        <f>+'G&amp;A'!Y12+'S&amp;M'!Y12+Develop!Y12+Factory!Y12</f>
        <v>17810</v>
      </c>
      <c r="Z12" s="37">
        <f>+'G&amp;A'!Z12+'S&amp;M'!Z12+Develop!Z12+Factory!Z12</f>
        <v>17810</v>
      </c>
      <c r="AA12" s="37">
        <f>+'G&amp;A'!AA12+'S&amp;M'!AA12+Develop!AA12+Factory!AA12</f>
        <v>17810</v>
      </c>
      <c r="AB12" s="37">
        <f>+'G&amp;A'!AB12+'S&amp;M'!AB12+Develop!AB12+Factory!AB12</f>
        <v>17810</v>
      </c>
      <c r="AC12" s="37">
        <f>+'G&amp;A'!AC12+'S&amp;M'!AC12+Develop!AC12+Factory!AC12</f>
        <v>17810</v>
      </c>
      <c r="AD12" s="37"/>
      <c r="AE12" s="37">
        <f>+'G&amp;A'!AE12+'S&amp;M'!AE12+Develop!AE12+Factory!AE12</f>
        <v>18720</v>
      </c>
      <c r="AF12" s="37">
        <f>+'G&amp;A'!AF12+'S&amp;M'!AF12+Develop!AF12+Factory!AF12</f>
        <v>18720</v>
      </c>
      <c r="AG12" s="37">
        <f>+'G&amp;A'!AG12+'S&amp;M'!AG12+Develop!AG12+Factory!AG12</f>
        <v>18720</v>
      </c>
      <c r="AH12" s="37">
        <f>+'G&amp;A'!AH12+'S&amp;M'!AH12+Develop!AH12+Factory!AH12</f>
        <v>11505</v>
      </c>
      <c r="AI12" s="37">
        <f>+'G&amp;A'!AI12+'S&amp;M'!AI12+Develop!AI12+Factory!AI12</f>
        <v>11505</v>
      </c>
      <c r="AJ12" s="37">
        <f>+'G&amp;A'!AJ12+'S&amp;M'!AJ12+Develop!AJ12+Factory!AJ12</f>
        <v>11505</v>
      </c>
      <c r="AK12" s="37">
        <f>+'G&amp;A'!AK12+'S&amp;M'!AK12+Develop!AK12+Factory!AK12</f>
        <v>13845</v>
      </c>
      <c r="AL12" s="37">
        <f>+'G&amp;A'!AL12+'S&amp;M'!AL12+Develop!AL12+Factory!AL12</f>
        <v>13845</v>
      </c>
      <c r="AM12" s="37">
        <f>+'G&amp;A'!AM12+'S&amp;M'!AM12+Develop!AM12+Factory!AM12</f>
        <v>13845</v>
      </c>
      <c r="AN12" s="37">
        <f>+'G&amp;A'!AN12+'S&amp;M'!AN12+Develop!AN12+Factory!AN12</f>
        <v>13845</v>
      </c>
      <c r="AO12" s="37">
        <f>+'G&amp;A'!AO12+'S&amp;M'!AO12+Develop!AO12+Factory!AO12</f>
        <v>13845</v>
      </c>
      <c r="AP12" s="37">
        <f>+'G&amp;A'!AP12+'S&amp;M'!AP12+Develop!AP12+Factory!AP12</f>
        <v>14202.5</v>
      </c>
      <c r="AQ12" s="37"/>
      <c r="AR12" s="37">
        <f t="shared" si="36"/>
        <v>84240</v>
      </c>
      <c r="AS12" s="37">
        <f t="shared" si="37"/>
        <v>19597.5</v>
      </c>
      <c r="AT12" s="37">
        <f t="shared" si="38"/>
        <v>20962.5</v>
      </c>
      <c r="AU12" s="37">
        <f t="shared" si="39"/>
        <v>21840</v>
      </c>
      <c r="AV12" s="37">
        <f t="shared" si="40"/>
        <v>21840</v>
      </c>
      <c r="AW12" s="37"/>
      <c r="AX12" s="37">
        <f t="shared" si="41"/>
        <v>169617.5</v>
      </c>
      <c r="AY12" s="37">
        <f t="shared" si="42"/>
        <v>24017.5</v>
      </c>
      <c r="AZ12" s="37">
        <f t="shared" si="43"/>
        <v>38740</v>
      </c>
      <c r="BA12" s="37">
        <f t="shared" si="44"/>
        <v>53430</v>
      </c>
      <c r="BB12" s="37">
        <f t="shared" si="45"/>
        <v>53430</v>
      </c>
      <c r="BC12" s="37"/>
      <c r="BD12" s="37">
        <f t="shared" si="46"/>
        <v>174102.5</v>
      </c>
      <c r="BE12" s="37">
        <f t="shared" si="47"/>
        <v>56160</v>
      </c>
      <c r="BF12" s="37">
        <f t="shared" si="48"/>
        <v>34515</v>
      </c>
      <c r="BG12" s="37">
        <f t="shared" si="49"/>
        <v>41535</v>
      </c>
      <c r="BH12" s="37">
        <f t="shared" si="50"/>
        <v>41892.5</v>
      </c>
    </row>
    <row r="13" spans="1:60" s="16" customFormat="1" x14ac:dyDescent="0.25">
      <c r="B13" s="16" t="s">
        <v>20</v>
      </c>
      <c r="C13" s="20">
        <f>+'G&amp;A'!C13</f>
        <v>0.12</v>
      </c>
      <c r="E13" s="37">
        <f>+'G&amp;A'!E13+'S&amp;M'!E13+Develop!E13+Factory!E13</f>
        <v>10050</v>
      </c>
      <c r="F13" s="37">
        <f>+'G&amp;A'!F13+'S&amp;M'!F13+Develop!F13+Factory!F13</f>
        <v>10050</v>
      </c>
      <c r="G13" s="37">
        <f>+'G&amp;A'!G13+'S&amp;M'!G13+Develop!G13+Factory!G13</f>
        <v>10050</v>
      </c>
      <c r="H13" s="37">
        <f>+'G&amp;A'!H13+'S&amp;M'!H13+Develop!H13+Factory!H13</f>
        <v>10750</v>
      </c>
      <c r="I13" s="37">
        <f>+'G&amp;A'!I13+'S&amp;M'!I13+Develop!I13+Factory!I13</f>
        <v>10750</v>
      </c>
      <c r="J13" s="37">
        <f>+'G&amp;A'!J13+'S&amp;M'!J13+Develop!J13+Factory!J13</f>
        <v>10750</v>
      </c>
      <c r="K13" s="37">
        <f>+'G&amp;A'!K13+'S&amp;M'!K13+Develop!K13+Factory!K13</f>
        <v>11200</v>
      </c>
      <c r="L13" s="37">
        <f>+'G&amp;A'!L13+'S&amp;M'!L13+Develop!L13+Factory!L13</f>
        <v>11200</v>
      </c>
      <c r="M13" s="37">
        <f>+'G&amp;A'!M13+'S&amp;M'!M13+Develop!M13+Factory!M13</f>
        <v>11200</v>
      </c>
      <c r="N13" s="37">
        <f>+'G&amp;A'!N13+'S&amp;M'!N13+Develop!N13+Factory!N13</f>
        <v>11200</v>
      </c>
      <c r="O13" s="37">
        <f>+'G&amp;A'!O13+'S&amp;M'!O13+Develop!O13+Factory!O13</f>
        <v>11200</v>
      </c>
      <c r="P13" s="37">
        <f>+'G&amp;A'!P13+'S&amp;M'!P13+Develop!P13+Factory!P13</f>
        <v>11200</v>
      </c>
      <c r="Q13" s="37"/>
      <c r="R13" s="37">
        <f>+'G&amp;A'!R13+'S&amp;M'!R13+Develop!R13+Factory!R13</f>
        <v>11750</v>
      </c>
      <c r="S13" s="37">
        <f>+'G&amp;A'!S13+'S&amp;M'!S13+Develop!S13+Factory!S13</f>
        <v>11750</v>
      </c>
      <c r="T13" s="37">
        <f>+'G&amp;A'!T13+'S&amp;M'!T13+Develop!T13+Factory!T13</f>
        <v>13450</v>
      </c>
      <c r="U13" s="37">
        <f>+'G&amp;A'!U13+'S&amp;M'!U13+Develop!U13+Factory!U13</f>
        <v>16700</v>
      </c>
      <c r="V13" s="37">
        <f>+'G&amp;A'!V13+'S&amp;M'!V13+Develop!V13+Factory!V13</f>
        <v>18700</v>
      </c>
      <c r="W13" s="37">
        <f>+'G&amp;A'!W13+'S&amp;M'!W13+Develop!W13+Factory!W13</f>
        <v>24200</v>
      </c>
      <c r="X13" s="37">
        <f>+'G&amp;A'!X13+'S&amp;M'!X13+Develop!X13+Factory!X13</f>
        <v>27400</v>
      </c>
      <c r="Y13" s="37">
        <f>+'G&amp;A'!Y13+'S&amp;M'!Y13+Develop!Y13+Factory!Y13</f>
        <v>27400</v>
      </c>
      <c r="Z13" s="37">
        <f>+'G&amp;A'!Z13+'S&amp;M'!Z13+Develop!Z13+Factory!Z13</f>
        <v>27400</v>
      </c>
      <c r="AA13" s="37">
        <f>+'G&amp;A'!AA13+'S&amp;M'!AA13+Develop!AA13+Factory!AA13</f>
        <v>27400</v>
      </c>
      <c r="AB13" s="37">
        <f>+'G&amp;A'!AB13+'S&amp;M'!AB13+Develop!AB13+Factory!AB13</f>
        <v>27400</v>
      </c>
      <c r="AC13" s="37">
        <f>+'G&amp;A'!AC13+'S&amp;M'!AC13+Develop!AC13+Factory!AC13</f>
        <v>27400</v>
      </c>
      <c r="AD13" s="37"/>
      <c r="AE13" s="37">
        <f>+'G&amp;A'!AE13+'S&amp;M'!AE13+Develop!AE13+Factory!AE13</f>
        <v>28800</v>
      </c>
      <c r="AF13" s="37">
        <f>+'G&amp;A'!AF13+'S&amp;M'!AF13+Develop!AF13+Factory!AF13</f>
        <v>28800</v>
      </c>
      <c r="AG13" s="37">
        <f>+'G&amp;A'!AG13+'S&amp;M'!AG13+Develop!AG13+Factory!AG13</f>
        <v>28800</v>
      </c>
      <c r="AH13" s="37">
        <f>+'G&amp;A'!AH13+'S&amp;M'!AH13+Develop!AH13+Factory!AH13</f>
        <v>17700</v>
      </c>
      <c r="AI13" s="37">
        <f>+'G&amp;A'!AI13+'S&amp;M'!AI13+Develop!AI13+Factory!AI13</f>
        <v>17700</v>
      </c>
      <c r="AJ13" s="37">
        <f>+'G&amp;A'!AJ13+'S&amp;M'!AJ13+Develop!AJ13+Factory!AJ13</f>
        <v>17700</v>
      </c>
      <c r="AK13" s="37">
        <f>+'G&amp;A'!AK13+'S&amp;M'!AK13+Develop!AK13+Factory!AK13</f>
        <v>21300</v>
      </c>
      <c r="AL13" s="37">
        <f>+'G&amp;A'!AL13+'S&amp;M'!AL13+Develop!AL13+Factory!AL13</f>
        <v>21300</v>
      </c>
      <c r="AM13" s="37">
        <f>+'G&amp;A'!AM13+'S&amp;M'!AM13+Develop!AM13+Factory!AM13</f>
        <v>21300</v>
      </c>
      <c r="AN13" s="37">
        <f>+'G&amp;A'!AN13+'S&amp;M'!AN13+Develop!AN13+Factory!AN13</f>
        <v>21300</v>
      </c>
      <c r="AO13" s="37">
        <f>+'G&amp;A'!AO13+'S&amp;M'!AO13+Develop!AO13+Factory!AO13</f>
        <v>21300</v>
      </c>
      <c r="AP13" s="37">
        <f>+'G&amp;A'!AP13+'S&amp;M'!AP13+Develop!AP13+Factory!AP13</f>
        <v>21850</v>
      </c>
      <c r="AQ13" s="37"/>
      <c r="AR13" s="37">
        <f t="shared" si="36"/>
        <v>129600</v>
      </c>
      <c r="AS13" s="37">
        <f t="shared" si="37"/>
        <v>30150</v>
      </c>
      <c r="AT13" s="37">
        <f t="shared" si="38"/>
        <v>32250</v>
      </c>
      <c r="AU13" s="37">
        <f t="shared" si="39"/>
        <v>33600</v>
      </c>
      <c r="AV13" s="37">
        <f t="shared" si="40"/>
        <v>33600</v>
      </c>
      <c r="AW13" s="37"/>
      <c r="AX13" s="37">
        <f t="shared" si="41"/>
        <v>260950</v>
      </c>
      <c r="AY13" s="37">
        <f t="shared" si="42"/>
        <v>36950</v>
      </c>
      <c r="AZ13" s="37">
        <f t="shared" si="43"/>
        <v>59600</v>
      </c>
      <c r="BA13" s="37">
        <f t="shared" si="44"/>
        <v>82200</v>
      </c>
      <c r="BB13" s="37">
        <f t="shared" si="45"/>
        <v>82200</v>
      </c>
      <c r="BC13" s="37"/>
      <c r="BD13" s="37">
        <f t="shared" si="46"/>
        <v>267850</v>
      </c>
      <c r="BE13" s="37">
        <f t="shared" si="47"/>
        <v>86400</v>
      </c>
      <c r="BF13" s="37">
        <f t="shared" si="48"/>
        <v>53100</v>
      </c>
      <c r="BG13" s="37">
        <f t="shared" si="49"/>
        <v>63900</v>
      </c>
      <c r="BH13" s="37">
        <f t="shared" si="50"/>
        <v>64450</v>
      </c>
    </row>
    <row r="14" spans="1:60" s="16" customFormat="1" x14ac:dyDescent="0.25">
      <c r="B14" s="16" t="s">
        <v>21</v>
      </c>
      <c r="C14" s="20">
        <f>+'G&amp;A'!C14</f>
        <v>3.5000000000000003E-2</v>
      </c>
      <c r="E14" s="37">
        <f>+'G&amp;A'!E14+'S&amp;M'!E14+Develop!E14+Factory!E14</f>
        <v>2931.2500000000005</v>
      </c>
      <c r="F14" s="37">
        <f>+'G&amp;A'!F14+'S&amp;M'!F14+Develop!F14+Factory!F14</f>
        <v>2931.2500000000005</v>
      </c>
      <c r="G14" s="37">
        <f>+'G&amp;A'!G14+'S&amp;M'!G14+Develop!G14+Factory!G14</f>
        <v>2931.2500000000005</v>
      </c>
      <c r="H14" s="37">
        <f>+'G&amp;A'!H14+'S&amp;M'!H14+Develop!H14+Factory!H14</f>
        <v>3135.416666666667</v>
      </c>
      <c r="I14" s="37">
        <f>+'G&amp;A'!I14+'S&amp;M'!I14+Develop!I14+Factory!I14</f>
        <v>3135.416666666667</v>
      </c>
      <c r="J14" s="37">
        <f>+'G&amp;A'!J14+'S&amp;M'!J14+Develop!J14+Factory!J14</f>
        <v>3135.416666666667</v>
      </c>
      <c r="K14" s="37">
        <f>+'G&amp;A'!K14+'S&amp;M'!K14+Develop!K14+Factory!K14</f>
        <v>3266.666666666667</v>
      </c>
      <c r="L14" s="37">
        <f>+'G&amp;A'!L14+'S&amp;M'!L14+Develop!L14+Factory!L14</f>
        <v>3266.666666666667</v>
      </c>
      <c r="M14" s="37">
        <f>+'G&amp;A'!M14+'S&amp;M'!M14+Develop!M14+Factory!M14</f>
        <v>3266.666666666667</v>
      </c>
      <c r="N14" s="37">
        <f>+'G&amp;A'!N14+'S&amp;M'!N14+Develop!N14+Factory!N14</f>
        <v>3266.666666666667</v>
      </c>
      <c r="O14" s="37">
        <f>+'G&amp;A'!O14+'S&amp;M'!O14+Develop!O14+Factory!O14</f>
        <v>3266.666666666667</v>
      </c>
      <c r="P14" s="37">
        <f>+'G&amp;A'!P14+'S&amp;M'!P14+Develop!P14+Factory!P14</f>
        <v>3266.666666666667</v>
      </c>
      <c r="Q14" s="37"/>
      <c r="R14" s="37">
        <f>+'G&amp;A'!R14+'S&amp;M'!R14+Develop!R14+Factory!R14</f>
        <v>3427.0833333333335</v>
      </c>
      <c r="S14" s="37">
        <f>+'G&amp;A'!S14+'S&amp;M'!S14+Develop!S14+Factory!S14</f>
        <v>3427.0833333333335</v>
      </c>
      <c r="T14" s="37">
        <f>+'G&amp;A'!T14+'S&amp;M'!T14+Develop!T14+Factory!T14</f>
        <v>3922.916666666667</v>
      </c>
      <c r="U14" s="37">
        <f>+'G&amp;A'!U14+'S&amp;M'!U14+Develop!U14+Factory!U14</f>
        <v>4870.8333333333339</v>
      </c>
      <c r="V14" s="37">
        <f>+'G&amp;A'!V14+'S&amp;M'!V14+Develop!V14+Factory!V14</f>
        <v>5454.166666666667</v>
      </c>
      <c r="W14" s="37">
        <f>+'G&amp;A'!W14+'S&amp;M'!W14+Develop!W14+Factory!W14</f>
        <v>7058.3333333333339</v>
      </c>
      <c r="X14" s="37">
        <f>+'G&amp;A'!X14+'S&amp;M'!X14+Develop!X14+Factory!X14</f>
        <v>7991.6666666666679</v>
      </c>
      <c r="Y14" s="37">
        <f>+'G&amp;A'!Y14+'S&amp;M'!Y14+Develop!Y14+Factory!Y14</f>
        <v>7991.6666666666679</v>
      </c>
      <c r="Z14" s="37">
        <f>+'G&amp;A'!Z14+'S&amp;M'!Z14+Develop!Z14+Factory!Z14</f>
        <v>7991.6666666666679</v>
      </c>
      <c r="AA14" s="37">
        <f>+'G&amp;A'!AA14+'S&amp;M'!AA14+Develop!AA14+Factory!AA14</f>
        <v>7991.6666666666679</v>
      </c>
      <c r="AB14" s="37">
        <f>+'G&amp;A'!AB14+'S&amp;M'!AB14+Develop!AB14+Factory!AB14</f>
        <v>7991.6666666666679</v>
      </c>
      <c r="AC14" s="37">
        <f>+'G&amp;A'!AC14+'S&amp;M'!AC14+Develop!AC14+Factory!AC14</f>
        <v>7991.6666666666679</v>
      </c>
      <c r="AD14" s="37"/>
      <c r="AE14" s="37">
        <f>+'G&amp;A'!AE14+'S&amp;M'!AE14+Develop!AE14+Factory!AE14</f>
        <v>8400.0000000000018</v>
      </c>
      <c r="AF14" s="37">
        <f>+'G&amp;A'!AF14+'S&amp;M'!AF14+Develop!AF14+Factory!AF14</f>
        <v>8400.0000000000018</v>
      </c>
      <c r="AG14" s="37">
        <f>+'G&amp;A'!AG14+'S&amp;M'!AG14+Develop!AG14+Factory!AG14</f>
        <v>8400.0000000000018</v>
      </c>
      <c r="AH14" s="37">
        <f>+'G&amp;A'!AH14+'S&amp;M'!AH14+Develop!AH14+Factory!AH14</f>
        <v>5162.5000000000009</v>
      </c>
      <c r="AI14" s="37">
        <f>+'G&amp;A'!AI14+'S&amp;M'!AI14+Develop!AI14+Factory!AI14</f>
        <v>5162.5000000000009</v>
      </c>
      <c r="AJ14" s="37">
        <f>+'G&amp;A'!AJ14+'S&amp;M'!AJ14+Develop!AJ14+Factory!AJ14</f>
        <v>5162.5000000000009</v>
      </c>
      <c r="AK14" s="37">
        <f>+'G&amp;A'!AK14+'S&amp;M'!AK14+Develop!AK14+Factory!AK14</f>
        <v>6212.5000000000009</v>
      </c>
      <c r="AL14" s="37">
        <f>+'G&amp;A'!AL14+'S&amp;M'!AL14+Develop!AL14+Factory!AL14</f>
        <v>6212.5000000000009</v>
      </c>
      <c r="AM14" s="37">
        <f>+'G&amp;A'!AM14+'S&amp;M'!AM14+Develop!AM14+Factory!AM14</f>
        <v>6212.5000000000009</v>
      </c>
      <c r="AN14" s="37">
        <f>+'G&amp;A'!AN14+'S&amp;M'!AN14+Develop!AN14+Factory!AN14</f>
        <v>6212.5000000000009</v>
      </c>
      <c r="AO14" s="37">
        <f>+'G&amp;A'!AO14+'S&amp;M'!AO14+Develop!AO14+Factory!AO14</f>
        <v>6212.5000000000009</v>
      </c>
      <c r="AP14" s="37">
        <f>+'G&amp;A'!AP14+'S&amp;M'!AP14+Develop!AP14+Factory!AP14</f>
        <v>6372.916666666667</v>
      </c>
      <c r="AQ14" s="37"/>
      <c r="AR14" s="37">
        <f t="shared" si="36"/>
        <v>37800.000000000007</v>
      </c>
      <c r="AS14" s="37">
        <f t="shared" si="37"/>
        <v>8793.7500000000018</v>
      </c>
      <c r="AT14" s="37">
        <f t="shared" si="38"/>
        <v>9406.25</v>
      </c>
      <c r="AU14" s="37">
        <f t="shared" si="39"/>
        <v>9800</v>
      </c>
      <c r="AV14" s="37">
        <f t="shared" si="40"/>
        <v>9800</v>
      </c>
      <c r="AW14" s="37"/>
      <c r="AX14" s="37">
        <f t="shared" si="41"/>
        <v>76110.416666666701</v>
      </c>
      <c r="AY14" s="37">
        <f t="shared" si="42"/>
        <v>10777.083333333334</v>
      </c>
      <c r="AZ14" s="37">
        <f t="shared" si="43"/>
        <v>17383.333333333336</v>
      </c>
      <c r="BA14" s="37">
        <f t="shared" si="44"/>
        <v>23975.000000000004</v>
      </c>
      <c r="BB14" s="37">
        <f t="shared" si="45"/>
        <v>23975.000000000004</v>
      </c>
      <c r="BC14" s="37"/>
      <c r="BD14" s="37">
        <f t="shared" si="46"/>
        <v>78122.916666666686</v>
      </c>
      <c r="BE14" s="37">
        <f t="shared" si="47"/>
        <v>25200.000000000007</v>
      </c>
      <c r="BF14" s="37">
        <f t="shared" si="48"/>
        <v>15487.500000000004</v>
      </c>
      <c r="BG14" s="37">
        <f t="shared" si="49"/>
        <v>18637.500000000004</v>
      </c>
      <c r="BH14" s="37">
        <f t="shared" si="50"/>
        <v>18797.916666666668</v>
      </c>
    </row>
    <row r="15" spans="1:60" s="16" customFormat="1" x14ac:dyDescent="0.25">
      <c r="B15" s="16" t="s">
        <v>22</v>
      </c>
      <c r="C15" s="20">
        <f>+'G&amp;A'!C15</f>
        <v>0</v>
      </c>
      <c r="E15" s="37">
        <f>+'G&amp;A'!E15+'S&amp;M'!E15+Develop!E15+Factory!E15</f>
        <v>0</v>
      </c>
      <c r="F15" s="37">
        <f>+'G&amp;A'!F15+'S&amp;M'!F15+Develop!F15+Factory!F15</f>
        <v>0</v>
      </c>
      <c r="G15" s="37">
        <f>+'G&amp;A'!G15+'S&amp;M'!G15+Develop!G15+Factory!G15</f>
        <v>0</v>
      </c>
      <c r="H15" s="37">
        <f>+'G&amp;A'!H15+'S&amp;M'!H15+Develop!H15+Factory!H15</f>
        <v>0</v>
      </c>
      <c r="I15" s="37">
        <f>+'G&amp;A'!I15+'S&amp;M'!I15+Develop!I15+Factory!I15</f>
        <v>0</v>
      </c>
      <c r="J15" s="37">
        <f>+'G&amp;A'!J15+'S&amp;M'!J15+Develop!J15+Factory!J15</f>
        <v>0</v>
      </c>
      <c r="K15" s="37">
        <f>+'G&amp;A'!K15+'S&amp;M'!K15+Develop!K15+Factory!K15</f>
        <v>0</v>
      </c>
      <c r="L15" s="37">
        <f>+'G&amp;A'!L15+'S&amp;M'!L15+Develop!L15+Factory!L15</f>
        <v>0</v>
      </c>
      <c r="M15" s="37">
        <f>+'G&amp;A'!M15+'S&amp;M'!M15+Develop!M15+Factory!M15</f>
        <v>0</v>
      </c>
      <c r="N15" s="37">
        <f>+'G&amp;A'!N15+'S&amp;M'!N15+Develop!N15+Factory!N15</f>
        <v>0</v>
      </c>
      <c r="O15" s="37">
        <f>+'G&amp;A'!O15+'S&amp;M'!O15+Develop!O15+Factory!O15</f>
        <v>0</v>
      </c>
      <c r="P15" s="37">
        <f>+'G&amp;A'!P15+'S&amp;M'!P15+Develop!P15+Factory!P15</f>
        <v>0</v>
      </c>
      <c r="Q15" s="37"/>
      <c r="R15" s="37">
        <f>+'G&amp;A'!R15+'S&amp;M'!R15+Develop!R15+Factory!R15</f>
        <v>0</v>
      </c>
      <c r="S15" s="37">
        <f>+'G&amp;A'!S15+'S&amp;M'!S15+Develop!S15+Factory!S15</f>
        <v>0</v>
      </c>
      <c r="T15" s="37">
        <f>+'G&amp;A'!T15+'S&amp;M'!T15+Develop!T15+Factory!T15</f>
        <v>0</v>
      </c>
      <c r="U15" s="37">
        <f>+'G&amp;A'!U15+'S&amp;M'!U15+Develop!U15+Factory!U15</f>
        <v>0</v>
      </c>
      <c r="V15" s="37">
        <f>+'G&amp;A'!V15+'S&amp;M'!V15+Develop!V15+Factory!V15</f>
        <v>0</v>
      </c>
      <c r="W15" s="37">
        <f>+'G&amp;A'!W15+'S&amp;M'!W15+Develop!W15+Factory!W15</f>
        <v>0</v>
      </c>
      <c r="X15" s="37">
        <f>+'G&amp;A'!X15+'S&amp;M'!X15+Develop!X15+Factory!X15</f>
        <v>0</v>
      </c>
      <c r="Y15" s="37">
        <f>+'G&amp;A'!Y15+'S&amp;M'!Y15+Develop!Y15+Factory!Y15</f>
        <v>0</v>
      </c>
      <c r="Z15" s="37">
        <f>+'G&amp;A'!Z15+'S&amp;M'!Z15+Develop!Z15+Factory!Z15</f>
        <v>0</v>
      </c>
      <c r="AA15" s="37">
        <f>+'G&amp;A'!AA15+'S&amp;M'!AA15+Develop!AA15+Factory!AA15</f>
        <v>0</v>
      </c>
      <c r="AB15" s="37">
        <f>+'G&amp;A'!AB15+'S&amp;M'!AB15+Develop!AB15+Factory!AB15</f>
        <v>0</v>
      </c>
      <c r="AC15" s="37">
        <f>+'G&amp;A'!AC15+'S&amp;M'!AC15+Develop!AC15+Factory!AC15</f>
        <v>0</v>
      </c>
      <c r="AD15" s="37"/>
      <c r="AE15" s="37">
        <f>+'G&amp;A'!AE15+'S&amp;M'!AE15+Develop!AE15+Factory!AE15</f>
        <v>0</v>
      </c>
      <c r="AF15" s="37">
        <f>+'G&amp;A'!AF15+'S&amp;M'!AF15+Develop!AF15+Factory!AF15</f>
        <v>0</v>
      </c>
      <c r="AG15" s="37">
        <f>+'G&amp;A'!AG15+'S&amp;M'!AG15+Develop!AG15+Factory!AG15</f>
        <v>0</v>
      </c>
      <c r="AH15" s="37">
        <f>+'G&amp;A'!AH15+'S&amp;M'!AH15+Develop!AH15+Factory!AH15</f>
        <v>0</v>
      </c>
      <c r="AI15" s="37">
        <f>+'G&amp;A'!AI15+'S&amp;M'!AI15+Develop!AI15+Factory!AI15</f>
        <v>0</v>
      </c>
      <c r="AJ15" s="37">
        <f>+'G&amp;A'!AJ15+'S&amp;M'!AJ15+Develop!AJ15+Factory!AJ15</f>
        <v>0</v>
      </c>
      <c r="AK15" s="37">
        <f>+'G&amp;A'!AK15+'S&amp;M'!AK15+Develop!AK15+Factory!AK15</f>
        <v>0</v>
      </c>
      <c r="AL15" s="37">
        <f>+'G&amp;A'!AL15+'S&amp;M'!AL15+Develop!AL15+Factory!AL15</f>
        <v>0</v>
      </c>
      <c r="AM15" s="37">
        <f>+'G&amp;A'!AM15+'S&amp;M'!AM15+Develop!AM15+Factory!AM15</f>
        <v>0</v>
      </c>
      <c r="AN15" s="37">
        <f>+'G&amp;A'!AN15+'S&amp;M'!AN15+Develop!AN15+Factory!AN15</f>
        <v>0</v>
      </c>
      <c r="AO15" s="37">
        <f>+'G&amp;A'!AO15+'S&amp;M'!AO15+Develop!AO15+Factory!AO15</f>
        <v>0</v>
      </c>
      <c r="AP15" s="37">
        <f>+'G&amp;A'!AP15+'S&amp;M'!AP15+Develop!AP15+Factory!AP15</f>
        <v>0</v>
      </c>
      <c r="AQ15" s="37"/>
      <c r="AR15" s="37">
        <f t="shared" si="36"/>
        <v>0</v>
      </c>
      <c r="AS15" s="37">
        <f t="shared" si="37"/>
        <v>0</v>
      </c>
      <c r="AT15" s="37">
        <f t="shared" si="38"/>
        <v>0</v>
      </c>
      <c r="AU15" s="37">
        <f t="shared" si="39"/>
        <v>0</v>
      </c>
      <c r="AV15" s="37">
        <f t="shared" si="40"/>
        <v>0</v>
      </c>
      <c r="AW15" s="37"/>
      <c r="AX15" s="37">
        <f t="shared" si="41"/>
        <v>0</v>
      </c>
      <c r="AY15" s="37">
        <f t="shared" si="42"/>
        <v>0</v>
      </c>
      <c r="AZ15" s="37">
        <f t="shared" si="43"/>
        <v>0</v>
      </c>
      <c r="BA15" s="37">
        <f t="shared" si="44"/>
        <v>0</v>
      </c>
      <c r="BB15" s="37">
        <f t="shared" si="45"/>
        <v>0</v>
      </c>
      <c r="BC15" s="37"/>
      <c r="BD15" s="37">
        <f t="shared" si="46"/>
        <v>0</v>
      </c>
      <c r="BE15" s="37">
        <f t="shared" si="47"/>
        <v>0</v>
      </c>
      <c r="BF15" s="37">
        <f t="shared" si="48"/>
        <v>0</v>
      </c>
      <c r="BG15" s="37">
        <f t="shared" si="49"/>
        <v>0</v>
      </c>
      <c r="BH15" s="37">
        <f t="shared" si="50"/>
        <v>0</v>
      </c>
    </row>
    <row r="16" spans="1:60" s="16" customFormat="1" x14ac:dyDescent="0.25">
      <c r="E16" s="37"/>
      <c r="F16" s="37"/>
      <c r="G16" s="37"/>
      <c r="H16" s="37"/>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row>
    <row r="17" spans="2:60" s="16" customFormat="1" x14ac:dyDescent="0.25">
      <c r="B17" s="16" t="s">
        <v>23</v>
      </c>
      <c r="C17" s="21">
        <f>SUM(C11:C16)</f>
        <v>0.27300000000000002</v>
      </c>
      <c r="E17" s="38">
        <f>SUBTOTAL(9,E11:E16)</f>
        <v>22863.75</v>
      </c>
      <c r="F17" s="38">
        <f t="shared" ref="F17:O17" si="51">SUBTOTAL(9,F11:F16)</f>
        <v>22863.75</v>
      </c>
      <c r="G17" s="38">
        <f t="shared" si="51"/>
        <v>22863.75</v>
      </c>
      <c r="H17" s="38">
        <f t="shared" si="51"/>
        <v>24456.250000000004</v>
      </c>
      <c r="I17" s="38">
        <f t="shared" si="51"/>
        <v>24456.250000000004</v>
      </c>
      <c r="J17" s="38">
        <f t="shared" si="51"/>
        <v>24456.250000000004</v>
      </c>
      <c r="K17" s="38">
        <f t="shared" si="51"/>
        <v>25480.000000000004</v>
      </c>
      <c r="L17" s="38">
        <f t="shared" si="51"/>
        <v>25480.000000000004</v>
      </c>
      <c r="M17" s="38">
        <f t="shared" si="51"/>
        <v>25480.000000000004</v>
      </c>
      <c r="N17" s="38">
        <f t="shared" si="51"/>
        <v>25480.000000000004</v>
      </c>
      <c r="O17" s="38">
        <f t="shared" si="51"/>
        <v>25480.000000000004</v>
      </c>
      <c r="P17" s="38">
        <f t="shared" ref="P17" si="52">SUBTOTAL(9,P13:P16)</f>
        <v>14466.666666666668</v>
      </c>
      <c r="Q17" s="37"/>
      <c r="R17" s="38">
        <f>SUBTOTAL(9,R11:R16)</f>
        <v>26731.25</v>
      </c>
      <c r="S17" s="38">
        <f t="shared" ref="S17:AC17" si="53">SUBTOTAL(9,S11:S16)</f>
        <v>26731.25</v>
      </c>
      <c r="T17" s="38">
        <f t="shared" si="53"/>
        <v>30598.75</v>
      </c>
      <c r="U17" s="38">
        <f t="shared" si="53"/>
        <v>37992.5</v>
      </c>
      <c r="V17" s="38">
        <f t="shared" si="53"/>
        <v>42542.499999999993</v>
      </c>
      <c r="W17" s="38">
        <f t="shared" si="53"/>
        <v>55055.000000000007</v>
      </c>
      <c r="X17" s="38">
        <f t="shared" si="53"/>
        <v>62335</v>
      </c>
      <c r="Y17" s="38">
        <f t="shared" si="53"/>
        <v>62335</v>
      </c>
      <c r="Z17" s="38">
        <f t="shared" si="53"/>
        <v>62335</v>
      </c>
      <c r="AA17" s="38">
        <f t="shared" si="53"/>
        <v>62335</v>
      </c>
      <c r="AB17" s="38">
        <f t="shared" si="53"/>
        <v>62335</v>
      </c>
      <c r="AC17" s="38">
        <f t="shared" si="53"/>
        <v>62335</v>
      </c>
      <c r="AD17" s="37"/>
      <c r="AE17" s="38">
        <f>SUBTOTAL(9,AE11:AE16)</f>
        <v>65520</v>
      </c>
      <c r="AF17" s="38">
        <f t="shared" ref="AF17:AP17" si="54">SUBTOTAL(9,AF11:AF16)</f>
        <v>65520</v>
      </c>
      <c r="AG17" s="38">
        <f t="shared" si="54"/>
        <v>65520</v>
      </c>
      <c r="AH17" s="38">
        <f t="shared" si="54"/>
        <v>40267.5</v>
      </c>
      <c r="AI17" s="38">
        <f t="shared" si="54"/>
        <v>40267.5</v>
      </c>
      <c r="AJ17" s="38">
        <f t="shared" si="54"/>
        <v>40267.5</v>
      </c>
      <c r="AK17" s="38">
        <f t="shared" si="54"/>
        <v>48457.5</v>
      </c>
      <c r="AL17" s="38">
        <f t="shared" si="54"/>
        <v>48457.5</v>
      </c>
      <c r="AM17" s="38">
        <f t="shared" si="54"/>
        <v>48457.5</v>
      </c>
      <c r="AN17" s="38">
        <f t="shared" si="54"/>
        <v>48457.5</v>
      </c>
      <c r="AO17" s="38">
        <f t="shared" si="54"/>
        <v>48457.5</v>
      </c>
      <c r="AP17" s="38">
        <f t="shared" si="54"/>
        <v>49708.749999999993</v>
      </c>
      <c r="AQ17" s="37"/>
      <c r="AR17" s="38">
        <f t="shared" ref="AR17:AV18" si="55">SUBTOTAL(9,AR13:AR16)</f>
        <v>167400</v>
      </c>
      <c r="AS17" s="38">
        <f t="shared" si="55"/>
        <v>38943.75</v>
      </c>
      <c r="AT17" s="38">
        <f t="shared" si="55"/>
        <v>41656.25</v>
      </c>
      <c r="AU17" s="38">
        <f t="shared" si="55"/>
        <v>43400</v>
      </c>
      <c r="AV17" s="38">
        <f t="shared" si="55"/>
        <v>43400</v>
      </c>
      <c r="AW17" s="37"/>
      <c r="AX17" s="38">
        <f t="shared" ref="AX17:BB18" si="56">SUBTOTAL(9,AX13:AX16)</f>
        <v>337060.41666666669</v>
      </c>
      <c r="AY17" s="38">
        <f t="shared" si="56"/>
        <v>47727.083333333336</v>
      </c>
      <c r="AZ17" s="38">
        <f t="shared" si="56"/>
        <v>76983.333333333343</v>
      </c>
      <c r="BA17" s="38">
        <f t="shared" si="56"/>
        <v>106175</v>
      </c>
      <c r="BB17" s="38">
        <f t="shared" si="56"/>
        <v>106175</v>
      </c>
      <c r="BC17" s="37"/>
      <c r="BD17" s="38">
        <f t="shared" ref="BD17:BH18" si="57">SUBTOTAL(9,BD13:BD16)</f>
        <v>345972.91666666669</v>
      </c>
      <c r="BE17" s="38">
        <f t="shared" si="57"/>
        <v>111600</v>
      </c>
      <c r="BF17" s="38">
        <f t="shared" si="57"/>
        <v>68587.5</v>
      </c>
      <c r="BG17" s="38">
        <f t="shared" si="57"/>
        <v>82537.5</v>
      </c>
      <c r="BH17" s="38">
        <f t="shared" si="57"/>
        <v>83247.916666666672</v>
      </c>
    </row>
    <row r="18" spans="2:60" s="16" customFormat="1" x14ac:dyDescent="0.25">
      <c r="B18" s="16" t="s">
        <v>24</v>
      </c>
      <c r="E18" s="38">
        <f>SUBTOTAL(9,E5:E16)</f>
        <v>119530.41666666667</v>
      </c>
      <c r="F18" s="38">
        <f t="shared" ref="F18:O18" si="58">SUBTOTAL(9,F5:F16)</f>
        <v>119530.41666666667</v>
      </c>
      <c r="G18" s="38">
        <f t="shared" si="58"/>
        <v>119530.41666666667</v>
      </c>
      <c r="H18" s="38">
        <f t="shared" si="58"/>
        <v>126956.25000000001</v>
      </c>
      <c r="I18" s="38">
        <f t="shared" si="58"/>
        <v>126956.25000000001</v>
      </c>
      <c r="J18" s="38">
        <f t="shared" si="58"/>
        <v>126956.25000000001</v>
      </c>
      <c r="K18" s="38">
        <f t="shared" si="58"/>
        <v>131730</v>
      </c>
      <c r="L18" s="38">
        <f t="shared" si="58"/>
        <v>131730</v>
      </c>
      <c r="M18" s="38">
        <f t="shared" si="58"/>
        <v>131730</v>
      </c>
      <c r="N18" s="38">
        <f t="shared" si="58"/>
        <v>131730</v>
      </c>
      <c r="O18" s="38">
        <f t="shared" si="58"/>
        <v>131730</v>
      </c>
      <c r="P18" s="38">
        <f t="shared" ref="P18" si="59">SUBTOTAL(9,P14:P17)</f>
        <v>3266.666666666667</v>
      </c>
      <c r="Q18" s="37"/>
      <c r="R18" s="38">
        <f>SUBTOTAL(9,R5:R16)</f>
        <v>137564.58333333334</v>
      </c>
      <c r="S18" s="38">
        <f t="shared" ref="S18:AC18" si="60">SUBTOTAL(9,S5:S16)</f>
        <v>137564.58333333334</v>
      </c>
      <c r="T18" s="38">
        <f t="shared" si="60"/>
        <v>155598.74999999997</v>
      </c>
      <c r="U18" s="38">
        <f t="shared" si="60"/>
        <v>190075.83333333331</v>
      </c>
      <c r="V18" s="38">
        <f t="shared" si="60"/>
        <v>211292.49999999997</v>
      </c>
      <c r="W18" s="38">
        <f t="shared" si="60"/>
        <v>269638.33333333331</v>
      </c>
      <c r="X18" s="38">
        <f t="shared" si="60"/>
        <v>303585.00000000006</v>
      </c>
      <c r="Y18" s="38">
        <f t="shared" si="60"/>
        <v>303585.00000000006</v>
      </c>
      <c r="Z18" s="38">
        <f t="shared" si="60"/>
        <v>303585.00000000006</v>
      </c>
      <c r="AA18" s="38">
        <f t="shared" si="60"/>
        <v>303585.00000000006</v>
      </c>
      <c r="AB18" s="38">
        <f t="shared" si="60"/>
        <v>303585.00000000006</v>
      </c>
      <c r="AC18" s="38">
        <f t="shared" si="60"/>
        <v>303585.00000000006</v>
      </c>
      <c r="AD18" s="37"/>
      <c r="AE18" s="38">
        <f>SUBTOTAL(9,AE5:AE16)</f>
        <v>318436.66666666669</v>
      </c>
      <c r="AF18" s="38">
        <f t="shared" ref="AF18:AP18" si="61">SUBTOTAL(9,AF5:AF16)</f>
        <v>318436.66666666669</v>
      </c>
      <c r="AG18" s="38">
        <f t="shared" si="61"/>
        <v>318436.66666666669</v>
      </c>
      <c r="AH18" s="38">
        <f t="shared" si="61"/>
        <v>200684.16666666666</v>
      </c>
      <c r="AI18" s="38">
        <f t="shared" si="61"/>
        <v>200684.16666666666</v>
      </c>
      <c r="AJ18" s="38">
        <f t="shared" si="61"/>
        <v>200684.16666666666</v>
      </c>
      <c r="AK18" s="38">
        <f t="shared" si="61"/>
        <v>238874.16666666666</v>
      </c>
      <c r="AL18" s="38">
        <f t="shared" si="61"/>
        <v>238874.16666666666</v>
      </c>
      <c r="AM18" s="38">
        <f t="shared" si="61"/>
        <v>238874.16666666666</v>
      </c>
      <c r="AN18" s="38">
        <f t="shared" si="61"/>
        <v>238874.16666666666</v>
      </c>
      <c r="AO18" s="38">
        <f t="shared" si="61"/>
        <v>238874.16666666666</v>
      </c>
      <c r="AP18" s="38">
        <f t="shared" si="61"/>
        <v>244708.74999999997</v>
      </c>
      <c r="AQ18" s="37"/>
      <c r="AR18" s="38">
        <f t="shared" si="55"/>
        <v>37800.000000000007</v>
      </c>
      <c r="AS18" s="38">
        <f t="shared" si="55"/>
        <v>8793.7500000000018</v>
      </c>
      <c r="AT18" s="38">
        <f t="shared" si="55"/>
        <v>9406.25</v>
      </c>
      <c r="AU18" s="38">
        <f t="shared" si="55"/>
        <v>9800</v>
      </c>
      <c r="AV18" s="38">
        <f t="shared" si="55"/>
        <v>9800</v>
      </c>
      <c r="AW18" s="37"/>
      <c r="AX18" s="38">
        <f t="shared" si="56"/>
        <v>76110.416666666701</v>
      </c>
      <c r="AY18" s="38">
        <f t="shared" si="56"/>
        <v>10777.083333333334</v>
      </c>
      <c r="AZ18" s="38">
        <f t="shared" si="56"/>
        <v>17383.333333333336</v>
      </c>
      <c r="BA18" s="38">
        <f t="shared" si="56"/>
        <v>23975.000000000004</v>
      </c>
      <c r="BB18" s="38">
        <f t="shared" si="56"/>
        <v>23975.000000000004</v>
      </c>
      <c r="BC18" s="37"/>
      <c r="BD18" s="38">
        <f t="shared" si="57"/>
        <v>78122.916666666686</v>
      </c>
      <c r="BE18" s="38">
        <f t="shared" si="57"/>
        <v>25200.000000000007</v>
      </c>
      <c r="BF18" s="38">
        <f t="shared" si="57"/>
        <v>15487.500000000004</v>
      </c>
      <c r="BG18" s="38">
        <f t="shared" si="57"/>
        <v>18637.500000000004</v>
      </c>
      <c r="BH18" s="38">
        <f t="shared" si="57"/>
        <v>18797.916666666668</v>
      </c>
    </row>
    <row r="19" spans="2:60" s="16" customFormat="1" x14ac:dyDescent="0.25">
      <c r="E19" s="37"/>
      <c r="F19" s="37"/>
      <c r="G19" s="37"/>
      <c r="H19" s="37"/>
      <c r="I19" s="37"/>
      <c r="J19" s="37"/>
      <c r="K19" s="37"/>
      <c r="L19" s="37"/>
      <c r="M19" s="37"/>
      <c r="N19" s="37"/>
      <c r="O19" s="37"/>
      <c r="P19" s="37"/>
      <c r="Q19" s="37"/>
      <c r="R19" s="37"/>
      <c r="S19" s="37"/>
      <c r="T19" s="37"/>
      <c r="U19" s="37"/>
      <c r="V19" s="37"/>
      <c r="W19" s="37"/>
      <c r="X19" s="37"/>
      <c r="Y19" s="37"/>
      <c r="Z19" s="37"/>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row>
    <row r="20" spans="2:60" s="16" customFormat="1" x14ac:dyDescent="0.25">
      <c r="B20" s="16" t="s">
        <v>25</v>
      </c>
      <c r="E20" s="37">
        <f>+'G&amp;A'!E20+'S&amp;M'!E20+Develop!E20+Factory!E20</f>
        <v>16350</v>
      </c>
      <c r="F20" s="37">
        <f>+'G&amp;A'!F20+'S&amp;M'!F20+Develop!F20+Factory!F20</f>
        <v>0</v>
      </c>
      <c r="G20" s="37">
        <f>+'G&amp;A'!G20+'S&amp;M'!G20+Develop!G20+Factory!G20</f>
        <v>0</v>
      </c>
      <c r="H20" s="37">
        <f>+'G&amp;A'!H20+'S&amp;M'!H20+Develop!H20+Factory!H20</f>
        <v>0</v>
      </c>
      <c r="I20" s="37">
        <f>+'G&amp;A'!I20+'S&amp;M'!I20+Develop!I20+Factory!I20</f>
        <v>0</v>
      </c>
      <c r="J20" s="37">
        <f>+'G&amp;A'!J20+'S&amp;M'!J20+Develop!J20+Factory!J20</f>
        <v>0</v>
      </c>
      <c r="K20" s="37">
        <f>+'G&amp;A'!K20+'S&amp;M'!K20+Develop!K20+Factory!K20</f>
        <v>0</v>
      </c>
      <c r="L20" s="37">
        <f>+'G&amp;A'!L20+'S&amp;M'!L20+Develop!L20+Factory!L20</f>
        <v>0</v>
      </c>
      <c r="M20" s="37">
        <f>+'G&amp;A'!M20+'S&amp;M'!M20+Develop!M20+Factory!M20</f>
        <v>0</v>
      </c>
      <c r="N20" s="37">
        <f>+'G&amp;A'!N20+'S&amp;M'!N20+Develop!N20+Factory!N20</f>
        <v>0</v>
      </c>
      <c r="O20" s="37">
        <f>+'G&amp;A'!O20+'S&amp;M'!O20+Develop!O20+Factory!O20</f>
        <v>0</v>
      </c>
      <c r="P20" s="37">
        <f>+'G&amp;A'!P20+'S&amp;M'!P20+Develop!P20+Factory!P20</f>
        <v>0</v>
      </c>
      <c r="Q20" s="37"/>
      <c r="R20" s="37">
        <f>+'G&amp;A'!R20+'S&amp;M'!R20+Develop!R20+Factory!R20</f>
        <v>16350</v>
      </c>
      <c r="S20" s="37">
        <f>+'G&amp;A'!S20+'S&amp;M'!S20+Develop!S20+Factory!S20</f>
        <v>0</v>
      </c>
      <c r="T20" s="37">
        <f>+'G&amp;A'!T20+'S&amp;M'!T20+Develop!T20+Factory!T20</f>
        <v>0</v>
      </c>
      <c r="U20" s="37">
        <f>+'G&amp;A'!U20+'S&amp;M'!U20+Develop!U20+Factory!U20</f>
        <v>0</v>
      </c>
      <c r="V20" s="37">
        <f>+'G&amp;A'!V20+'S&amp;M'!V20+Develop!V20+Factory!V20</f>
        <v>0</v>
      </c>
      <c r="W20" s="37">
        <f>+'G&amp;A'!W20+'S&amp;M'!W20+Develop!W20+Factory!W20</f>
        <v>0</v>
      </c>
      <c r="X20" s="37">
        <f>+'G&amp;A'!X20+'S&amp;M'!X20+Develop!X20+Factory!X20</f>
        <v>0</v>
      </c>
      <c r="Y20" s="37">
        <f>+'G&amp;A'!Y20+'S&amp;M'!Y20+Develop!Y20+Factory!Y20</f>
        <v>0</v>
      </c>
      <c r="Z20" s="37">
        <f>+'G&amp;A'!Z20+'S&amp;M'!Z20+Develop!Z20+Factory!Z20</f>
        <v>0</v>
      </c>
      <c r="AA20" s="37">
        <f>+'G&amp;A'!AA20+'S&amp;M'!AA20+Develop!AA20+Factory!AA20</f>
        <v>0</v>
      </c>
      <c r="AB20" s="37">
        <f>+'G&amp;A'!AB20+'S&amp;M'!AB20+Develop!AB20+Factory!AB20</f>
        <v>0</v>
      </c>
      <c r="AC20" s="37">
        <f>+'G&amp;A'!AC20+'S&amp;M'!AC20+Develop!AC20+Factory!AC20</f>
        <v>0</v>
      </c>
      <c r="AD20" s="37"/>
      <c r="AE20" s="37">
        <f>+'G&amp;A'!AE20+'S&amp;M'!AE20+Develop!AE20+Factory!AE20</f>
        <v>16350</v>
      </c>
      <c r="AF20" s="37">
        <f>+'G&amp;A'!AF20+'S&amp;M'!AF20+Develop!AF20+Factory!AF20</f>
        <v>0</v>
      </c>
      <c r="AG20" s="37">
        <f>+'G&amp;A'!AG20+'S&amp;M'!AG20+Develop!AG20+Factory!AG20</f>
        <v>0</v>
      </c>
      <c r="AH20" s="37">
        <f>+'G&amp;A'!AH20+'S&amp;M'!AH20+Develop!AH20+Factory!AH20</f>
        <v>0</v>
      </c>
      <c r="AI20" s="37">
        <f>+'G&amp;A'!AI20+'S&amp;M'!AI20+Develop!AI20+Factory!AI20</f>
        <v>0</v>
      </c>
      <c r="AJ20" s="37">
        <f>+'G&amp;A'!AJ20+'S&amp;M'!AJ20+Develop!AJ20+Factory!AJ20</f>
        <v>0</v>
      </c>
      <c r="AK20" s="37">
        <f>+'G&amp;A'!AK20+'S&amp;M'!AK20+Develop!AK20+Factory!AK20</f>
        <v>0</v>
      </c>
      <c r="AL20" s="37">
        <f>+'G&amp;A'!AL20+'S&amp;M'!AL20+Develop!AL20+Factory!AL20</f>
        <v>0</v>
      </c>
      <c r="AM20" s="37">
        <f>+'G&amp;A'!AM20+'S&amp;M'!AM20+Develop!AM20+Factory!AM20</f>
        <v>0</v>
      </c>
      <c r="AN20" s="37">
        <f>+'G&amp;A'!AN20+'S&amp;M'!AN20+Develop!AN20+Factory!AN20</f>
        <v>0</v>
      </c>
      <c r="AO20" s="37">
        <f>+'G&amp;A'!AO20+'S&amp;M'!AO20+Develop!AO20+Factory!AO20</f>
        <v>0</v>
      </c>
      <c r="AP20" s="37">
        <f>+'G&amp;A'!AP20+'S&amp;M'!AP20+Develop!AP20+Factory!AP20</f>
        <v>0</v>
      </c>
      <c r="AQ20" s="37"/>
      <c r="AR20" s="37">
        <f t="shared" ref="AR20" si="62">SUM(E20:P20)</f>
        <v>16350</v>
      </c>
      <c r="AS20" s="37">
        <f t="shared" ref="AS20" si="63">SUM(E20:G20)</f>
        <v>16350</v>
      </c>
      <c r="AT20" s="37">
        <f t="shared" ref="AT20" si="64">SUM(H20:J20)</f>
        <v>0</v>
      </c>
      <c r="AU20" s="37">
        <f t="shared" ref="AU20" si="65">SUM(K20:M20)</f>
        <v>0</v>
      </c>
      <c r="AV20" s="37">
        <f t="shared" ref="AV20" si="66">SUM(N20:P20)</f>
        <v>0</v>
      </c>
      <c r="AW20" s="37"/>
      <c r="AX20" s="37">
        <f t="shared" ref="AX20" si="67">SUM(R20:AC20)</f>
        <v>16350</v>
      </c>
      <c r="AY20" s="37">
        <f t="shared" ref="AY20" si="68">SUM(R20:T20)</f>
        <v>16350</v>
      </c>
      <c r="AZ20" s="37">
        <f t="shared" ref="AZ20" si="69">SUM(U20:W20)</f>
        <v>0</v>
      </c>
      <c r="BA20" s="37">
        <f t="shared" ref="BA20" si="70">SUM(X20:Z20)</f>
        <v>0</v>
      </c>
      <c r="BB20" s="37">
        <f t="shared" ref="BB20" si="71">SUM(AA20:AC20)</f>
        <v>0</v>
      </c>
      <c r="BC20" s="37"/>
      <c r="BD20" s="37">
        <f t="shared" ref="BD20" si="72">SUM(AE20:AP20)</f>
        <v>16350</v>
      </c>
      <c r="BE20" s="37">
        <f t="shared" ref="BE20" si="73">SUM(AE20:AG20)</f>
        <v>16350</v>
      </c>
      <c r="BF20" s="37">
        <f t="shared" ref="BF20" si="74">SUM(AH20:AJ20)</f>
        <v>0</v>
      </c>
      <c r="BG20" s="37">
        <f t="shared" ref="BG20" si="75">SUM(AK20:AM20)</f>
        <v>0</v>
      </c>
      <c r="BH20" s="37">
        <f t="shared" ref="BH20" si="76">SUM(AN20:AP20)</f>
        <v>0</v>
      </c>
    </row>
    <row r="21" spans="2:60" s="16" customFormat="1" x14ac:dyDescent="0.25">
      <c r="B21" s="16" t="s">
        <v>26</v>
      </c>
      <c r="E21" s="37">
        <f>+'G&amp;A'!E21+'S&amp;M'!E21+Develop!E21+Factory!E21</f>
        <v>700</v>
      </c>
      <c r="F21" s="37">
        <f>+'G&amp;A'!F21+'S&amp;M'!F21+Develop!F21+Factory!F21</f>
        <v>700</v>
      </c>
      <c r="G21" s="37">
        <f>+'G&amp;A'!G21+'S&amp;M'!G21+Develop!G21+Factory!G21</f>
        <v>700</v>
      </c>
      <c r="H21" s="37">
        <f>+'G&amp;A'!H21+'S&amp;M'!H21+Develop!H21+Factory!H21</f>
        <v>700</v>
      </c>
      <c r="I21" s="37">
        <f>+'G&amp;A'!I21+'S&amp;M'!I21+Develop!I21+Factory!I21</f>
        <v>700</v>
      </c>
      <c r="J21" s="37">
        <f>+'G&amp;A'!J21+'S&amp;M'!J21+Develop!J21+Factory!J21</f>
        <v>700</v>
      </c>
      <c r="K21" s="37">
        <f>+'G&amp;A'!K21+'S&amp;M'!K21+Develop!K21+Factory!K21</f>
        <v>700</v>
      </c>
      <c r="L21" s="37">
        <f>+'G&amp;A'!L21+'S&amp;M'!L21+Develop!L21+Factory!L21</f>
        <v>700</v>
      </c>
      <c r="M21" s="37">
        <f>+'G&amp;A'!M21+'S&amp;M'!M21+Develop!M21+Factory!M21</f>
        <v>700</v>
      </c>
      <c r="N21" s="37">
        <f>+'G&amp;A'!N21+'S&amp;M'!N21+Develop!N21+Factory!N21</f>
        <v>700</v>
      </c>
      <c r="O21" s="37">
        <f>+'G&amp;A'!O21+'S&amp;M'!O21+Develop!O21+Factory!O21</f>
        <v>700</v>
      </c>
      <c r="P21" s="37">
        <f>+'G&amp;A'!P21+'S&amp;M'!P21+Develop!P21+Factory!P21</f>
        <v>700</v>
      </c>
      <c r="Q21" s="37"/>
      <c r="R21" s="37">
        <f>+'G&amp;A'!R21+'S&amp;M'!R21+Develop!R21+Factory!R21</f>
        <v>700</v>
      </c>
      <c r="S21" s="37">
        <f>+'G&amp;A'!S21+'S&amp;M'!S21+Develop!S21+Factory!S21</f>
        <v>700</v>
      </c>
      <c r="T21" s="37">
        <f>+'G&amp;A'!T21+'S&amp;M'!T21+Develop!T21+Factory!T21</f>
        <v>700</v>
      </c>
      <c r="U21" s="37">
        <f>+'G&amp;A'!U21+'S&amp;M'!U21+Develop!U21+Factory!U21</f>
        <v>700</v>
      </c>
      <c r="V21" s="37">
        <f>+'G&amp;A'!V21+'S&amp;M'!V21+Develop!V21+Factory!V21</f>
        <v>6000</v>
      </c>
      <c r="W21" s="37">
        <f>+'G&amp;A'!W21+'S&amp;M'!W21+Develop!W21+Factory!W21</f>
        <v>1000</v>
      </c>
      <c r="X21" s="37">
        <f>+'G&amp;A'!X21+'S&amp;M'!X21+Develop!X21+Factory!X21</f>
        <v>1000</v>
      </c>
      <c r="Y21" s="37">
        <f>+'G&amp;A'!Y21+'S&amp;M'!Y21+Develop!Y21+Factory!Y21</f>
        <v>1000</v>
      </c>
      <c r="Z21" s="37">
        <f>+'G&amp;A'!Z21+'S&amp;M'!Z21+Develop!Z21+Factory!Z21</f>
        <v>1000</v>
      </c>
      <c r="AA21" s="37">
        <f>+'G&amp;A'!AA21+'S&amp;M'!AA21+Develop!AA21+Factory!AA21</f>
        <v>1000</v>
      </c>
      <c r="AB21" s="37">
        <f>+'G&amp;A'!AB21+'S&amp;M'!AB21+Develop!AB21+Factory!AB21</f>
        <v>1000</v>
      </c>
      <c r="AC21" s="37">
        <f>+'G&amp;A'!AC21+'S&amp;M'!AC21+Develop!AC21+Factory!AC21</f>
        <v>1000</v>
      </c>
      <c r="AD21" s="37"/>
      <c r="AE21" s="37">
        <f>+'G&amp;A'!AE21+'S&amp;M'!AE21+Develop!AE21+Factory!AE21</f>
        <v>2000</v>
      </c>
      <c r="AF21" s="37">
        <f>+'G&amp;A'!AF21+'S&amp;M'!AF21+Develop!AF21+Factory!AF21</f>
        <v>2000</v>
      </c>
      <c r="AG21" s="37">
        <f>+'G&amp;A'!AG21+'S&amp;M'!AG21+Develop!AG21+Factory!AG21</f>
        <v>2000</v>
      </c>
      <c r="AH21" s="37">
        <f>+'G&amp;A'!AH21+'S&amp;M'!AH21+Develop!AH21+Factory!AH21</f>
        <v>2000</v>
      </c>
      <c r="AI21" s="37">
        <f>+'G&amp;A'!AI21+'S&amp;M'!AI21+Develop!AI21+Factory!AI21</f>
        <v>7000</v>
      </c>
      <c r="AJ21" s="37">
        <f>+'G&amp;A'!AJ21+'S&amp;M'!AJ21+Develop!AJ21+Factory!AJ21</f>
        <v>2000</v>
      </c>
      <c r="AK21" s="37">
        <f>+'G&amp;A'!AK21+'S&amp;M'!AK21+Develop!AK21+Factory!AK21</f>
        <v>0</v>
      </c>
      <c r="AL21" s="37">
        <f>+'G&amp;A'!AL21+'S&amp;M'!AL21+Develop!AL21+Factory!AL21</f>
        <v>0</v>
      </c>
      <c r="AM21" s="37">
        <f>+'G&amp;A'!AM21+'S&amp;M'!AM21+Develop!AM21+Factory!AM21</f>
        <v>0</v>
      </c>
      <c r="AN21" s="37">
        <f>+'G&amp;A'!AN21+'S&amp;M'!AN21+Develop!AN21+Factory!AN21</f>
        <v>0</v>
      </c>
      <c r="AO21" s="37">
        <f>+'G&amp;A'!AO21+'S&amp;M'!AO21+Develop!AO21+Factory!AO21</f>
        <v>0</v>
      </c>
      <c r="AP21" s="37">
        <f>+'G&amp;A'!AP21+'S&amp;M'!AP21+Develop!AP21+Factory!AP21</f>
        <v>0</v>
      </c>
      <c r="AQ21" s="37"/>
      <c r="AR21" s="37">
        <f t="shared" ref="AR21:AR24" si="77">SUM(E21:P21)</f>
        <v>8400</v>
      </c>
      <c r="AS21" s="37">
        <f t="shared" ref="AS21:AS24" si="78">SUM(E21:G21)</f>
        <v>2100</v>
      </c>
      <c r="AT21" s="37">
        <f t="shared" ref="AT21:AT24" si="79">SUM(H21:J21)</f>
        <v>2100</v>
      </c>
      <c r="AU21" s="37">
        <f t="shared" ref="AU21:AU24" si="80">SUM(K21:M21)</f>
        <v>2100</v>
      </c>
      <c r="AV21" s="37">
        <f t="shared" ref="AV21:AV24" si="81">SUM(N21:P21)</f>
        <v>2100</v>
      </c>
      <c r="AW21" s="37"/>
      <c r="AX21" s="37">
        <f t="shared" ref="AX21:AX24" si="82">SUM(R21:AC21)</f>
        <v>15800</v>
      </c>
      <c r="AY21" s="37">
        <f t="shared" ref="AY21:AY24" si="83">SUM(R21:T21)</f>
        <v>2100</v>
      </c>
      <c r="AZ21" s="37">
        <f t="shared" ref="AZ21:AZ24" si="84">SUM(U21:W21)</f>
        <v>7700</v>
      </c>
      <c r="BA21" s="37">
        <f t="shared" ref="BA21:BA24" si="85">SUM(X21:Z21)</f>
        <v>3000</v>
      </c>
      <c r="BB21" s="37">
        <f t="shared" ref="BB21:BB24" si="86">SUM(AA21:AC21)</f>
        <v>3000</v>
      </c>
      <c r="BC21" s="37"/>
      <c r="BD21" s="37">
        <f t="shared" ref="BD21:BD24" si="87">SUM(AE21:AP21)</f>
        <v>17000</v>
      </c>
      <c r="BE21" s="37">
        <f t="shared" ref="BE21:BE24" si="88">SUM(AE21:AG21)</f>
        <v>6000</v>
      </c>
      <c r="BF21" s="37">
        <f t="shared" ref="BF21:BF24" si="89">SUM(AH21:AJ21)</f>
        <v>11000</v>
      </c>
      <c r="BG21" s="37">
        <f t="shared" ref="BG21:BG24" si="90">SUM(AK21:AM21)</f>
        <v>0</v>
      </c>
      <c r="BH21" s="37">
        <f t="shared" ref="BH21:BH24" si="91">SUM(AN21:AP21)</f>
        <v>0</v>
      </c>
    </row>
    <row r="22" spans="2:60" s="16" customFormat="1" x14ac:dyDescent="0.25">
      <c r="B22" s="16" t="s">
        <v>95</v>
      </c>
      <c r="E22" s="37">
        <f>+'G&amp;A'!E22+'S&amp;M'!E22+Develop!E22+Factory!E22</f>
        <v>60400</v>
      </c>
      <c r="F22" s="37">
        <f>+'G&amp;A'!F22+'S&amp;M'!F22+Develop!F22+Factory!F22</f>
        <v>0</v>
      </c>
      <c r="G22" s="37">
        <f>+'G&amp;A'!G22+'S&amp;M'!G22+Develop!G22+Factory!G22</f>
        <v>25000</v>
      </c>
      <c r="H22" s="37">
        <f>+'G&amp;A'!H22+'S&amp;M'!H22+Develop!H22+Factory!H22</f>
        <v>0</v>
      </c>
      <c r="I22" s="37">
        <f>+'G&amp;A'!I22+'S&amp;M'!I22+Develop!I22+Factory!I22</f>
        <v>10000</v>
      </c>
      <c r="J22" s="37">
        <f>+'G&amp;A'!J22+'S&amp;M'!J22+Develop!J22+Factory!J22</f>
        <v>25000</v>
      </c>
      <c r="K22" s="37">
        <f>+'G&amp;A'!K22+'S&amp;M'!K22+Develop!K22+Factory!K22</f>
        <v>0</v>
      </c>
      <c r="L22" s="37">
        <f>+'G&amp;A'!L22+'S&amp;M'!L22+Develop!L22+Factory!L22</f>
        <v>0</v>
      </c>
      <c r="M22" s="37">
        <f>+'G&amp;A'!M22+'S&amp;M'!M22+Develop!M22+Factory!M22</f>
        <v>10000</v>
      </c>
      <c r="N22" s="37">
        <f>+'G&amp;A'!N22+'S&amp;M'!N22+Develop!N22+Factory!N22</f>
        <v>0</v>
      </c>
      <c r="O22" s="37">
        <f>+'G&amp;A'!O22+'S&amp;M'!O22+Develop!O22+Factory!O22</f>
        <v>0</v>
      </c>
      <c r="P22" s="37">
        <f>+'G&amp;A'!P22+'S&amp;M'!P22+Develop!P22+Factory!P22</f>
        <v>20000</v>
      </c>
      <c r="Q22" s="37"/>
      <c r="R22" s="37">
        <f>+'G&amp;A'!R22+'S&amp;M'!R22+Develop!R22+Factory!R22</f>
        <v>15000</v>
      </c>
      <c r="S22" s="37">
        <f>+'G&amp;A'!S22+'S&amp;M'!S22+Develop!S22+Factory!S22</f>
        <v>0</v>
      </c>
      <c r="T22" s="37">
        <f>+'G&amp;A'!T22+'S&amp;M'!T22+Develop!T22+Factory!T22</f>
        <v>10000</v>
      </c>
      <c r="U22" s="37">
        <f>+'G&amp;A'!U22+'S&amp;M'!U22+Develop!U22+Factory!U22</f>
        <v>0</v>
      </c>
      <c r="V22" s="37">
        <f>+'G&amp;A'!V22+'S&amp;M'!V22+Develop!V22+Factory!V22</f>
        <v>10000</v>
      </c>
      <c r="W22" s="37">
        <f>+'G&amp;A'!W22+'S&amp;M'!W22+Develop!W22+Factory!W22</f>
        <v>25000</v>
      </c>
      <c r="X22" s="37">
        <f>+'G&amp;A'!X22+'S&amp;M'!X22+Develop!X22+Factory!X22</f>
        <v>0</v>
      </c>
      <c r="Y22" s="37">
        <f>+'G&amp;A'!Y22+'S&amp;M'!Y22+Develop!Y22+Factory!Y22</f>
        <v>0</v>
      </c>
      <c r="Z22" s="37">
        <f>+'G&amp;A'!Z22+'S&amp;M'!Z22+Develop!Z22+Factory!Z22</f>
        <v>10000</v>
      </c>
      <c r="AA22" s="37">
        <f>+'G&amp;A'!AA22+'S&amp;M'!AA22+Develop!AA22+Factory!AA22</f>
        <v>0</v>
      </c>
      <c r="AB22" s="37">
        <f>+'G&amp;A'!AB22+'S&amp;M'!AB22+Develop!AB22+Factory!AB22</f>
        <v>0</v>
      </c>
      <c r="AC22" s="37">
        <f>+'G&amp;A'!AC22+'S&amp;M'!AC22+Develop!AC22+Factory!AC22</f>
        <v>0</v>
      </c>
      <c r="AD22" s="37"/>
      <c r="AE22" s="37">
        <f>+'G&amp;A'!AE22+'S&amp;M'!AE22+Develop!AE22+Factory!AE22</f>
        <v>0</v>
      </c>
      <c r="AF22" s="37">
        <f>+'G&amp;A'!AF22+'S&amp;M'!AF22+Develop!AF22+Factory!AF22</f>
        <v>0</v>
      </c>
      <c r="AG22" s="37">
        <f>+'G&amp;A'!AG22+'S&amp;M'!AG22+Develop!AG22+Factory!AG22</f>
        <v>10000</v>
      </c>
      <c r="AH22" s="37">
        <f>+'G&amp;A'!AH22+'S&amp;M'!AH22+Develop!AH22+Factory!AH22</f>
        <v>0</v>
      </c>
      <c r="AI22" s="37">
        <f>+'G&amp;A'!AI22+'S&amp;M'!AI22+Develop!AI22+Factory!AI22</f>
        <v>0</v>
      </c>
      <c r="AJ22" s="37">
        <f>+'G&amp;A'!AJ22+'S&amp;M'!AJ22+Develop!AJ22+Factory!AJ22</f>
        <v>5000</v>
      </c>
      <c r="AK22" s="37">
        <f>+'G&amp;A'!AK22+'S&amp;M'!AK22+Develop!AK22+Factory!AK22</f>
        <v>0</v>
      </c>
      <c r="AL22" s="37">
        <f>+'G&amp;A'!AL22+'S&amp;M'!AL22+Develop!AL22+Factory!AL22</f>
        <v>0</v>
      </c>
      <c r="AM22" s="37">
        <f>+'G&amp;A'!AM22+'S&amp;M'!AM22+Develop!AM22+Factory!AM22</f>
        <v>5000</v>
      </c>
      <c r="AN22" s="37">
        <f>+'G&amp;A'!AN22+'S&amp;M'!AN22+Develop!AN22+Factory!AN22</f>
        <v>0</v>
      </c>
      <c r="AO22" s="37">
        <f>+'G&amp;A'!AO22+'S&amp;M'!AO22+Develop!AO22+Factory!AO22</f>
        <v>0</v>
      </c>
      <c r="AP22" s="37">
        <f>+'G&amp;A'!AP22+'S&amp;M'!AP22+Develop!AP22+Factory!AP22</f>
        <v>5000</v>
      </c>
      <c r="AQ22" s="37"/>
      <c r="AR22" s="37">
        <f t="shared" si="77"/>
        <v>150400</v>
      </c>
      <c r="AS22" s="37">
        <f t="shared" si="78"/>
        <v>85400</v>
      </c>
      <c r="AT22" s="37">
        <f t="shared" si="79"/>
        <v>35000</v>
      </c>
      <c r="AU22" s="37">
        <f t="shared" si="80"/>
        <v>10000</v>
      </c>
      <c r="AV22" s="37">
        <f t="shared" si="81"/>
        <v>20000</v>
      </c>
      <c r="AW22" s="37"/>
      <c r="AX22" s="37">
        <f t="shared" si="82"/>
        <v>70000</v>
      </c>
      <c r="AY22" s="37">
        <f t="shared" si="83"/>
        <v>25000</v>
      </c>
      <c r="AZ22" s="37">
        <f t="shared" si="84"/>
        <v>35000</v>
      </c>
      <c r="BA22" s="37">
        <f t="shared" si="85"/>
        <v>10000</v>
      </c>
      <c r="BB22" s="37">
        <f t="shared" si="86"/>
        <v>0</v>
      </c>
      <c r="BC22" s="37"/>
      <c r="BD22" s="37">
        <f t="shared" si="87"/>
        <v>25000</v>
      </c>
      <c r="BE22" s="37">
        <f t="shared" si="88"/>
        <v>10000</v>
      </c>
      <c r="BF22" s="37">
        <f t="shared" si="89"/>
        <v>5000</v>
      </c>
      <c r="BG22" s="37">
        <f t="shared" si="90"/>
        <v>5000</v>
      </c>
      <c r="BH22" s="37">
        <f t="shared" si="91"/>
        <v>5000</v>
      </c>
    </row>
    <row r="23" spans="2:60" s="16" customFormat="1" x14ac:dyDescent="0.25">
      <c r="B23" s="16" t="s">
        <v>27</v>
      </c>
      <c r="E23" s="37">
        <f>+'G&amp;A'!E23+'S&amp;M'!E23+Develop!E23+Factory!E23</f>
        <v>0</v>
      </c>
      <c r="F23" s="37">
        <f>+'G&amp;A'!F23+'S&amp;M'!F23+Develop!F23+Factory!F23</f>
        <v>0</v>
      </c>
      <c r="G23" s="37">
        <f>+'G&amp;A'!G23+'S&amp;M'!G23+Develop!G23+Factory!G23</f>
        <v>0</v>
      </c>
      <c r="H23" s="37">
        <f>+'G&amp;A'!H23+'S&amp;M'!H23+Develop!H23+Factory!H23</f>
        <v>17500</v>
      </c>
      <c r="I23" s="37">
        <f>+'G&amp;A'!I23+'S&amp;M'!I23+Develop!I23+Factory!I23</f>
        <v>0</v>
      </c>
      <c r="J23" s="37">
        <f>+'G&amp;A'!J23+'S&amp;M'!J23+Develop!J23+Factory!J23</f>
        <v>0</v>
      </c>
      <c r="K23" s="37">
        <f>+'G&amp;A'!K23+'S&amp;M'!K23+Develop!K23+Factory!K23</f>
        <v>0</v>
      </c>
      <c r="L23" s="37">
        <f>+'G&amp;A'!L23+'S&amp;M'!L23+Develop!L23+Factory!L23</f>
        <v>0</v>
      </c>
      <c r="M23" s="37">
        <f>+'G&amp;A'!M23+'S&amp;M'!M23+Develop!M23+Factory!M23</f>
        <v>0</v>
      </c>
      <c r="N23" s="37">
        <f>+'G&amp;A'!N23+'S&amp;M'!N23+Develop!N23+Factory!N23</f>
        <v>0</v>
      </c>
      <c r="O23" s="37">
        <f>+'G&amp;A'!O23+'S&amp;M'!O23+Develop!O23+Factory!O23</f>
        <v>0</v>
      </c>
      <c r="P23" s="37">
        <f>+'G&amp;A'!P23+'S&amp;M'!P23+Develop!P23+Factory!P23</f>
        <v>0</v>
      </c>
      <c r="Q23" s="37"/>
      <c r="R23" s="37">
        <f>+'G&amp;A'!R23+'S&amp;M'!R23+Develop!R23+Factory!R23</f>
        <v>0</v>
      </c>
      <c r="S23" s="37">
        <f>+'G&amp;A'!S23+'S&amp;M'!S23+Develop!S23+Factory!S23</f>
        <v>13750</v>
      </c>
      <c r="T23" s="37">
        <f>+'G&amp;A'!T23+'S&amp;M'!T23+Develop!T23+Factory!T23</f>
        <v>0</v>
      </c>
      <c r="U23" s="37">
        <f>+'G&amp;A'!U23+'S&amp;M'!U23+Develop!U23+Factory!U23</f>
        <v>0</v>
      </c>
      <c r="V23" s="37">
        <f>+'G&amp;A'!V23+'S&amp;M'!V23+Develop!V23+Factory!V23</f>
        <v>27500</v>
      </c>
      <c r="W23" s="37">
        <f>+'G&amp;A'!W23+'S&amp;M'!W23+Develop!W23+Factory!W23</f>
        <v>0</v>
      </c>
      <c r="X23" s="37">
        <f>+'G&amp;A'!X23+'S&amp;M'!X23+Develop!X23+Factory!X23</f>
        <v>0</v>
      </c>
      <c r="Y23" s="37">
        <f>+'G&amp;A'!Y23+'S&amp;M'!Y23+Develop!Y23+Factory!Y23</f>
        <v>13750</v>
      </c>
      <c r="Z23" s="37">
        <f>+'G&amp;A'!Z23+'S&amp;M'!Z23+Develop!Z23+Factory!Z23</f>
        <v>13750</v>
      </c>
      <c r="AA23" s="37">
        <f>+'G&amp;A'!AA23+'S&amp;M'!AA23+Develop!AA23+Factory!AA23</f>
        <v>0</v>
      </c>
      <c r="AB23" s="37">
        <f>+'G&amp;A'!AB23+'S&amp;M'!AB23+Develop!AB23+Factory!AB23</f>
        <v>13750</v>
      </c>
      <c r="AC23" s="37">
        <f>+'G&amp;A'!AC23+'S&amp;M'!AC23+Develop!AC23+Factory!AC23</f>
        <v>0</v>
      </c>
      <c r="AD23" s="37"/>
      <c r="AE23" s="37">
        <f>+'G&amp;A'!AE23+'S&amp;M'!AE23+Develop!AE23+Factory!AE23</f>
        <v>0</v>
      </c>
      <c r="AF23" s="37">
        <f>+'G&amp;A'!AF23+'S&amp;M'!AF23+Develop!AF23+Factory!AF23</f>
        <v>0</v>
      </c>
      <c r="AG23" s="37">
        <f>+'G&amp;A'!AG23+'S&amp;M'!AG23+Develop!AG23+Factory!AG23</f>
        <v>0</v>
      </c>
      <c r="AH23" s="37">
        <f>+'G&amp;A'!AH23+'S&amp;M'!AH23+Develop!AH23+Factory!AH23</f>
        <v>0</v>
      </c>
      <c r="AI23" s="37">
        <f>+'G&amp;A'!AI23+'S&amp;M'!AI23+Develop!AI23+Factory!AI23</f>
        <v>0</v>
      </c>
      <c r="AJ23" s="37">
        <f>+'G&amp;A'!AJ23+'S&amp;M'!AJ23+Develop!AJ23+Factory!AJ23</f>
        <v>0</v>
      </c>
      <c r="AK23" s="37">
        <f>+'G&amp;A'!AK23+'S&amp;M'!AK23+Develop!AK23+Factory!AK23</f>
        <v>0</v>
      </c>
      <c r="AL23" s="37">
        <f>+'G&amp;A'!AL23+'S&amp;M'!AL23+Develop!AL23+Factory!AL23</f>
        <v>0</v>
      </c>
      <c r="AM23" s="37">
        <f>+'G&amp;A'!AM23+'S&amp;M'!AM23+Develop!AM23+Factory!AM23</f>
        <v>0</v>
      </c>
      <c r="AN23" s="37">
        <f>+'G&amp;A'!AN23+'S&amp;M'!AN23+Develop!AN23+Factory!AN23</f>
        <v>0</v>
      </c>
      <c r="AO23" s="37">
        <f>+'G&amp;A'!AO23+'S&amp;M'!AO23+Develop!AO23+Factory!AO23</f>
        <v>0</v>
      </c>
      <c r="AP23" s="37">
        <f>+'G&amp;A'!AP23+'S&amp;M'!AP23+Develop!AP23+Factory!AP23</f>
        <v>0</v>
      </c>
      <c r="AQ23" s="37"/>
      <c r="AR23" s="37">
        <f t="shared" si="77"/>
        <v>17500</v>
      </c>
      <c r="AS23" s="37">
        <f t="shared" si="78"/>
        <v>0</v>
      </c>
      <c r="AT23" s="37">
        <f t="shared" si="79"/>
        <v>17500</v>
      </c>
      <c r="AU23" s="37">
        <f t="shared" si="80"/>
        <v>0</v>
      </c>
      <c r="AV23" s="37">
        <f t="shared" si="81"/>
        <v>0</v>
      </c>
      <c r="AW23" s="37"/>
      <c r="AX23" s="37">
        <f t="shared" si="82"/>
        <v>82500</v>
      </c>
      <c r="AY23" s="37">
        <f t="shared" si="83"/>
        <v>13750</v>
      </c>
      <c r="AZ23" s="37">
        <f t="shared" si="84"/>
        <v>27500</v>
      </c>
      <c r="BA23" s="37">
        <f t="shared" si="85"/>
        <v>27500</v>
      </c>
      <c r="BB23" s="37">
        <f t="shared" si="86"/>
        <v>13750</v>
      </c>
      <c r="BC23" s="37"/>
      <c r="BD23" s="37">
        <f t="shared" si="87"/>
        <v>0</v>
      </c>
      <c r="BE23" s="37">
        <f t="shared" si="88"/>
        <v>0</v>
      </c>
      <c r="BF23" s="37">
        <f t="shared" si="89"/>
        <v>0</v>
      </c>
      <c r="BG23" s="37">
        <f t="shared" si="90"/>
        <v>0</v>
      </c>
      <c r="BH23" s="37">
        <f t="shared" si="91"/>
        <v>0</v>
      </c>
    </row>
    <row r="24" spans="2:60" s="16" customFormat="1" x14ac:dyDescent="0.25">
      <c r="B24" s="16" t="s">
        <v>28</v>
      </c>
      <c r="E24" s="37">
        <f>+'G&amp;A'!E24+'S&amp;M'!E24+Develop!E24+Factory!E24</f>
        <v>11083</v>
      </c>
      <c r="F24" s="37">
        <f>+'G&amp;A'!F24+'S&amp;M'!F24+Develop!F24+Factory!F24</f>
        <v>9833</v>
      </c>
      <c r="G24" s="37">
        <f>+'G&amp;A'!G24+'S&amp;M'!G24+Develop!G24+Factory!G24</f>
        <v>9833</v>
      </c>
      <c r="H24" s="37">
        <f>+'G&amp;A'!H24+'S&amp;M'!H24+Develop!H24+Factory!H24</f>
        <v>9583</v>
      </c>
      <c r="I24" s="37">
        <f>+'G&amp;A'!I24+'S&amp;M'!I24+Develop!I24+Factory!I24</f>
        <v>12833</v>
      </c>
      <c r="J24" s="37">
        <f>+'G&amp;A'!J24+'S&amp;M'!J24+Develop!J24+Factory!J24</f>
        <v>12835</v>
      </c>
      <c r="K24" s="37">
        <f>+'G&amp;A'!K24+'S&amp;M'!K24+Develop!K24+Factory!K24</f>
        <v>5000</v>
      </c>
      <c r="L24" s="37">
        <f>+'G&amp;A'!L24+'S&amp;M'!L24+Develop!L24+Factory!L24</f>
        <v>3750</v>
      </c>
      <c r="M24" s="37">
        <f>+'G&amp;A'!M24+'S&amp;M'!M24+Develop!M24+Factory!M24</f>
        <v>4250</v>
      </c>
      <c r="N24" s="37">
        <f>+'G&amp;A'!N24+'S&amp;M'!N24+Develop!N24+Factory!N24</f>
        <v>5500</v>
      </c>
      <c r="O24" s="37">
        <f>+'G&amp;A'!O24+'S&amp;M'!O24+Develop!O24+Factory!O24</f>
        <v>4250</v>
      </c>
      <c r="P24" s="37">
        <f>+'G&amp;A'!P24+'S&amp;M'!P24+Develop!P24+Factory!P24</f>
        <v>4250</v>
      </c>
      <c r="Q24" s="37"/>
      <c r="R24" s="37">
        <f>+'G&amp;A'!R24+'S&amp;M'!R24+Develop!R24+Factory!R24</f>
        <v>5500</v>
      </c>
      <c r="S24" s="37">
        <f>+'G&amp;A'!S24+'S&amp;M'!S24+Develop!S24+Factory!S24</f>
        <v>4250</v>
      </c>
      <c r="T24" s="37">
        <f>+'G&amp;A'!T24+'S&amp;M'!T24+Develop!T24+Factory!T24</f>
        <v>4250</v>
      </c>
      <c r="U24" s="37">
        <f>+'G&amp;A'!U24+'S&amp;M'!U24+Develop!U24+Factory!U24</f>
        <v>5500</v>
      </c>
      <c r="V24" s="37">
        <f>+'G&amp;A'!V24+'S&amp;M'!V24+Develop!V24+Factory!V24</f>
        <v>12500</v>
      </c>
      <c r="W24" s="37">
        <f>+'G&amp;A'!W24+'S&amp;M'!W24+Develop!W24+Factory!W24</f>
        <v>12500</v>
      </c>
      <c r="X24" s="37">
        <f>+'G&amp;A'!X24+'S&amp;M'!X24+Develop!X24+Factory!X24</f>
        <v>5500</v>
      </c>
      <c r="Y24" s="37">
        <f>+'G&amp;A'!Y24+'S&amp;M'!Y24+Develop!Y24+Factory!Y24</f>
        <v>5500</v>
      </c>
      <c r="Z24" s="37">
        <f>+'G&amp;A'!Z24+'S&amp;M'!Z24+Develop!Z24+Factory!Z24</f>
        <v>5500</v>
      </c>
      <c r="AA24" s="37">
        <f>+'G&amp;A'!AA24+'S&amp;M'!AA24+Develop!AA24+Factory!AA24</f>
        <v>5500</v>
      </c>
      <c r="AB24" s="37">
        <f>+'G&amp;A'!AB24+'S&amp;M'!AB24+Develop!AB24+Factory!AB24</f>
        <v>5500</v>
      </c>
      <c r="AC24" s="37">
        <f>+'G&amp;A'!AC24+'S&amp;M'!AC24+Develop!AC24+Factory!AC24</f>
        <v>5500</v>
      </c>
      <c r="AD24" s="37"/>
      <c r="AE24" s="37">
        <f>+'G&amp;A'!AE24+'S&amp;M'!AE24+Develop!AE24+Factory!AE24</f>
        <v>5500</v>
      </c>
      <c r="AF24" s="37">
        <f>+'G&amp;A'!AF24+'S&amp;M'!AF24+Develop!AF24+Factory!AF24</f>
        <v>5500</v>
      </c>
      <c r="AG24" s="37">
        <f>+'G&amp;A'!AG24+'S&amp;M'!AG24+Develop!AG24+Factory!AG24</f>
        <v>5500</v>
      </c>
      <c r="AH24" s="37">
        <f>+'G&amp;A'!AH24+'S&amp;M'!AH24+Develop!AH24+Factory!AH24</f>
        <v>5500</v>
      </c>
      <c r="AI24" s="37">
        <f>+'G&amp;A'!AI24+'S&amp;M'!AI24+Develop!AI24+Factory!AI24</f>
        <v>5500</v>
      </c>
      <c r="AJ24" s="37">
        <f>+'G&amp;A'!AJ24+'S&amp;M'!AJ24+Develop!AJ24+Factory!AJ24</f>
        <v>5500</v>
      </c>
      <c r="AK24" s="37">
        <f>+'G&amp;A'!AK24+'S&amp;M'!AK24+Develop!AK24+Factory!AK24</f>
        <v>5500</v>
      </c>
      <c r="AL24" s="37">
        <f>+'G&amp;A'!AL24+'S&amp;M'!AL24+Develop!AL24+Factory!AL24</f>
        <v>5500</v>
      </c>
      <c r="AM24" s="37">
        <f>+'G&amp;A'!AM24+'S&amp;M'!AM24+Develop!AM24+Factory!AM24</f>
        <v>5500</v>
      </c>
      <c r="AN24" s="37">
        <f>+'G&amp;A'!AN24+'S&amp;M'!AN24+Develop!AN24+Factory!AN24</f>
        <v>5500</v>
      </c>
      <c r="AO24" s="37">
        <f>+'G&amp;A'!AO24+'S&amp;M'!AO24+Develop!AO24+Factory!AO24</f>
        <v>5500</v>
      </c>
      <c r="AP24" s="37">
        <f>+'G&amp;A'!AP24+'S&amp;M'!AP24+Develop!AP24+Factory!AP24</f>
        <v>5500</v>
      </c>
      <c r="AQ24" s="37"/>
      <c r="AR24" s="37">
        <f t="shared" si="77"/>
        <v>93000</v>
      </c>
      <c r="AS24" s="37">
        <f t="shared" si="78"/>
        <v>30749</v>
      </c>
      <c r="AT24" s="37">
        <f t="shared" si="79"/>
        <v>35251</v>
      </c>
      <c r="AU24" s="37">
        <f t="shared" si="80"/>
        <v>13000</v>
      </c>
      <c r="AV24" s="37">
        <f t="shared" si="81"/>
        <v>14000</v>
      </c>
      <c r="AW24" s="37"/>
      <c r="AX24" s="37">
        <f t="shared" si="82"/>
        <v>77500</v>
      </c>
      <c r="AY24" s="37">
        <f t="shared" si="83"/>
        <v>14000</v>
      </c>
      <c r="AZ24" s="37">
        <f t="shared" si="84"/>
        <v>30500</v>
      </c>
      <c r="BA24" s="37">
        <f t="shared" si="85"/>
        <v>16500</v>
      </c>
      <c r="BB24" s="37">
        <f t="shared" si="86"/>
        <v>16500</v>
      </c>
      <c r="BC24" s="37"/>
      <c r="BD24" s="37">
        <f t="shared" si="87"/>
        <v>66000</v>
      </c>
      <c r="BE24" s="37">
        <f t="shared" si="88"/>
        <v>16500</v>
      </c>
      <c r="BF24" s="37">
        <f t="shared" si="89"/>
        <v>16500</v>
      </c>
      <c r="BG24" s="37">
        <f t="shared" si="90"/>
        <v>16500</v>
      </c>
      <c r="BH24" s="37">
        <f t="shared" si="91"/>
        <v>16500</v>
      </c>
    </row>
    <row r="25" spans="2:60" s="16" customFormat="1" x14ac:dyDescent="0.25">
      <c r="E25" s="37"/>
      <c r="F25" s="37"/>
      <c r="G25" s="37"/>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row>
    <row r="26" spans="2:60" s="16" customFormat="1" x14ac:dyDescent="0.25">
      <c r="B26" s="16" t="s">
        <v>29</v>
      </c>
      <c r="E26" s="38">
        <f>SUBTOTAL(9,E20:E25)</f>
        <v>88533</v>
      </c>
      <c r="F26" s="38">
        <f t="shared" ref="F26:P26" si="92">SUBTOTAL(9,F20:F25)</f>
        <v>10533</v>
      </c>
      <c r="G26" s="38">
        <f t="shared" si="92"/>
        <v>35533</v>
      </c>
      <c r="H26" s="38">
        <f t="shared" si="92"/>
        <v>27783</v>
      </c>
      <c r="I26" s="38">
        <f t="shared" si="92"/>
        <v>23533</v>
      </c>
      <c r="J26" s="38">
        <f t="shared" si="92"/>
        <v>38535</v>
      </c>
      <c r="K26" s="38">
        <f t="shared" si="92"/>
        <v>5700</v>
      </c>
      <c r="L26" s="38">
        <f t="shared" si="92"/>
        <v>4450</v>
      </c>
      <c r="M26" s="38">
        <f t="shared" si="92"/>
        <v>14950</v>
      </c>
      <c r="N26" s="38">
        <f t="shared" si="92"/>
        <v>6200</v>
      </c>
      <c r="O26" s="38">
        <f t="shared" si="92"/>
        <v>4950</v>
      </c>
      <c r="P26" s="38">
        <f t="shared" si="92"/>
        <v>24950</v>
      </c>
      <c r="Q26" s="37"/>
      <c r="R26" s="38">
        <f>SUBTOTAL(9,R20:R25)</f>
        <v>37550</v>
      </c>
      <c r="S26" s="38">
        <f t="shared" ref="S26:AC26" si="93">SUBTOTAL(9,S20:S25)</f>
        <v>18700</v>
      </c>
      <c r="T26" s="38">
        <f t="shared" si="93"/>
        <v>14950</v>
      </c>
      <c r="U26" s="38">
        <f t="shared" si="93"/>
        <v>6200</v>
      </c>
      <c r="V26" s="38">
        <f t="shared" si="93"/>
        <v>56000</v>
      </c>
      <c r="W26" s="38">
        <f t="shared" si="93"/>
        <v>38500</v>
      </c>
      <c r="X26" s="38">
        <f t="shared" si="93"/>
        <v>6500</v>
      </c>
      <c r="Y26" s="38">
        <f t="shared" si="93"/>
        <v>20250</v>
      </c>
      <c r="Z26" s="38">
        <f t="shared" si="93"/>
        <v>30250</v>
      </c>
      <c r="AA26" s="38">
        <f t="shared" si="93"/>
        <v>6500</v>
      </c>
      <c r="AB26" s="38">
        <f t="shared" si="93"/>
        <v>20250</v>
      </c>
      <c r="AC26" s="38">
        <f t="shared" si="93"/>
        <v>6500</v>
      </c>
      <c r="AD26" s="37"/>
      <c r="AE26" s="38">
        <f>SUBTOTAL(9,AE20:AE25)</f>
        <v>23850</v>
      </c>
      <c r="AF26" s="38">
        <f t="shared" ref="AF26:AP26" si="94">SUBTOTAL(9,AF20:AF25)</f>
        <v>7500</v>
      </c>
      <c r="AG26" s="38">
        <f t="shared" si="94"/>
        <v>17500</v>
      </c>
      <c r="AH26" s="38">
        <f t="shared" si="94"/>
        <v>7500</v>
      </c>
      <c r="AI26" s="38">
        <f t="shared" si="94"/>
        <v>12500</v>
      </c>
      <c r="AJ26" s="38">
        <f t="shared" si="94"/>
        <v>12500</v>
      </c>
      <c r="AK26" s="38">
        <f t="shared" si="94"/>
        <v>5500</v>
      </c>
      <c r="AL26" s="38">
        <f t="shared" si="94"/>
        <v>5500</v>
      </c>
      <c r="AM26" s="38">
        <f t="shared" si="94"/>
        <v>10500</v>
      </c>
      <c r="AN26" s="38">
        <f t="shared" si="94"/>
        <v>5500</v>
      </c>
      <c r="AO26" s="38">
        <f t="shared" si="94"/>
        <v>5500</v>
      </c>
      <c r="AP26" s="38">
        <f t="shared" si="94"/>
        <v>10500</v>
      </c>
      <c r="AQ26" s="37"/>
      <c r="AR26" s="38">
        <f t="shared" ref="AR26:AV26" si="95">SUBTOTAL(9,AR20:AR25)</f>
        <v>285650</v>
      </c>
      <c r="AS26" s="38">
        <f t="shared" si="95"/>
        <v>134599</v>
      </c>
      <c r="AT26" s="38">
        <f t="shared" si="95"/>
        <v>89851</v>
      </c>
      <c r="AU26" s="38">
        <f t="shared" si="95"/>
        <v>25100</v>
      </c>
      <c r="AV26" s="38">
        <f t="shared" si="95"/>
        <v>36100</v>
      </c>
      <c r="AW26" s="37"/>
      <c r="AX26" s="38">
        <f t="shared" ref="AX26:BB26" si="96">SUBTOTAL(9,AX20:AX25)</f>
        <v>262150</v>
      </c>
      <c r="AY26" s="38">
        <f t="shared" si="96"/>
        <v>71200</v>
      </c>
      <c r="AZ26" s="38">
        <f t="shared" si="96"/>
        <v>100700</v>
      </c>
      <c r="BA26" s="38">
        <f t="shared" si="96"/>
        <v>57000</v>
      </c>
      <c r="BB26" s="38">
        <f t="shared" si="96"/>
        <v>33250</v>
      </c>
      <c r="BC26" s="37"/>
      <c r="BD26" s="38">
        <f t="shared" ref="BD26:BH26" si="97">SUBTOTAL(9,BD20:BD25)</f>
        <v>124350</v>
      </c>
      <c r="BE26" s="38">
        <f t="shared" si="97"/>
        <v>48850</v>
      </c>
      <c r="BF26" s="38">
        <f t="shared" si="97"/>
        <v>32500</v>
      </c>
      <c r="BG26" s="38">
        <f t="shared" si="97"/>
        <v>21500</v>
      </c>
      <c r="BH26" s="38">
        <f t="shared" si="97"/>
        <v>21500</v>
      </c>
    </row>
    <row r="27" spans="2:60" s="16" customFormat="1" x14ac:dyDescent="0.25">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row>
    <row r="28" spans="2:60" s="16" customFormat="1" x14ac:dyDescent="0.25">
      <c r="B28" s="16" t="s">
        <v>32</v>
      </c>
      <c r="E28" s="37">
        <f>+'G&amp;A'!E28+'S&amp;M'!E28+Develop!E28+Factory!E28</f>
        <v>0</v>
      </c>
      <c r="F28" s="37">
        <f>+'G&amp;A'!F28+'S&amp;M'!F28+Develop!F28+Factory!F28</f>
        <v>0</v>
      </c>
      <c r="G28" s="37">
        <f>+'G&amp;A'!G28+'S&amp;M'!G28+Develop!G28+Factory!G28</f>
        <v>0</v>
      </c>
      <c r="H28" s="37">
        <f>+'G&amp;A'!H28+'S&amp;M'!H28+Develop!H28+Factory!H28</f>
        <v>0</v>
      </c>
      <c r="I28" s="37">
        <f>+'G&amp;A'!I28+'S&amp;M'!I28+Develop!I28+Factory!I28</f>
        <v>0</v>
      </c>
      <c r="J28" s="37">
        <f>+'G&amp;A'!J28+'S&amp;M'!J28+Develop!J28+Factory!J28</f>
        <v>0</v>
      </c>
      <c r="K28" s="37">
        <f>+'G&amp;A'!K28+'S&amp;M'!K28+Develop!K28+Factory!K28</f>
        <v>0</v>
      </c>
      <c r="L28" s="37">
        <f>+'G&amp;A'!L28+'S&amp;M'!L28+Develop!L28+Factory!L28</f>
        <v>0</v>
      </c>
      <c r="M28" s="37">
        <f>+'G&amp;A'!M28+'S&amp;M'!M28+Develop!M28+Factory!M28</f>
        <v>0</v>
      </c>
      <c r="N28" s="37">
        <f>+'G&amp;A'!N28+'S&amp;M'!N28+Develop!N28+Factory!N28</f>
        <v>0</v>
      </c>
      <c r="O28" s="37">
        <f>+'G&amp;A'!O28+'S&amp;M'!O28+Develop!O28+Factory!O28</f>
        <v>0</v>
      </c>
      <c r="P28" s="37">
        <f>+'G&amp;A'!P28+'S&amp;M'!P28+Develop!P28+Factory!P28</f>
        <v>0</v>
      </c>
      <c r="Q28" s="37"/>
      <c r="R28" s="37">
        <f>+'G&amp;A'!R28+'S&amp;M'!R28+Develop!R28+Factory!R28</f>
        <v>0</v>
      </c>
      <c r="S28" s="37">
        <f>+'G&amp;A'!S28+'S&amp;M'!S28+Develop!S28+Factory!S28</f>
        <v>0</v>
      </c>
      <c r="T28" s="37">
        <f>+'G&amp;A'!T28+'S&amp;M'!T28+Develop!T28+Factory!T28</f>
        <v>0</v>
      </c>
      <c r="U28" s="37">
        <f>+'G&amp;A'!U28+'S&amp;M'!U28+Develop!U28+Factory!U28</f>
        <v>0</v>
      </c>
      <c r="V28" s="37">
        <f>+'G&amp;A'!V28+'S&amp;M'!V28+Develop!V28+Factory!V28</f>
        <v>0</v>
      </c>
      <c r="W28" s="37">
        <f>+'G&amp;A'!W28+'S&amp;M'!W28+Develop!W28+Factory!W28</f>
        <v>0</v>
      </c>
      <c r="X28" s="37">
        <f>+'G&amp;A'!X28+'S&amp;M'!X28+Develop!X28+Factory!X28</f>
        <v>0</v>
      </c>
      <c r="Y28" s="37">
        <f>+'G&amp;A'!Y28+'S&amp;M'!Y28+Develop!Y28+Factory!Y28</f>
        <v>0</v>
      </c>
      <c r="Z28" s="37">
        <f>+'G&amp;A'!Z28+'S&amp;M'!Z28+Develop!Z28+Factory!Z28</f>
        <v>0</v>
      </c>
      <c r="AA28" s="37">
        <f>+'G&amp;A'!AA28+'S&amp;M'!AA28+Develop!AA28+Factory!AA28</f>
        <v>0</v>
      </c>
      <c r="AB28" s="37">
        <f>+'G&amp;A'!AB28+'S&amp;M'!AB28+Develop!AB28+Factory!AB28</f>
        <v>0</v>
      </c>
      <c r="AC28" s="37">
        <f>+'G&amp;A'!AC28+'S&amp;M'!AC28+Develop!AC28+Factory!AC28</f>
        <v>0</v>
      </c>
      <c r="AD28" s="37"/>
      <c r="AE28" s="37">
        <f>+'G&amp;A'!AE28+'S&amp;M'!AE28+Develop!AE28+Factory!AE28</f>
        <v>0</v>
      </c>
      <c r="AF28" s="37">
        <f>+'G&amp;A'!AF28+'S&amp;M'!AF28+Develop!AF28+Factory!AF28</f>
        <v>0</v>
      </c>
      <c r="AG28" s="37">
        <f>+'G&amp;A'!AG28+'S&amp;M'!AG28+Develop!AG28+Factory!AG28</f>
        <v>0</v>
      </c>
      <c r="AH28" s="37">
        <f>+'G&amp;A'!AH28+'S&amp;M'!AH28+Develop!AH28+Factory!AH28</f>
        <v>0</v>
      </c>
      <c r="AI28" s="37">
        <f>+'G&amp;A'!AI28+'S&amp;M'!AI28+Develop!AI28+Factory!AI28</f>
        <v>0</v>
      </c>
      <c r="AJ28" s="37">
        <f>+'G&amp;A'!AJ28+'S&amp;M'!AJ28+Develop!AJ28+Factory!AJ28</f>
        <v>0</v>
      </c>
      <c r="AK28" s="37">
        <f>+'G&amp;A'!AK28+'S&amp;M'!AK28+Develop!AK28+Factory!AK28</f>
        <v>0</v>
      </c>
      <c r="AL28" s="37">
        <f>+'G&amp;A'!AL28+'S&amp;M'!AL28+Develop!AL28+Factory!AL28</f>
        <v>0</v>
      </c>
      <c r="AM28" s="37">
        <f>+'G&amp;A'!AM28+'S&amp;M'!AM28+Develop!AM28+Factory!AM28</f>
        <v>0</v>
      </c>
      <c r="AN28" s="37">
        <f>+'G&amp;A'!AN28+'S&amp;M'!AN28+Develop!AN28+Factory!AN28</f>
        <v>0</v>
      </c>
      <c r="AO28" s="37">
        <f>+'G&amp;A'!AO28+'S&amp;M'!AO28+Develop!AO28+Factory!AO28</f>
        <v>0</v>
      </c>
      <c r="AP28" s="37">
        <f>+'G&amp;A'!AP28+'S&amp;M'!AP28+Develop!AP28+Factory!AP28</f>
        <v>0</v>
      </c>
      <c r="AQ28" s="37"/>
      <c r="AR28" s="37">
        <f t="shared" ref="AR28:AR32" si="98">SUM(E28:P28)</f>
        <v>0</v>
      </c>
      <c r="AS28" s="37">
        <f t="shared" ref="AS28:AS32" si="99">SUM(E28:G28)</f>
        <v>0</v>
      </c>
      <c r="AT28" s="37">
        <f t="shared" ref="AT28:AT32" si="100">SUM(H28:J28)</f>
        <v>0</v>
      </c>
      <c r="AU28" s="37">
        <f t="shared" ref="AU28:AU32" si="101">SUM(K28:M28)</f>
        <v>0</v>
      </c>
      <c r="AV28" s="37">
        <f t="shared" ref="AV28:AV32" si="102">SUM(N28:P28)</f>
        <v>0</v>
      </c>
      <c r="AW28" s="37"/>
      <c r="AX28" s="37">
        <f t="shared" ref="AX28:AX32" si="103">SUM(R28:AC28)</f>
        <v>0</v>
      </c>
      <c r="AY28" s="37">
        <f t="shared" ref="AY28:AY32" si="104">SUM(R28:T28)</f>
        <v>0</v>
      </c>
      <c r="AZ28" s="37">
        <f t="shared" ref="AZ28:AZ32" si="105">SUM(U28:W28)</f>
        <v>0</v>
      </c>
      <c r="BA28" s="37">
        <f t="shared" ref="BA28:BA32" si="106">SUM(X28:Z28)</f>
        <v>0</v>
      </c>
      <c r="BB28" s="37">
        <f t="shared" ref="BB28:BB32" si="107">SUM(AA28:AC28)</f>
        <v>0</v>
      </c>
      <c r="BC28" s="37"/>
      <c r="BD28" s="37">
        <f t="shared" ref="BD28:BD32" si="108">SUM(AE28:AP28)</f>
        <v>0</v>
      </c>
      <c r="BE28" s="37">
        <f t="shared" ref="BE28:BE32" si="109">SUM(AE28:AG28)</f>
        <v>0</v>
      </c>
      <c r="BF28" s="37">
        <f t="shared" ref="BF28:BF32" si="110">SUM(AH28:AJ28)</f>
        <v>0</v>
      </c>
      <c r="BG28" s="37">
        <f t="shared" ref="BG28:BG32" si="111">SUM(AK28:AM28)</f>
        <v>0</v>
      </c>
      <c r="BH28" s="37">
        <f t="shared" ref="BH28:BH32" si="112">SUM(AN28:AP28)</f>
        <v>0</v>
      </c>
    </row>
    <row r="29" spans="2:60" s="16" customFormat="1" x14ac:dyDescent="0.25">
      <c r="B29" s="16" t="s">
        <v>31</v>
      </c>
      <c r="E29" s="37">
        <f>+'G&amp;A'!E29+'S&amp;M'!E29+Develop!E29+Factory!E29</f>
        <v>0</v>
      </c>
      <c r="F29" s="37">
        <f>+'G&amp;A'!F29+'S&amp;M'!F29+Develop!F29+Factory!F29</f>
        <v>0</v>
      </c>
      <c r="G29" s="37">
        <f>+'G&amp;A'!G29+'S&amp;M'!G29+Develop!G29+Factory!G29</f>
        <v>0</v>
      </c>
      <c r="H29" s="37">
        <f>+'G&amp;A'!H29+'S&amp;M'!H29+Develop!H29+Factory!H29</f>
        <v>0</v>
      </c>
      <c r="I29" s="37">
        <f>+'G&amp;A'!I29+'S&amp;M'!I29+Develop!I29+Factory!I29</f>
        <v>0</v>
      </c>
      <c r="J29" s="37">
        <f>+'G&amp;A'!J29+'S&amp;M'!J29+Develop!J29+Factory!J29</f>
        <v>0</v>
      </c>
      <c r="K29" s="37">
        <f>+'G&amp;A'!K29+'S&amp;M'!K29+Develop!K29+Factory!K29</f>
        <v>0</v>
      </c>
      <c r="L29" s="37">
        <f>+'G&amp;A'!L29+'S&amp;M'!L29+Develop!L29+Factory!L29</f>
        <v>0</v>
      </c>
      <c r="M29" s="37">
        <f>+'G&amp;A'!M29+'S&amp;M'!M29+Develop!M29+Factory!M29</f>
        <v>0</v>
      </c>
      <c r="N29" s="37">
        <f>+'G&amp;A'!N29+'S&amp;M'!N29+Develop!N29+Factory!N29</f>
        <v>0</v>
      </c>
      <c r="O29" s="37">
        <f>+'G&amp;A'!O29+'S&amp;M'!O29+Develop!O29+Factory!O29</f>
        <v>0</v>
      </c>
      <c r="P29" s="37">
        <f>+'G&amp;A'!P29+'S&amp;M'!P29+Develop!P29+Factory!P29</f>
        <v>0</v>
      </c>
      <c r="Q29" s="37"/>
      <c r="R29" s="37">
        <f>+'G&amp;A'!R29+'S&amp;M'!R29+Develop!R29+Factory!R29</f>
        <v>0</v>
      </c>
      <c r="S29" s="37">
        <f>+'G&amp;A'!S29+'S&amp;M'!S29+Develop!S29+Factory!S29</f>
        <v>0</v>
      </c>
      <c r="T29" s="37">
        <f>+'G&amp;A'!T29+'S&amp;M'!T29+Develop!T29+Factory!T29</f>
        <v>0</v>
      </c>
      <c r="U29" s="37">
        <f>+'G&amp;A'!U29+'S&amp;M'!U29+Develop!U29+Factory!U29</f>
        <v>0</v>
      </c>
      <c r="V29" s="37">
        <f>+'G&amp;A'!V29+'S&amp;M'!V29+Develop!V29+Factory!V29</f>
        <v>0</v>
      </c>
      <c r="W29" s="37">
        <f>+'G&amp;A'!W29+'S&amp;M'!W29+Develop!W29+Factory!W29</f>
        <v>0</v>
      </c>
      <c r="X29" s="37">
        <f>+'G&amp;A'!X29+'S&amp;M'!X29+Develop!X29+Factory!X29</f>
        <v>0</v>
      </c>
      <c r="Y29" s="37">
        <f>+'G&amp;A'!Y29+'S&amp;M'!Y29+Develop!Y29+Factory!Y29</f>
        <v>0</v>
      </c>
      <c r="Z29" s="37">
        <f>+'G&amp;A'!Z29+'S&amp;M'!Z29+Develop!Z29+Factory!Z29</f>
        <v>0</v>
      </c>
      <c r="AA29" s="37">
        <f>+'G&amp;A'!AA29+'S&amp;M'!AA29+Develop!AA29+Factory!AA29</f>
        <v>0</v>
      </c>
      <c r="AB29" s="37">
        <f>+'G&amp;A'!AB29+'S&amp;M'!AB29+Develop!AB29+Factory!AB29</f>
        <v>0</v>
      </c>
      <c r="AC29" s="37">
        <f>+'G&amp;A'!AC29+'S&amp;M'!AC29+Develop!AC29+Factory!AC29</f>
        <v>0</v>
      </c>
      <c r="AD29" s="37"/>
      <c r="AE29" s="37">
        <f>+'G&amp;A'!AE29+'S&amp;M'!AE29+Develop!AE29+Factory!AE29</f>
        <v>0</v>
      </c>
      <c r="AF29" s="37">
        <f>+'G&amp;A'!AF29+'S&amp;M'!AF29+Develop!AF29+Factory!AF29</f>
        <v>0</v>
      </c>
      <c r="AG29" s="37">
        <f>+'G&amp;A'!AG29+'S&amp;M'!AG29+Develop!AG29+Factory!AG29</f>
        <v>0</v>
      </c>
      <c r="AH29" s="37">
        <f>+'G&amp;A'!AH29+'S&amp;M'!AH29+Develop!AH29+Factory!AH29</f>
        <v>0</v>
      </c>
      <c r="AI29" s="37">
        <f>+'G&amp;A'!AI29+'S&amp;M'!AI29+Develop!AI29+Factory!AI29</f>
        <v>0</v>
      </c>
      <c r="AJ29" s="37">
        <f>+'G&amp;A'!AJ29+'S&amp;M'!AJ29+Develop!AJ29+Factory!AJ29</f>
        <v>0</v>
      </c>
      <c r="AK29" s="37">
        <f>+'G&amp;A'!AK29+'S&amp;M'!AK29+Develop!AK29+Factory!AK29</f>
        <v>0</v>
      </c>
      <c r="AL29" s="37">
        <f>+'G&amp;A'!AL29+'S&amp;M'!AL29+Develop!AL29+Factory!AL29</f>
        <v>0</v>
      </c>
      <c r="AM29" s="37">
        <f>+'G&amp;A'!AM29+'S&amp;M'!AM29+Develop!AM29+Factory!AM29</f>
        <v>0</v>
      </c>
      <c r="AN29" s="37">
        <f>+'G&amp;A'!AN29+'S&amp;M'!AN29+Develop!AN29+Factory!AN29</f>
        <v>0</v>
      </c>
      <c r="AO29" s="37">
        <f>+'G&amp;A'!AO29+'S&amp;M'!AO29+Develop!AO29+Factory!AO29</f>
        <v>0</v>
      </c>
      <c r="AP29" s="37">
        <f>+'G&amp;A'!AP29+'S&amp;M'!AP29+Develop!AP29+Factory!AP29</f>
        <v>0</v>
      </c>
      <c r="AQ29" s="37"/>
      <c r="AR29" s="37">
        <f t="shared" si="98"/>
        <v>0</v>
      </c>
      <c r="AS29" s="37">
        <f t="shared" si="99"/>
        <v>0</v>
      </c>
      <c r="AT29" s="37">
        <f t="shared" si="100"/>
        <v>0</v>
      </c>
      <c r="AU29" s="37">
        <f t="shared" si="101"/>
        <v>0</v>
      </c>
      <c r="AV29" s="37">
        <f t="shared" si="102"/>
        <v>0</v>
      </c>
      <c r="AW29" s="37"/>
      <c r="AX29" s="37">
        <f t="shared" si="103"/>
        <v>0</v>
      </c>
      <c r="AY29" s="37">
        <f t="shared" si="104"/>
        <v>0</v>
      </c>
      <c r="AZ29" s="37">
        <f t="shared" si="105"/>
        <v>0</v>
      </c>
      <c r="BA29" s="37">
        <f t="shared" si="106"/>
        <v>0</v>
      </c>
      <c r="BB29" s="37">
        <f t="shared" si="107"/>
        <v>0</v>
      </c>
      <c r="BC29" s="37"/>
      <c r="BD29" s="37">
        <f t="shared" si="108"/>
        <v>0</v>
      </c>
      <c r="BE29" s="37">
        <f t="shared" si="109"/>
        <v>0</v>
      </c>
      <c r="BF29" s="37">
        <f t="shared" si="110"/>
        <v>0</v>
      </c>
      <c r="BG29" s="37">
        <f t="shared" si="111"/>
        <v>0</v>
      </c>
      <c r="BH29" s="37">
        <f t="shared" si="112"/>
        <v>0</v>
      </c>
    </row>
    <row r="30" spans="2:60" s="16" customFormat="1" x14ac:dyDescent="0.25">
      <c r="B30" s="16" t="s">
        <v>33</v>
      </c>
      <c r="E30" s="37">
        <f>+'G&amp;A'!E30+'S&amp;M'!E30+Develop!E30+Factory!E30</f>
        <v>0</v>
      </c>
      <c r="F30" s="37">
        <f>+'G&amp;A'!F30+'S&amp;M'!F30+Develop!F30+Factory!F30</f>
        <v>0</v>
      </c>
      <c r="G30" s="37">
        <f>+'G&amp;A'!G30+'S&amp;M'!G30+Develop!G30+Factory!G30</f>
        <v>0</v>
      </c>
      <c r="H30" s="37">
        <f>+'G&amp;A'!H30+'S&amp;M'!H30+Develop!H30+Factory!H30</f>
        <v>0</v>
      </c>
      <c r="I30" s="37">
        <f>+'G&amp;A'!I30+'S&amp;M'!I30+Develop!I30+Factory!I30</f>
        <v>0</v>
      </c>
      <c r="J30" s="37">
        <f>+'G&amp;A'!J30+'S&amp;M'!J30+Develop!J30+Factory!J30</f>
        <v>0</v>
      </c>
      <c r="K30" s="37">
        <f>+'G&amp;A'!K30+'S&amp;M'!K30+Develop!K30+Factory!K30</f>
        <v>0</v>
      </c>
      <c r="L30" s="37">
        <f>+'G&amp;A'!L30+'S&amp;M'!L30+Develop!L30+Factory!L30</f>
        <v>0</v>
      </c>
      <c r="M30" s="37">
        <f>+'G&amp;A'!M30+'S&amp;M'!M30+Develop!M30+Factory!M30</f>
        <v>0</v>
      </c>
      <c r="N30" s="37">
        <f>+'G&amp;A'!N30+'S&amp;M'!N30+Develop!N30+Factory!N30</f>
        <v>0</v>
      </c>
      <c r="O30" s="37">
        <f>+'G&amp;A'!O30+'S&amp;M'!O30+Develop!O30+Factory!O30</f>
        <v>0</v>
      </c>
      <c r="P30" s="37">
        <f>+'G&amp;A'!P30+'S&amp;M'!P30+Develop!P30+Factory!P30</f>
        <v>0</v>
      </c>
      <c r="Q30" s="37"/>
      <c r="R30" s="37">
        <f>+'G&amp;A'!R30+'S&amp;M'!R30+Develop!R30+Factory!R30</f>
        <v>0</v>
      </c>
      <c r="S30" s="37">
        <f>+'G&amp;A'!S30+'S&amp;M'!S30+Develop!S30+Factory!S30</f>
        <v>0</v>
      </c>
      <c r="T30" s="37">
        <f>+'G&amp;A'!T30+'S&amp;M'!T30+Develop!T30+Factory!T30</f>
        <v>0</v>
      </c>
      <c r="U30" s="37">
        <f>+'G&amp;A'!U30+'S&amp;M'!U30+Develop!U30+Factory!U30</f>
        <v>0</v>
      </c>
      <c r="V30" s="37">
        <f>+'G&amp;A'!V30+'S&amp;M'!V30+Develop!V30+Factory!V30</f>
        <v>0</v>
      </c>
      <c r="W30" s="37">
        <f>+'G&amp;A'!W30+'S&amp;M'!W30+Develop!W30+Factory!W30</f>
        <v>0</v>
      </c>
      <c r="X30" s="37">
        <f>+'G&amp;A'!X30+'S&amp;M'!X30+Develop!X30+Factory!X30</f>
        <v>0</v>
      </c>
      <c r="Y30" s="37">
        <f>+'G&amp;A'!Y30+'S&amp;M'!Y30+Develop!Y30+Factory!Y30</f>
        <v>0</v>
      </c>
      <c r="Z30" s="37">
        <f>+'G&amp;A'!Z30+'S&amp;M'!Z30+Develop!Z30+Factory!Z30</f>
        <v>0</v>
      </c>
      <c r="AA30" s="37">
        <f>+'G&amp;A'!AA30+'S&amp;M'!AA30+Develop!AA30+Factory!AA30</f>
        <v>0</v>
      </c>
      <c r="AB30" s="37">
        <f>+'G&amp;A'!AB30+'S&amp;M'!AB30+Develop!AB30+Factory!AB30</f>
        <v>0</v>
      </c>
      <c r="AC30" s="37">
        <f>+'G&amp;A'!AC30+'S&amp;M'!AC30+Develop!AC30+Factory!AC30</f>
        <v>0</v>
      </c>
      <c r="AD30" s="37"/>
      <c r="AE30" s="37">
        <f>+'G&amp;A'!AE30+'S&amp;M'!AE30+Develop!AE30+Factory!AE30</f>
        <v>0</v>
      </c>
      <c r="AF30" s="37">
        <f>+'G&amp;A'!AF30+'S&amp;M'!AF30+Develop!AF30+Factory!AF30</f>
        <v>0</v>
      </c>
      <c r="AG30" s="37">
        <f>+'G&amp;A'!AG30+'S&amp;M'!AG30+Develop!AG30+Factory!AG30</f>
        <v>0</v>
      </c>
      <c r="AH30" s="37">
        <f>+'G&amp;A'!AH30+'S&amp;M'!AH30+Develop!AH30+Factory!AH30</f>
        <v>0</v>
      </c>
      <c r="AI30" s="37">
        <f>+'G&amp;A'!AI30+'S&amp;M'!AI30+Develop!AI30+Factory!AI30</f>
        <v>0</v>
      </c>
      <c r="AJ30" s="37">
        <f>+'G&amp;A'!AJ30+'S&amp;M'!AJ30+Develop!AJ30+Factory!AJ30</f>
        <v>0</v>
      </c>
      <c r="AK30" s="37">
        <f>+'G&amp;A'!AK30+'S&amp;M'!AK30+Develop!AK30+Factory!AK30</f>
        <v>0</v>
      </c>
      <c r="AL30" s="37">
        <f>+'G&amp;A'!AL30+'S&amp;M'!AL30+Develop!AL30+Factory!AL30</f>
        <v>0</v>
      </c>
      <c r="AM30" s="37">
        <f>+'G&amp;A'!AM30+'S&amp;M'!AM30+Develop!AM30+Factory!AM30</f>
        <v>0</v>
      </c>
      <c r="AN30" s="37">
        <f>+'G&amp;A'!AN30+'S&amp;M'!AN30+Develop!AN30+Factory!AN30</f>
        <v>0</v>
      </c>
      <c r="AO30" s="37">
        <f>+'G&amp;A'!AO30+'S&amp;M'!AO30+Develop!AO30+Factory!AO30</f>
        <v>0</v>
      </c>
      <c r="AP30" s="37">
        <f>+'G&amp;A'!AP30+'S&amp;M'!AP30+Develop!AP30+Factory!AP30</f>
        <v>0</v>
      </c>
      <c r="AQ30" s="37"/>
      <c r="AR30" s="37">
        <f t="shared" si="98"/>
        <v>0</v>
      </c>
      <c r="AS30" s="37">
        <f t="shared" si="99"/>
        <v>0</v>
      </c>
      <c r="AT30" s="37">
        <f t="shared" si="100"/>
        <v>0</v>
      </c>
      <c r="AU30" s="37">
        <f t="shared" si="101"/>
        <v>0</v>
      </c>
      <c r="AV30" s="37">
        <f t="shared" si="102"/>
        <v>0</v>
      </c>
      <c r="AW30" s="37"/>
      <c r="AX30" s="37">
        <f t="shared" si="103"/>
        <v>0</v>
      </c>
      <c r="AY30" s="37">
        <f t="shared" si="104"/>
        <v>0</v>
      </c>
      <c r="AZ30" s="37">
        <f t="shared" si="105"/>
        <v>0</v>
      </c>
      <c r="BA30" s="37">
        <f t="shared" si="106"/>
        <v>0</v>
      </c>
      <c r="BB30" s="37">
        <f t="shared" si="107"/>
        <v>0</v>
      </c>
      <c r="BC30" s="37"/>
      <c r="BD30" s="37">
        <f t="shared" si="108"/>
        <v>0</v>
      </c>
      <c r="BE30" s="37">
        <f t="shared" si="109"/>
        <v>0</v>
      </c>
      <c r="BF30" s="37">
        <f t="shared" si="110"/>
        <v>0</v>
      </c>
      <c r="BG30" s="37">
        <f t="shared" si="111"/>
        <v>0</v>
      </c>
      <c r="BH30" s="37">
        <f t="shared" si="112"/>
        <v>0</v>
      </c>
    </row>
    <row r="31" spans="2:60" s="16" customFormat="1" x14ac:dyDescent="0.25">
      <c r="B31" s="16" t="s">
        <v>30</v>
      </c>
      <c r="E31" s="37">
        <f>+'G&amp;A'!E31+'S&amp;M'!E31+Develop!E31+Factory!E31</f>
        <v>0</v>
      </c>
      <c r="F31" s="37">
        <f>+'G&amp;A'!F31+'S&amp;M'!F31+Develop!F31+Factory!F31</f>
        <v>0</v>
      </c>
      <c r="G31" s="37">
        <f>+'G&amp;A'!G31+'S&amp;M'!G31+Develop!G31+Factory!G31</f>
        <v>0</v>
      </c>
      <c r="H31" s="37">
        <f>+'G&amp;A'!H31+'S&amp;M'!H31+Develop!H31+Factory!H31</f>
        <v>0</v>
      </c>
      <c r="I31" s="37">
        <f>+'G&amp;A'!I31+'S&amp;M'!I31+Develop!I31+Factory!I31</f>
        <v>0</v>
      </c>
      <c r="J31" s="37">
        <f>+'G&amp;A'!J31+'S&amp;M'!J31+Develop!J31+Factory!J31</f>
        <v>0</v>
      </c>
      <c r="K31" s="37">
        <f>+'G&amp;A'!K31+'S&amp;M'!K31+Develop!K31+Factory!K31</f>
        <v>0</v>
      </c>
      <c r="L31" s="37">
        <f>+'G&amp;A'!L31+'S&amp;M'!L31+Develop!L31+Factory!L31</f>
        <v>0</v>
      </c>
      <c r="M31" s="37">
        <f>+'G&amp;A'!M31+'S&amp;M'!M31+Develop!M31+Factory!M31</f>
        <v>0</v>
      </c>
      <c r="N31" s="37">
        <f>+'G&amp;A'!N31+'S&amp;M'!N31+Develop!N31+Factory!N31</f>
        <v>0</v>
      </c>
      <c r="O31" s="37">
        <f>+'G&amp;A'!O31+'S&amp;M'!O31+Develop!O31+Factory!O31</f>
        <v>0</v>
      </c>
      <c r="P31" s="37">
        <f>+'G&amp;A'!P31+'S&amp;M'!P31+Develop!P31+Factory!P31</f>
        <v>0</v>
      </c>
      <c r="Q31" s="37"/>
      <c r="R31" s="37">
        <f>+'G&amp;A'!R31+'S&amp;M'!R31+Develop!R31+Factory!R31</f>
        <v>0</v>
      </c>
      <c r="S31" s="37">
        <f>+'G&amp;A'!S31+'S&amp;M'!S31+Develop!S31+Factory!S31</f>
        <v>0</v>
      </c>
      <c r="T31" s="37">
        <f>+'G&amp;A'!T31+'S&amp;M'!T31+Develop!T31+Factory!T31</f>
        <v>0</v>
      </c>
      <c r="U31" s="37">
        <f>+'G&amp;A'!U31+'S&amp;M'!U31+Develop!U31+Factory!U31</f>
        <v>0</v>
      </c>
      <c r="V31" s="37">
        <f>+'G&amp;A'!V31+'S&amp;M'!V31+Develop!V31+Factory!V31</f>
        <v>1000</v>
      </c>
      <c r="W31" s="37">
        <f>+'G&amp;A'!W31+'S&amp;M'!W31+Develop!W31+Factory!W31</f>
        <v>0</v>
      </c>
      <c r="X31" s="37">
        <f>+'G&amp;A'!X31+'S&amp;M'!X31+Develop!X31+Factory!X31</f>
        <v>0</v>
      </c>
      <c r="Y31" s="37">
        <f>+'G&amp;A'!Y31+'S&amp;M'!Y31+Develop!Y31+Factory!Y31</f>
        <v>3000</v>
      </c>
      <c r="Z31" s="37">
        <f>+'G&amp;A'!Z31+'S&amp;M'!Z31+Develop!Z31+Factory!Z31</f>
        <v>0</v>
      </c>
      <c r="AA31" s="37">
        <f>+'G&amp;A'!AA31+'S&amp;M'!AA31+Develop!AA31+Factory!AA31</f>
        <v>0</v>
      </c>
      <c r="AB31" s="37">
        <f>+'G&amp;A'!AB31+'S&amp;M'!AB31+Develop!AB31+Factory!AB31</f>
        <v>2000</v>
      </c>
      <c r="AC31" s="37">
        <f>+'G&amp;A'!AC31+'S&amp;M'!AC31+Develop!AC31+Factory!AC31</f>
        <v>0</v>
      </c>
      <c r="AD31" s="37"/>
      <c r="AE31" s="37">
        <f>+'G&amp;A'!AE31+'S&amp;M'!AE31+Develop!AE31+Factory!AE31</f>
        <v>0</v>
      </c>
      <c r="AF31" s="37">
        <f>+'G&amp;A'!AF31+'S&amp;M'!AF31+Develop!AF31+Factory!AF31</f>
        <v>4000</v>
      </c>
      <c r="AG31" s="37">
        <f>+'G&amp;A'!AG31+'S&amp;M'!AG31+Develop!AG31+Factory!AG31</f>
        <v>0</v>
      </c>
      <c r="AH31" s="37">
        <f>+'G&amp;A'!AH31+'S&amp;M'!AH31+Develop!AH31+Factory!AH31</f>
        <v>0</v>
      </c>
      <c r="AI31" s="37">
        <f>+'G&amp;A'!AI31+'S&amp;M'!AI31+Develop!AI31+Factory!AI31</f>
        <v>0</v>
      </c>
      <c r="AJ31" s="37">
        <f>+'G&amp;A'!AJ31+'S&amp;M'!AJ31+Develop!AJ31+Factory!AJ31</f>
        <v>0</v>
      </c>
      <c r="AK31" s="37">
        <f>+'G&amp;A'!AK31+'S&amp;M'!AK31+Develop!AK31+Factory!AK31</f>
        <v>4000</v>
      </c>
      <c r="AL31" s="37">
        <f>+'G&amp;A'!AL31+'S&amp;M'!AL31+Develop!AL31+Factory!AL31</f>
        <v>0</v>
      </c>
      <c r="AM31" s="37">
        <f>+'G&amp;A'!AM31+'S&amp;M'!AM31+Develop!AM31+Factory!AM31</f>
        <v>0</v>
      </c>
      <c r="AN31" s="37">
        <f>+'G&amp;A'!AN31+'S&amp;M'!AN31+Develop!AN31+Factory!AN31</f>
        <v>0</v>
      </c>
      <c r="AO31" s="37">
        <f>+'G&amp;A'!AO31+'S&amp;M'!AO31+Develop!AO31+Factory!AO31</f>
        <v>0</v>
      </c>
      <c r="AP31" s="37">
        <f>+'G&amp;A'!AP31+'S&amp;M'!AP31+Develop!AP31+Factory!AP31</f>
        <v>0</v>
      </c>
      <c r="AQ31" s="37"/>
      <c r="AR31" s="37">
        <f t="shared" si="98"/>
        <v>0</v>
      </c>
      <c r="AS31" s="37">
        <f t="shared" si="99"/>
        <v>0</v>
      </c>
      <c r="AT31" s="37">
        <f t="shared" si="100"/>
        <v>0</v>
      </c>
      <c r="AU31" s="37">
        <f t="shared" si="101"/>
        <v>0</v>
      </c>
      <c r="AV31" s="37">
        <f t="shared" si="102"/>
        <v>0</v>
      </c>
      <c r="AW31" s="37"/>
      <c r="AX31" s="37">
        <f t="shared" si="103"/>
        <v>6000</v>
      </c>
      <c r="AY31" s="37">
        <f t="shared" si="104"/>
        <v>0</v>
      </c>
      <c r="AZ31" s="37">
        <f t="shared" si="105"/>
        <v>1000</v>
      </c>
      <c r="BA31" s="37">
        <f t="shared" si="106"/>
        <v>3000</v>
      </c>
      <c r="BB31" s="37">
        <f t="shared" si="107"/>
        <v>2000</v>
      </c>
      <c r="BC31" s="37"/>
      <c r="BD31" s="37">
        <f t="shared" si="108"/>
        <v>8000</v>
      </c>
      <c r="BE31" s="37">
        <f t="shared" si="109"/>
        <v>4000</v>
      </c>
      <c r="BF31" s="37">
        <f t="shared" si="110"/>
        <v>0</v>
      </c>
      <c r="BG31" s="37">
        <f t="shared" si="111"/>
        <v>4000</v>
      </c>
      <c r="BH31" s="37">
        <f t="shared" si="112"/>
        <v>0</v>
      </c>
    </row>
    <row r="32" spans="2:60" s="16" customFormat="1" x14ac:dyDescent="0.25">
      <c r="B32" s="16" t="s">
        <v>34</v>
      </c>
      <c r="E32" s="37">
        <f>+'G&amp;A'!E32+'S&amp;M'!E32+Develop!E32+Factory!E32</f>
        <v>0</v>
      </c>
      <c r="F32" s="37">
        <f>+'G&amp;A'!F32+'S&amp;M'!F32+Develop!F32+Factory!F32</f>
        <v>0</v>
      </c>
      <c r="G32" s="37">
        <f>+'G&amp;A'!G32+'S&amp;M'!G32+Develop!G32+Factory!G32</f>
        <v>0</v>
      </c>
      <c r="H32" s="37">
        <f>+'G&amp;A'!H32+'S&amp;M'!H32+Develop!H32+Factory!H32</f>
        <v>0</v>
      </c>
      <c r="I32" s="37">
        <f>+'G&amp;A'!I32+'S&amp;M'!I32+Develop!I32+Factory!I32</f>
        <v>0</v>
      </c>
      <c r="J32" s="37">
        <f>+'G&amp;A'!J32+'S&amp;M'!J32+Develop!J32+Factory!J32</f>
        <v>0</v>
      </c>
      <c r="K32" s="37">
        <f>+'G&amp;A'!K32+'S&amp;M'!K32+Develop!K32+Factory!K32</f>
        <v>0</v>
      </c>
      <c r="L32" s="37">
        <f>+'G&amp;A'!L32+'S&amp;M'!L32+Develop!L32+Factory!L32</f>
        <v>0</v>
      </c>
      <c r="M32" s="37">
        <f>+'G&amp;A'!M32+'S&amp;M'!M32+Develop!M32+Factory!M32</f>
        <v>0</v>
      </c>
      <c r="N32" s="37">
        <f>+'G&amp;A'!N32+'S&amp;M'!N32+Develop!N32+Factory!N32</f>
        <v>0</v>
      </c>
      <c r="O32" s="37">
        <f>+'G&amp;A'!O32+'S&amp;M'!O32+Develop!O32+Factory!O32</f>
        <v>0</v>
      </c>
      <c r="P32" s="37">
        <f>+'G&amp;A'!P32+'S&amp;M'!P32+Develop!P32+Factory!P32</f>
        <v>0</v>
      </c>
      <c r="Q32" s="37"/>
      <c r="R32" s="37">
        <f>+'G&amp;A'!R32+'S&amp;M'!R32+Develop!R32+Factory!R32</f>
        <v>0</v>
      </c>
      <c r="S32" s="37">
        <f>+'G&amp;A'!S32+'S&amp;M'!S32+Develop!S32+Factory!S32</f>
        <v>0</v>
      </c>
      <c r="T32" s="37">
        <f>+'G&amp;A'!T32+'S&amp;M'!T32+Develop!T32+Factory!T32</f>
        <v>0</v>
      </c>
      <c r="U32" s="37">
        <f>+'G&amp;A'!U32+'S&amp;M'!U32+Develop!U32+Factory!U32</f>
        <v>0</v>
      </c>
      <c r="V32" s="37">
        <f>+'G&amp;A'!V32+'S&amp;M'!V32+Develop!V32+Factory!V32</f>
        <v>0</v>
      </c>
      <c r="W32" s="37">
        <f>+'G&amp;A'!W32+'S&amp;M'!W32+Develop!W32+Factory!W32</f>
        <v>5000</v>
      </c>
      <c r="X32" s="37">
        <f>+'G&amp;A'!X32+'S&amp;M'!X32+Develop!X32+Factory!X32</f>
        <v>0</v>
      </c>
      <c r="Y32" s="37">
        <f>+'G&amp;A'!Y32+'S&amp;M'!Y32+Develop!Y32+Factory!Y32</f>
        <v>0</v>
      </c>
      <c r="Z32" s="37">
        <f>+'G&amp;A'!Z32+'S&amp;M'!Z32+Develop!Z32+Factory!Z32</f>
        <v>0</v>
      </c>
      <c r="AA32" s="37">
        <f>+'G&amp;A'!AA32+'S&amp;M'!AA32+Develop!AA32+Factory!AA32</f>
        <v>0</v>
      </c>
      <c r="AB32" s="37">
        <f>+'G&amp;A'!AB32+'S&amp;M'!AB32+Develop!AB32+Factory!AB32</f>
        <v>0</v>
      </c>
      <c r="AC32" s="37">
        <f>+'G&amp;A'!AC32+'S&amp;M'!AC32+Develop!AC32+Factory!AC32</f>
        <v>5000</v>
      </c>
      <c r="AD32" s="37"/>
      <c r="AE32" s="37">
        <f>+'G&amp;A'!AE32+'S&amp;M'!AE32+Develop!AE32+Factory!AE32</f>
        <v>0</v>
      </c>
      <c r="AF32" s="37">
        <f>+'G&amp;A'!AF32+'S&amp;M'!AF32+Develop!AF32+Factory!AF32</f>
        <v>0</v>
      </c>
      <c r="AG32" s="37">
        <f>+'G&amp;A'!AG32+'S&amp;M'!AG32+Develop!AG32+Factory!AG32</f>
        <v>0</v>
      </c>
      <c r="AH32" s="37">
        <f>+'G&amp;A'!AH32+'S&amp;M'!AH32+Develop!AH32+Factory!AH32</f>
        <v>0</v>
      </c>
      <c r="AI32" s="37">
        <f>+'G&amp;A'!AI32+'S&amp;M'!AI32+Develop!AI32+Factory!AI32</f>
        <v>0</v>
      </c>
      <c r="AJ32" s="37">
        <f>+'G&amp;A'!AJ32+'S&amp;M'!AJ32+Develop!AJ32+Factory!AJ32</f>
        <v>10000</v>
      </c>
      <c r="AK32" s="37">
        <f>+'G&amp;A'!AK32+'S&amp;M'!AK32+Develop!AK32+Factory!AK32</f>
        <v>0</v>
      </c>
      <c r="AL32" s="37">
        <f>+'G&amp;A'!AL32+'S&amp;M'!AL32+Develop!AL32+Factory!AL32</f>
        <v>0</v>
      </c>
      <c r="AM32" s="37">
        <f>+'G&amp;A'!AM32+'S&amp;M'!AM32+Develop!AM32+Factory!AM32</f>
        <v>0</v>
      </c>
      <c r="AN32" s="37">
        <f>+'G&amp;A'!AN32+'S&amp;M'!AN32+Develop!AN32+Factory!AN32</f>
        <v>0</v>
      </c>
      <c r="AO32" s="37">
        <f>+'G&amp;A'!AO32+'S&amp;M'!AO32+Develop!AO32+Factory!AO32</f>
        <v>0</v>
      </c>
      <c r="AP32" s="37">
        <f>+'G&amp;A'!AP32+'S&amp;M'!AP32+Develop!AP32+Factory!AP32</f>
        <v>10000</v>
      </c>
      <c r="AQ32" s="37"/>
      <c r="AR32" s="37">
        <f t="shared" si="98"/>
        <v>0</v>
      </c>
      <c r="AS32" s="37">
        <f t="shared" si="99"/>
        <v>0</v>
      </c>
      <c r="AT32" s="37">
        <f t="shared" si="100"/>
        <v>0</v>
      </c>
      <c r="AU32" s="37">
        <f t="shared" si="101"/>
        <v>0</v>
      </c>
      <c r="AV32" s="37">
        <f t="shared" si="102"/>
        <v>0</v>
      </c>
      <c r="AW32" s="37"/>
      <c r="AX32" s="37">
        <f t="shared" si="103"/>
        <v>10000</v>
      </c>
      <c r="AY32" s="37">
        <f t="shared" si="104"/>
        <v>0</v>
      </c>
      <c r="AZ32" s="37">
        <f t="shared" si="105"/>
        <v>5000</v>
      </c>
      <c r="BA32" s="37">
        <f t="shared" si="106"/>
        <v>0</v>
      </c>
      <c r="BB32" s="37">
        <f t="shared" si="107"/>
        <v>5000</v>
      </c>
      <c r="BC32" s="37"/>
      <c r="BD32" s="37">
        <f t="shared" si="108"/>
        <v>20000</v>
      </c>
      <c r="BE32" s="37">
        <f t="shared" si="109"/>
        <v>0</v>
      </c>
      <c r="BF32" s="37">
        <f t="shared" si="110"/>
        <v>10000</v>
      </c>
      <c r="BG32" s="37">
        <f t="shared" si="111"/>
        <v>0</v>
      </c>
      <c r="BH32" s="37">
        <f t="shared" si="112"/>
        <v>10000</v>
      </c>
    </row>
    <row r="33" spans="2:60" s="16" customFormat="1" x14ac:dyDescent="0.25">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row>
    <row r="34" spans="2:60" s="16" customFormat="1" x14ac:dyDescent="0.25">
      <c r="B34" s="16" t="s">
        <v>35</v>
      </c>
      <c r="E34" s="38">
        <f>SUBTOTAL(9,E28:E33)</f>
        <v>0</v>
      </c>
      <c r="F34" s="38">
        <f t="shared" ref="F34:P34" si="113">SUBTOTAL(9,F28:F33)</f>
        <v>0</v>
      </c>
      <c r="G34" s="38">
        <f t="shared" si="113"/>
        <v>0</v>
      </c>
      <c r="H34" s="38">
        <f t="shared" si="113"/>
        <v>0</v>
      </c>
      <c r="I34" s="38">
        <f t="shared" si="113"/>
        <v>0</v>
      </c>
      <c r="J34" s="38">
        <f t="shared" si="113"/>
        <v>0</v>
      </c>
      <c r="K34" s="38">
        <f t="shared" si="113"/>
        <v>0</v>
      </c>
      <c r="L34" s="38">
        <f t="shared" si="113"/>
        <v>0</v>
      </c>
      <c r="M34" s="38">
        <f t="shared" si="113"/>
        <v>0</v>
      </c>
      <c r="N34" s="38">
        <f t="shared" si="113"/>
        <v>0</v>
      </c>
      <c r="O34" s="38">
        <f t="shared" si="113"/>
        <v>0</v>
      </c>
      <c r="P34" s="38">
        <f t="shared" si="113"/>
        <v>0</v>
      </c>
      <c r="Q34" s="37"/>
      <c r="R34" s="38">
        <f>SUBTOTAL(9,R28:R33)</f>
        <v>0</v>
      </c>
      <c r="S34" s="38">
        <f t="shared" ref="S34:AC34" si="114">SUBTOTAL(9,S28:S33)</f>
        <v>0</v>
      </c>
      <c r="T34" s="38">
        <f t="shared" si="114"/>
        <v>0</v>
      </c>
      <c r="U34" s="38">
        <f t="shared" si="114"/>
        <v>0</v>
      </c>
      <c r="V34" s="38">
        <f t="shared" si="114"/>
        <v>1000</v>
      </c>
      <c r="W34" s="38">
        <f t="shared" si="114"/>
        <v>5000</v>
      </c>
      <c r="X34" s="38">
        <f t="shared" si="114"/>
        <v>0</v>
      </c>
      <c r="Y34" s="38">
        <f t="shared" si="114"/>
        <v>3000</v>
      </c>
      <c r="Z34" s="38">
        <f t="shared" si="114"/>
        <v>0</v>
      </c>
      <c r="AA34" s="38">
        <f t="shared" si="114"/>
        <v>0</v>
      </c>
      <c r="AB34" s="38">
        <f t="shared" si="114"/>
        <v>2000</v>
      </c>
      <c r="AC34" s="38">
        <f t="shared" si="114"/>
        <v>5000</v>
      </c>
      <c r="AD34" s="37"/>
      <c r="AE34" s="38">
        <f>SUBTOTAL(9,AE28:AE33)</f>
        <v>0</v>
      </c>
      <c r="AF34" s="38">
        <f t="shared" ref="AF34:AP34" si="115">SUBTOTAL(9,AF28:AF33)</f>
        <v>4000</v>
      </c>
      <c r="AG34" s="38">
        <f t="shared" si="115"/>
        <v>0</v>
      </c>
      <c r="AH34" s="38">
        <f t="shared" si="115"/>
        <v>0</v>
      </c>
      <c r="AI34" s="38">
        <f t="shared" si="115"/>
        <v>0</v>
      </c>
      <c r="AJ34" s="38">
        <f t="shared" si="115"/>
        <v>10000</v>
      </c>
      <c r="AK34" s="38">
        <f t="shared" si="115"/>
        <v>4000</v>
      </c>
      <c r="AL34" s="38">
        <f t="shared" si="115"/>
        <v>0</v>
      </c>
      <c r="AM34" s="38">
        <f t="shared" si="115"/>
        <v>0</v>
      </c>
      <c r="AN34" s="38">
        <f t="shared" si="115"/>
        <v>0</v>
      </c>
      <c r="AO34" s="38">
        <f t="shared" si="115"/>
        <v>0</v>
      </c>
      <c r="AP34" s="38">
        <f t="shared" si="115"/>
        <v>10000</v>
      </c>
      <c r="AQ34" s="37"/>
      <c r="AR34" s="38">
        <f t="shared" ref="AR34:AV34" si="116">SUBTOTAL(9,AR28:AR33)</f>
        <v>0</v>
      </c>
      <c r="AS34" s="38">
        <f t="shared" si="116"/>
        <v>0</v>
      </c>
      <c r="AT34" s="38">
        <f t="shared" si="116"/>
        <v>0</v>
      </c>
      <c r="AU34" s="38">
        <f t="shared" si="116"/>
        <v>0</v>
      </c>
      <c r="AV34" s="38">
        <f t="shared" si="116"/>
        <v>0</v>
      </c>
      <c r="AW34" s="37"/>
      <c r="AX34" s="38">
        <f t="shared" ref="AX34:BB34" si="117">SUBTOTAL(9,AX28:AX33)</f>
        <v>16000</v>
      </c>
      <c r="AY34" s="38">
        <f t="shared" si="117"/>
        <v>0</v>
      </c>
      <c r="AZ34" s="38">
        <f t="shared" si="117"/>
        <v>6000</v>
      </c>
      <c r="BA34" s="38">
        <f t="shared" si="117"/>
        <v>3000</v>
      </c>
      <c r="BB34" s="38">
        <f t="shared" si="117"/>
        <v>7000</v>
      </c>
      <c r="BC34" s="37"/>
      <c r="BD34" s="38">
        <f t="shared" ref="BD34:BH34" si="118">SUBTOTAL(9,BD28:BD33)</f>
        <v>28000</v>
      </c>
      <c r="BE34" s="38">
        <f t="shared" si="118"/>
        <v>4000</v>
      </c>
      <c r="BF34" s="38">
        <f t="shared" si="118"/>
        <v>10000</v>
      </c>
      <c r="BG34" s="38">
        <f t="shared" si="118"/>
        <v>4000</v>
      </c>
      <c r="BH34" s="38">
        <f t="shared" si="118"/>
        <v>10000</v>
      </c>
    </row>
    <row r="35" spans="2:60" s="16" customFormat="1" x14ac:dyDescent="0.25">
      <c r="E35" s="39"/>
      <c r="F35" s="39"/>
      <c r="G35" s="39"/>
      <c r="H35" s="39"/>
      <c r="I35" s="39"/>
      <c r="J35" s="39"/>
      <c r="K35" s="39"/>
      <c r="L35" s="39"/>
      <c r="M35" s="39"/>
      <c r="N35" s="39"/>
      <c r="O35" s="39"/>
      <c r="P35" s="39"/>
      <c r="Q35" s="37"/>
      <c r="R35" s="39"/>
      <c r="S35" s="39"/>
      <c r="T35" s="39"/>
      <c r="U35" s="39"/>
      <c r="V35" s="39"/>
      <c r="W35" s="39"/>
      <c r="X35" s="39"/>
      <c r="Y35" s="39"/>
      <c r="Z35" s="39"/>
      <c r="AA35" s="39"/>
      <c r="AB35" s="39"/>
      <c r="AC35" s="39"/>
      <c r="AD35" s="37"/>
      <c r="AE35" s="39"/>
      <c r="AF35" s="39"/>
      <c r="AG35" s="39"/>
      <c r="AH35" s="39"/>
      <c r="AI35" s="39"/>
      <c r="AJ35" s="39"/>
      <c r="AK35" s="39"/>
      <c r="AL35" s="39"/>
      <c r="AM35" s="39"/>
      <c r="AN35" s="39"/>
      <c r="AO35" s="39"/>
      <c r="AP35" s="39"/>
      <c r="AQ35" s="37"/>
      <c r="AR35" s="37"/>
      <c r="AS35" s="37"/>
      <c r="AT35" s="37"/>
      <c r="AU35" s="37"/>
      <c r="AV35" s="37"/>
      <c r="AW35" s="37"/>
      <c r="AX35" s="37"/>
      <c r="AY35" s="37"/>
      <c r="AZ35" s="37"/>
      <c r="BA35" s="37"/>
      <c r="BB35" s="37"/>
      <c r="BC35" s="37"/>
      <c r="BD35" s="37"/>
      <c r="BE35" s="37"/>
      <c r="BF35" s="37"/>
      <c r="BG35" s="37"/>
      <c r="BH35" s="37"/>
    </row>
    <row r="36" spans="2:60" s="16" customFormat="1" x14ac:dyDescent="0.25">
      <c r="B36" s="16" t="s">
        <v>203</v>
      </c>
      <c r="E36" s="37">
        <f>+'G&amp;A'!E36+'S&amp;M'!E36+Develop!E36+Factory!E36</f>
        <v>0</v>
      </c>
      <c r="F36" s="37">
        <f>+'G&amp;A'!F36+'S&amp;M'!F36+Develop!F36+Factory!F36</f>
        <v>0</v>
      </c>
      <c r="G36" s="37">
        <f>+'G&amp;A'!G36+'S&amp;M'!G36+Develop!G36+Factory!G36</f>
        <v>0</v>
      </c>
      <c r="H36" s="37">
        <f>+'G&amp;A'!H36+'S&amp;M'!H36+Develop!H36+Factory!H36</f>
        <v>0</v>
      </c>
      <c r="I36" s="37">
        <f>+'G&amp;A'!I36+'S&amp;M'!I36+Develop!I36+Factory!I36</f>
        <v>0</v>
      </c>
      <c r="J36" s="37">
        <f>+'G&amp;A'!J36+'S&amp;M'!J36+Develop!J36+Factory!J36</f>
        <v>0</v>
      </c>
      <c r="K36" s="37">
        <f>+'G&amp;A'!K36+'S&amp;M'!K36+Develop!K36+Factory!K36</f>
        <v>0</v>
      </c>
      <c r="L36" s="37">
        <f>+'G&amp;A'!L36+'S&amp;M'!L36+Develop!L36+Factory!L36</f>
        <v>0</v>
      </c>
      <c r="M36" s="37">
        <f>+'G&amp;A'!M36+'S&amp;M'!M36+Develop!M36+Factory!M36</f>
        <v>0</v>
      </c>
      <c r="N36" s="37">
        <f>+'G&amp;A'!N36+'S&amp;M'!N36+Develop!N36+Factory!N36</f>
        <v>0</v>
      </c>
      <c r="O36" s="37">
        <f>+'G&amp;A'!O36+'S&amp;M'!O36+Develop!O36+Factory!O36</f>
        <v>0</v>
      </c>
      <c r="P36" s="37">
        <f>+'G&amp;A'!P36+'S&amp;M'!P36+Develop!P36+Factory!P36</f>
        <v>0</v>
      </c>
      <c r="Q36" s="37"/>
      <c r="R36" s="37">
        <f>+'G&amp;A'!R36+'S&amp;M'!R36+Develop!R36+Factory!R36</f>
        <v>3000</v>
      </c>
      <c r="S36" s="37">
        <f>+'G&amp;A'!S36+'S&amp;M'!S36+Develop!S36+Factory!S36</f>
        <v>3000</v>
      </c>
      <c r="T36" s="37">
        <f>+'G&amp;A'!T36+'S&amp;M'!T36+Develop!T36+Factory!T36</f>
        <v>3000</v>
      </c>
      <c r="U36" s="37">
        <f>+'G&amp;A'!U36+'S&amp;M'!U36+Develop!U36+Factory!U36</f>
        <v>3000</v>
      </c>
      <c r="V36" s="37">
        <f>+'G&amp;A'!V36+'S&amp;M'!V36+Develop!V36+Factory!V36</f>
        <v>3000</v>
      </c>
      <c r="W36" s="37">
        <f>+'G&amp;A'!W36+'S&amp;M'!W36+Develop!W36+Factory!W36</f>
        <v>4000</v>
      </c>
      <c r="X36" s="37">
        <f>+'G&amp;A'!X36+'S&amp;M'!X36+Develop!X36+Factory!X36</f>
        <v>3000</v>
      </c>
      <c r="Y36" s="37">
        <f>+'G&amp;A'!Y36+'S&amp;M'!Y36+Develop!Y36+Factory!Y36</f>
        <v>4000</v>
      </c>
      <c r="Z36" s="37">
        <f>+'G&amp;A'!Z36+'S&amp;M'!Z36+Develop!Z36+Factory!Z36</f>
        <v>3000</v>
      </c>
      <c r="AA36" s="37">
        <f>+'G&amp;A'!AA36+'S&amp;M'!AA36+Develop!AA36+Factory!AA36</f>
        <v>4000</v>
      </c>
      <c r="AB36" s="37">
        <f>+'G&amp;A'!AB36+'S&amp;M'!AB36+Develop!AB36+Factory!AB36</f>
        <v>3000</v>
      </c>
      <c r="AC36" s="37">
        <f>+'G&amp;A'!AC36+'S&amp;M'!AC36+Develop!AC36+Factory!AC36</f>
        <v>4000</v>
      </c>
      <c r="AD36" s="37"/>
      <c r="AE36" s="37">
        <f>+'G&amp;A'!AE36+'S&amp;M'!AE36+Develop!AE36+Factory!AE36</f>
        <v>8500</v>
      </c>
      <c r="AF36" s="37">
        <f>+'G&amp;A'!AF36+'S&amp;M'!AF36+Develop!AF36+Factory!AF36</f>
        <v>8500</v>
      </c>
      <c r="AG36" s="37">
        <f>+'G&amp;A'!AG36+'S&amp;M'!AG36+Develop!AG36+Factory!AG36</f>
        <v>8500</v>
      </c>
      <c r="AH36" s="37">
        <f>+'G&amp;A'!AH36+'S&amp;M'!AH36+Develop!AH36+Factory!AH36</f>
        <v>8500</v>
      </c>
      <c r="AI36" s="37">
        <f>+'G&amp;A'!AI36+'S&amp;M'!AI36+Develop!AI36+Factory!AI36</f>
        <v>8500</v>
      </c>
      <c r="AJ36" s="37">
        <f>+'G&amp;A'!AJ36+'S&amp;M'!AJ36+Develop!AJ36+Factory!AJ36</f>
        <v>8500</v>
      </c>
      <c r="AK36" s="37">
        <f>+'G&amp;A'!AK36+'S&amp;M'!AK36+Develop!AK36+Factory!AK36</f>
        <v>8500</v>
      </c>
      <c r="AL36" s="37">
        <f>+'G&amp;A'!AL36+'S&amp;M'!AL36+Develop!AL36+Factory!AL36</f>
        <v>8500</v>
      </c>
      <c r="AM36" s="37">
        <f>+'G&amp;A'!AM36+'S&amp;M'!AM36+Develop!AM36+Factory!AM36</f>
        <v>8500</v>
      </c>
      <c r="AN36" s="37">
        <f>+'G&amp;A'!AN36+'S&amp;M'!AN36+Develop!AN36+Factory!AN36</f>
        <v>8500</v>
      </c>
      <c r="AO36" s="37">
        <f>+'G&amp;A'!AO36+'S&amp;M'!AO36+Develop!AO36+Factory!AO36</f>
        <v>8500</v>
      </c>
      <c r="AP36" s="37">
        <f>+'G&amp;A'!AP36+'S&amp;M'!AP36+Develop!AP36+Factory!AP36</f>
        <v>8500</v>
      </c>
      <c r="AQ36" s="37"/>
      <c r="AR36" s="37">
        <f t="shared" ref="AR36:AR39" si="119">SUM(E36:P36)</f>
        <v>0</v>
      </c>
      <c r="AS36" s="37">
        <f t="shared" ref="AS36:AS39" si="120">SUM(E36:G36)</f>
        <v>0</v>
      </c>
      <c r="AT36" s="37">
        <f t="shared" ref="AT36:AT39" si="121">SUM(H36:J36)</f>
        <v>0</v>
      </c>
      <c r="AU36" s="37">
        <f t="shared" ref="AU36:AU39" si="122">SUM(K36:M36)</f>
        <v>0</v>
      </c>
      <c r="AV36" s="37">
        <f t="shared" ref="AV36:AV39" si="123">SUM(N36:P36)</f>
        <v>0</v>
      </c>
      <c r="AW36" s="37"/>
      <c r="AX36" s="37">
        <f t="shared" ref="AX36:AX39" si="124">SUM(R36:AC36)</f>
        <v>40000</v>
      </c>
      <c r="AY36" s="37">
        <f t="shared" ref="AY36:AY39" si="125">SUM(R36:T36)</f>
        <v>9000</v>
      </c>
      <c r="AZ36" s="37">
        <f t="shared" ref="AZ36:AZ39" si="126">SUM(U36:W36)</f>
        <v>10000</v>
      </c>
      <c r="BA36" s="37">
        <f t="shared" ref="BA36:BA39" si="127">SUM(X36:Z36)</f>
        <v>10000</v>
      </c>
      <c r="BB36" s="37">
        <f t="shared" ref="BB36:BB39" si="128">SUM(AA36:AC36)</f>
        <v>11000</v>
      </c>
      <c r="BC36" s="37"/>
      <c r="BD36" s="37">
        <f t="shared" ref="BD36:BD39" si="129">SUM(AE36:AP36)</f>
        <v>102000</v>
      </c>
      <c r="BE36" s="37">
        <f t="shared" ref="BE36:BE39" si="130">SUM(AE36:AG36)</f>
        <v>25500</v>
      </c>
      <c r="BF36" s="37">
        <f t="shared" ref="BF36:BF39" si="131">SUM(AH36:AJ36)</f>
        <v>25500</v>
      </c>
      <c r="BG36" s="37">
        <f t="shared" ref="BG36:BG39" si="132">SUM(AK36:AM36)</f>
        <v>25500</v>
      </c>
      <c r="BH36" s="37">
        <f t="shared" ref="BH36:BH39" si="133">SUM(AN36:AP36)</f>
        <v>25500</v>
      </c>
    </row>
    <row r="37" spans="2:60" s="16" customFormat="1" x14ac:dyDescent="0.25">
      <c r="B37" s="16" t="s">
        <v>204</v>
      </c>
      <c r="E37" s="37">
        <f>+'G&amp;A'!E37+'S&amp;M'!E37+Develop!E37+Factory!E37</f>
        <v>0</v>
      </c>
      <c r="F37" s="37">
        <f>+'G&amp;A'!F37+'S&amp;M'!F37+Develop!F37+Factory!F37</f>
        <v>0</v>
      </c>
      <c r="G37" s="37">
        <f>+'G&amp;A'!G37+'S&amp;M'!G37+Develop!G37+Factory!G37</f>
        <v>0</v>
      </c>
      <c r="H37" s="37">
        <f>+'G&amp;A'!H37+'S&amp;M'!H37+Develop!H37+Factory!H37</f>
        <v>0</v>
      </c>
      <c r="I37" s="37">
        <f>+'G&amp;A'!I37+'S&amp;M'!I37+Develop!I37+Factory!I37</f>
        <v>0</v>
      </c>
      <c r="J37" s="37">
        <f>+'G&amp;A'!J37+'S&amp;M'!J37+Develop!J37+Factory!J37</f>
        <v>0</v>
      </c>
      <c r="K37" s="37">
        <f>+'G&amp;A'!K37+'S&amp;M'!K37+Develop!K37+Factory!K37</f>
        <v>0</v>
      </c>
      <c r="L37" s="37">
        <f>+'G&amp;A'!L37+'S&amp;M'!L37+Develop!L37+Factory!L37</f>
        <v>0</v>
      </c>
      <c r="M37" s="37">
        <f>+'G&amp;A'!M37+'S&amp;M'!M37+Develop!M37+Factory!M37</f>
        <v>0</v>
      </c>
      <c r="N37" s="37">
        <f>+'G&amp;A'!N37+'S&amp;M'!N37+Develop!N37+Factory!N37</f>
        <v>0</v>
      </c>
      <c r="O37" s="37">
        <f>+'G&amp;A'!O37+'S&amp;M'!O37+Develop!O37+Factory!O37</f>
        <v>0</v>
      </c>
      <c r="P37" s="37">
        <f>+'G&amp;A'!P37+'S&amp;M'!P37+Develop!P37+Factory!P37</f>
        <v>0</v>
      </c>
      <c r="Q37" s="37"/>
      <c r="R37" s="37">
        <f>+'G&amp;A'!R37+'S&amp;M'!R37+Develop!R37+Factory!R37</f>
        <v>0</v>
      </c>
      <c r="S37" s="37">
        <f>+'G&amp;A'!S37+'S&amp;M'!S37+Develop!S37+Factory!S37</f>
        <v>0</v>
      </c>
      <c r="T37" s="37">
        <f>+'G&amp;A'!T37+'S&amp;M'!T37+Develop!T37+Factory!T37</f>
        <v>0</v>
      </c>
      <c r="U37" s="37">
        <f>+'G&amp;A'!U37+'S&amp;M'!U37+Develop!U37+Factory!U37</f>
        <v>0</v>
      </c>
      <c r="V37" s="37">
        <f>+'G&amp;A'!V37+'S&amp;M'!V37+Develop!V37+Factory!V37</f>
        <v>0</v>
      </c>
      <c r="W37" s="37">
        <f>+'G&amp;A'!W37+'S&amp;M'!W37+Develop!W37+Factory!W37</f>
        <v>500</v>
      </c>
      <c r="X37" s="37">
        <f>+'G&amp;A'!X37+'S&amp;M'!X37+Develop!X37+Factory!X37</f>
        <v>0</v>
      </c>
      <c r="Y37" s="37">
        <f>+'G&amp;A'!Y37+'S&amp;M'!Y37+Develop!Y37+Factory!Y37</f>
        <v>500</v>
      </c>
      <c r="Z37" s="37">
        <f>+'G&amp;A'!Z37+'S&amp;M'!Z37+Develop!Z37+Factory!Z37</f>
        <v>0</v>
      </c>
      <c r="AA37" s="37">
        <f>+'G&amp;A'!AA37+'S&amp;M'!AA37+Develop!AA37+Factory!AA37</f>
        <v>500</v>
      </c>
      <c r="AB37" s="37">
        <f>+'G&amp;A'!AB37+'S&amp;M'!AB37+Develop!AB37+Factory!AB37</f>
        <v>0</v>
      </c>
      <c r="AC37" s="37">
        <f>+'G&amp;A'!AC37+'S&amp;M'!AC37+Develop!AC37+Factory!AC37</f>
        <v>600</v>
      </c>
      <c r="AD37" s="37"/>
      <c r="AE37" s="37">
        <f>+'G&amp;A'!AE37+'S&amp;M'!AE37+Develop!AE37+Factory!AE37</f>
        <v>3300</v>
      </c>
      <c r="AF37" s="37">
        <f>+'G&amp;A'!AF37+'S&amp;M'!AF37+Develop!AF37+Factory!AF37</f>
        <v>3300</v>
      </c>
      <c r="AG37" s="37">
        <f>+'G&amp;A'!AG37+'S&amp;M'!AG37+Develop!AG37+Factory!AG37</f>
        <v>3300</v>
      </c>
      <c r="AH37" s="37">
        <f>+'G&amp;A'!AH37+'S&amp;M'!AH37+Develop!AH37+Factory!AH37</f>
        <v>3300</v>
      </c>
      <c r="AI37" s="37">
        <f>+'G&amp;A'!AI37+'S&amp;M'!AI37+Develop!AI37+Factory!AI37</f>
        <v>3300</v>
      </c>
      <c r="AJ37" s="37">
        <f>+'G&amp;A'!AJ37+'S&amp;M'!AJ37+Develop!AJ37+Factory!AJ37</f>
        <v>3300</v>
      </c>
      <c r="AK37" s="37">
        <f>+'G&amp;A'!AK37+'S&amp;M'!AK37+Develop!AK37+Factory!AK37</f>
        <v>3300</v>
      </c>
      <c r="AL37" s="37">
        <f>+'G&amp;A'!AL37+'S&amp;M'!AL37+Develop!AL37+Factory!AL37</f>
        <v>3300</v>
      </c>
      <c r="AM37" s="37">
        <f>+'G&amp;A'!AM37+'S&amp;M'!AM37+Develop!AM37+Factory!AM37</f>
        <v>3300</v>
      </c>
      <c r="AN37" s="37">
        <f>+'G&amp;A'!AN37+'S&amp;M'!AN37+Develop!AN37+Factory!AN37</f>
        <v>3300</v>
      </c>
      <c r="AO37" s="37">
        <f>+'G&amp;A'!AO37+'S&amp;M'!AO37+Develop!AO37+Factory!AO37</f>
        <v>3300</v>
      </c>
      <c r="AP37" s="37">
        <f>+'G&amp;A'!AP37+'S&amp;M'!AP37+Develop!AP37+Factory!AP37</f>
        <v>3300</v>
      </c>
      <c r="AQ37" s="37"/>
      <c r="AR37" s="37">
        <f t="shared" si="119"/>
        <v>0</v>
      </c>
      <c r="AS37" s="37">
        <f t="shared" si="120"/>
        <v>0</v>
      </c>
      <c r="AT37" s="37">
        <f t="shared" si="121"/>
        <v>0</v>
      </c>
      <c r="AU37" s="37">
        <f t="shared" si="122"/>
        <v>0</v>
      </c>
      <c r="AV37" s="37">
        <f t="shared" si="123"/>
        <v>0</v>
      </c>
      <c r="AW37" s="37"/>
      <c r="AX37" s="37">
        <f t="shared" si="124"/>
        <v>2100</v>
      </c>
      <c r="AY37" s="37">
        <f t="shared" si="125"/>
        <v>0</v>
      </c>
      <c r="AZ37" s="37">
        <f t="shared" si="126"/>
        <v>500</v>
      </c>
      <c r="BA37" s="37">
        <f t="shared" si="127"/>
        <v>500</v>
      </c>
      <c r="BB37" s="37">
        <f t="shared" si="128"/>
        <v>1100</v>
      </c>
      <c r="BC37" s="37"/>
      <c r="BD37" s="37">
        <f t="shared" si="129"/>
        <v>39600</v>
      </c>
      <c r="BE37" s="37">
        <f t="shared" si="130"/>
        <v>9900</v>
      </c>
      <c r="BF37" s="37">
        <f t="shared" si="131"/>
        <v>9900</v>
      </c>
      <c r="BG37" s="37">
        <f t="shared" si="132"/>
        <v>9900</v>
      </c>
      <c r="BH37" s="37">
        <f t="shared" si="133"/>
        <v>9900</v>
      </c>
    </row>
    <row r="38" spans="2:60" s="16" customFormat="1" x14ac:dyDescent="0.25">
      <c r="B38" s="16" t="s">
        <v>205</v>
      </c>
      <c r="E38" s="37">
        <f>+'G&amp;A'!E38+'S&amp;M'!E38+Develop!E38+Factory!E38</f>
        <v>0</v>
      </c>
      <c r="F38" s="37">
        <f>+'G&amp;A'!F38+'S&amp;M'!F38+Develop!F38+Factory!F38</f>
        <v>0</v>
      </c>
      <c r="G38" s="37">
        <f>+'G&amp;A'!G38+'S&amp;M'!G38+Develop!G38+Factory!G38</f>
        <v>0</v>
      </c>
      <c r="H38" s="37">
        <f>+'G&amp;A'!H38+'S&amp;M'!H38+Develop!H38+Factory!H38</f>
        <v>0</v>
      </c>
      <c r="I38" s="37">
        <f>+'G&amp;A'!I38+'S&amp;M'!I38+Develop!I38+Factory!I38</f>
        <v>0</v>
      </c>
      <c r="J38" s="37">
        <f>+'G&amp;A'!J38+'S&amp;M'!J38+Develop!J38+Factory!J38</f>
        <v>0</v>
      </c>
      <c r="K38" s="37">
        <f>+'G&amp;A'!K38+'S&amp;M'!K38+Develop!K38+Factory!K38</f>
        <v>0</v>
      </c>
      <c r="L38" s="37">
        <f>+'G&amp;A'!L38+'S&amp;M'!L38+Develop!L38+Factory!L38</f>
        <v>0</v>
      </c>
      <c r="M38" s="37">
        <f>+'G&amp;A'!M38+'S&amp;M'!M38+Develop!M38+Factory!M38</f>
        <v>0</v>
      </c>
      <c r="N38" s="37">
        <f>+'G&amp;A'!N38+'S&amp;M'!N38+Develop!N38+Factory!N38</f>
        <v>0</v>
      </c>
      <c r="O38" s="37">
        <f>+'G&amp;A'!O38+'S&amp;M'!O38+Develop!O38+Factory!O38</f>
        <v>0</v>
      </c>
      <c r="P38" s="37">
        <f>+'G&amp;A'!P38+'S&amp;M'!P38+Develop!P38+Factory!P38</f>
        <v>0</v>
      </c>
      <c r="Q38" s="37"/>
      <c r="R38" s="37">
        <f>+'G&amp;A'!R38+'S&amp;M'!R38+Develop!R38+Factory!R38</f>
        <v>0</v>
      </c>
      <c r="S38" s="37">
        <f>+'G&amp;A'!S38+'S&amp;M'!S38+Develop!S38+Factory!S38</f>
        <v>0</v>
      </c>
      <c r="T38" s="37">
        <f>+'G&amp;A'!T38+'S&amp;M'!T38+Develop!T38+Factory!T38</f>
        <v>0</v>
      </c>
      <c r="U38" s="37">
        <f>+'G&amp;A'!U38+'S&amp;M'!U38+Develop!U38+Factory!U38</f>
        <v>0</v>
      </c>
      <c r="V38" s="37">
        <f>+'G&amp;A'!V38+'S&amp;M'!V38+Develop!V38+Factory!V38</f>
        <v>0</v>
      </c>
      <c r="W38" s="37">
        <f>+'G&amp;A'!W38+'S&amp;M'!W38+Develop!W38+Factory!W38</f>
        <v>400</v>
      </c>
      <c r="X38" s="37">
        <f>+'G&amp;A'!X38+'S&amp;M'!X38+Develop!X38+Factory!X38</f>
        <v>0</v>
      </c>
      <c r="Y38" s="37">
        <f>+'G&amp;A'!Y38+'S&amp;M'!Y38+Develop!Y38+Factory!Y38</f>
        <v>400</v>
      </c>
      <c r="Z38" s="37">
        <f>+'G&amp;A'!Z38+'S&amp;M'!Z38+Develop!Z38+Factory!Z38</f>
        <v>0</v>
      </c>
      <c r="AA38" s="37">
        <f>+'G&amp;A'!AA38+'S&amp;M'!AA38+Develop!AA38+Factory!AA38</f>
        <v>400</v>
      </c>
      <c r="AB38" s="37">
        <f>+'G&amp;A'!AB38+'S&amp;M'!AB38+Develop!AB38+Factory!AB38</f>
        <v>0</v>
      </c>
      <c r="AC38" s="37">
        <f>+'G&amp;A'!AC38+'S&amp;M'!AC38+Develop!AC38+Factory!AC38</f>
        <v>400</v>
      </c>
      <c r="AD38" s="37"/>
      <c r="AE38" s="37">
        <f>+'G&amp;A'!AE38+'S&amp;M'!AE38+Develop!AE38+Factory!AE38</f>
        <v>2200</v>
      </c>
      <c r="AF38" s="37">
        <f>+'G&amp;A'!AF38+'S&amp;M'!AF38+Develop!AF38+Factory!AF38</f>
        <v>2200</v>
      </c>
      <c r="AG38" s="37">
        <f>+'G&amp;A'!AG38+'S&amp;M'!AG38+Develop!AG38+Factory!AG38</f>
        <v>2200</v>
      </c>
      <c r="AH38" s="37">
        <f>+'G&amp;A'!AH38+'S&amp;M'!AH38+Develop!AH38+Factory!AH38</f>
        <v>2200</v>
      </c>
      <c r="AI38" s="37">
        <f>+'G&amp;A'!AI38+'S&amp;M'!AI38+Develop!AI38+Factory!AI38</f>
        <v>2200</v>
      </c>
      <c r="AJ38" s="37">
        <f>+'G&amp;A'!AJ38+'S&amp;M'!AJ38+Develop!AJ38+Factory!AJ38</f>
        <v>2200</v>
      </c>
      <c r="AK38" s="37">
        <f>+'G&amp;A'!AK38+'S&amp;M'!AK38+Develop!AK38+Factory!AK38</f>
        <v>2200</v>
      </c>
      <c r="AL38" s="37">
        <f>+'G&amp;A'!AL38+'S&amp;M'!AL38+Develop!AL38+Factory!AL38</f>
        <v>2200</v>
      </c>
      <c r="AM38" s="37">
        <f>+'G&amp;A'!AM38+'S&amp;M'!AM38+Develop!AM38+Factory!AM38</f>
        <v>2200</v>
      </c>
      <c r="AN38" s="37">
        <f>+'G&amp;A'!AN38+'S&amp;M'!AN38+Develop!AN38+Factory!AN38</f>
        <v>2200</v>
      </c>
      <c r="AO38" s="37">
        <f>+'G&amp;A'!AO38+'S&amp;M'!AO38+Develop!AO38+Factory!AO38</f>
        <v>2200</v>
      </c>
      <c r="AP38" s="37">
        <f>+'G&amp;A'!AP38+'S&amp;M'!AP38+Develop!AP38+Factory!AP38</f>
        <v>2200</v>
      </c>
      <c r="AQ38" s="37"/>
      <c r="AR38" s="37">
        <f t="shared" si="119"/>
        <v>0</v>
      </c>
      <c r="AS38" s="37">
        <f t="shared" si="120"/>
        <v>0</v>
      </c>
      <c r="AT38" s="37">
        <f t="shared" si="121"/>
        <v>0</v>
      </c>
      <c r="AU38" s="37">
        <f t="shared" si="122"/>
        <v>0</v>
      </c>
      <c r="AV38" s="37">
        <f t="shared" si="123"/>
        <v>0</v>
      </c>
      <c r="AW38" s="37"/>
      <c r="AX38" s="37">
        <f t="shared" si="124"/>
        <v>1600</v>
      </c>
      <c r="AY38" s="37">
        <f t="shared" si="125"/>
        <v>0</v>
      </c>
      <c r="AZ38" s="37">
        <f t="shared" si="126"/>
        <v>400</v>
      </c>
      <c r="BA38" s="37">
        <f t="shared" si="127"/>
        <v>400</v>
      </c>
      <c r="BB38" s="37">
        <f t="shared" si="128"/>
        <v>800</v>
      </c>
      <c r="BC38" s="37"/>
      <c r="BD38" s="37">
        <f t="shared" si="129"/>
        <v>26400</v>
      </c>
      <c r="BE38" s="37">
        <f t="shared" si="130"/>
        <v>6600</v>
      </c>
      <c r="BF38" s="37">
        <f t="shared" si="131"/>
        <v>6600</v>
      </c>
      <c r="BG38" s="37">
        <f t="shared" si="132"/>
        <v>6600</v>
      </c>
      <c r="BH38" s="37">
        <f t="shared" si="133"/>
        <v>6600</v>
      </c>
    </row>
    <row r="39" spans="2:60" s="16" customFormat="1" x14ac:dyDescent="0.25">
      <c r="B39" s="16" t="s">
        <v>174</v>
      </c>
      <c r="E39" s="37">
        <f>+'G&amp;A'!E39+'S&amp;M'!E39+Develop!E39+Factory!E39</f>
        <v>0</v>
      </c>
      <c r="F39" s="37">
        <f>+'G&amp;A'!F39+'S&amp;M'!F39+Develop!F39+Factory!F39</f>
        <v>0</v>
      </c>
      <c r="G39" s="37">
        <f>+'G&amp;A'!G39+'S&amp;M'!G39+Develop!G39+Factory!G39</f>
        <v>0</v>
      </c>
      <c r="H39" s="37">
        <f>+'G&amp;A'!H39+'S&amp;M'!H39+Develop!H39+Factory!H39</f>
        <v>0</v>
      </c>
      <c r="I39" s="37">
        <f>+'G&amp;A'!I39+'S&amp;M'!I39+Develop!I39+Factory!I39</f>
        <v>0</v>
      </c>
      <c r="J39" s="37">
        <f>+'G&amp;A'!J39+'S&amp;M'!J39+Develop!J39+Factory!J39</f>
        <v>0</v>
      </c>
      <c r="K39" s="37">
        <f>+'G&amp;A'!K39+'S&amp;M'!K39+Develop!K39+Factory!K39</f>
        <v>0</v>
      </c>
      <c r="L39" s="37">
        <f>+'G&amp;A'!L39+'S&amp;M'!L39+Develop!L39+Factory!L39</f>
        <v>0</v>
      </c>
      <c r="M39" s="37">
        <f>+'G&amp;A'!M39+'S&amp;M'!M39+Develop!M39+Factory!M39</f>
        <v>10800</v>
      </c>
      <c r="N39" s="37">
        <f>+'G&amp;A'!N39+'S&amp;M'!N39+Develop!N39+Factory!N39</f>
        <v>0</v>
      </c>
      <c r="O39" s="37">
        <f>+'G&amp;A'!O39+'S&amp;M'!O39+Develop!O39+Factory!O39</f>
        <v>0</v>
      </c>
      <c r="P39" s="37">
        <f>+'G&amp;A'!P39+'S&amp;M'!P39+Develop!P39+Factory!P39</f>
        <v>50400</v>
      </c>
      <c r="Q39" s="37"/>
      <c r="R39" s="37">
        <f>+'G&amp;A'!R39+'S&amp;M'!R39+Develop!R39+Factory!R39</f>
        <v>0</v>
      </c>
      <c r="S39" s="37">
        <f>+'G&amp;A'!S39+'S&amp;M'!S39+Develop!S39+Factory!S39</f>
        <v>0</v>
      </c>
      <c r="T39" s="37">
        <f>+'G&amp;A'!T39+'S&amp;M'!T39+Develop!T39+Factory!T39</f>
        <v>6000</v>
      </c>
      <c r="U39" s="37">
        <f>+'G&amp;A'!U39+'S&amp;M'!U39+Develop!U39+Factory!U39</f>
        <v>6000</v>
      </c>
      <c r="V39" s="37">
        <f>+'G&amp;A'!V39+'S&amp;M'!V39+Develop!V39+Factory!V39</f>
        <v>6000</v>
      </c>
      <c r="W39" s="37">
        <f>+'G&amp;A'!W39+'S&amp;M'!W39+Develop!W39+Factory!W39</f>
        <v>6000</v>
      </c>
      <c r="X39" s="37">
        <f>+'G&amp;A'!X39+'S&amp;M'!X39+Develop!X39+Factory!X39</f>
        <v>6000</v>
      </c>
      <c r="Y39" s="37">
        <f>+'G&amp;A'!Y39+'S&amp;M'!Y39+Develop!Y39+Factory!Y39</f>
        <v>6000</v>
      </c>
      <c r="Z39" s="37">
        <f>+'G&amp;A'!Z39+'S&amp;M'!Z39+Develop!Z39+Factory!Z39</f>
        <v>6000</v>
      </c>
      <c r="AA39" s="37">
        <f>+'G&amp;A'!AA39+'S&amp;M'!AA39+Develop!AA39+Factory!AA39</f>
        <v>6000</v>
      </c>
      <c r="AB39" s="37">
        <f>+'G&amp;A'!AB39+'S&amp;M'!AB39+Develop!AB39+Factory!AB39</f>
        <v>6000</v>
      </c>
      <c r="AC39" s="37">
        <f>+'G&amp;A'!AC39+'S&amp;M'!AC39+Develop!AC39+Factory!AC39</f>
        <v>6000</v>
      </c>
      <c r="AD39" s="37"/>
      <c r="AE39" s="37">
        <f>+'G&amp;A'!AE39+'S&amp;M'!AE39+Develop!AE39+Factory!AE39</f>
        <v>12000</v>
      </c>
      <c r="AF39" s="37">
        <f>+'G&amp;A'!AF39+'S&amp;M'!AF39+Develop!AF39+Factory!AF39</f>
        <v>12000</v>
      </c>
      <c r="AG39" s="37">
        <f>+'G&amp;A'!AG39+'S&amp;M'!AG39+Develop!AG39+Factory!AG39</f>
        <v>12000</v>
      </c>
      <c r="AH39" s="37">
        <f>+'G&amp;A'!AH39+'S&amp;M'!AH39+Develop!AH39+Factory!AH39</f>
        <v>12000</v>
      </c>
      <c r="AI39" s="37">
        <f>+'G&amp;A'!AI39+'S&amp;M'!AI39+Develop!AI39+Factory!AI39</f>
        <v>12000</v>
      </c>
      <c r="AJ39" s="37">
        <f>+'G&amp;A'!AJ39+'S&amp;M'!AJ39+Develop!AJ39+Factory!AJ39</f>
        <v>12000</v>
      </c>
      <c r="AK39" s="37">
        <f>+'G&amp;A'!AK39+'S&amp;M'!AK39+Develop!AK39+Factory!AK39</f>
        <v>12000</v>
      </c>
      <c r="AL39" s="37">
        <f>+'G&amp;A'!AL39+'S&amp;M'!AL39+Develop!AL39+Factory!AL39</f>
        <v>12000</v>
      </c>
      <c r="AM39" s="37">
        <f>+'G&amp;A'!AM39+'S&amp;M'!AM39+Develop!AM39+Factory!AM39</f>
        <v>12000</v>
      </c>
      <c r="AN39" s="37">
        <f>+'G&amp;A'!AN39+'S&amp;M'!AN39+Develop!AN39+Factory!AN39</f>
        <v>12000</v>
      </c>
      <c r="AO39" s="37">
        <f>+'G&amp;A'!AO39+'S&amp;M'!AO39+Develop!AO39+Factory!AO39</f>
        <v>12000</v>
      </c>
      <c r="AP39" s="37">
        <f>+'G&amp;A'!AP39+'S&amp;M'!AP39+Develop!AP39+Factory!AP39</f>
        <v>12000</v>
      </c>
      <c r="AQ39" s="37"/>
      <c r="AR39" s="37">
        <f t="shared" si="119"/>
        <v>61200</v>
      </c>
      <c r="AS39" s="37">
        <f t="shared" si="120"/>
        <v>0</v>
      </c>
      <c r="AT39" s="37">
        <f t="shared" si="121"/>
        <v>0</v>
      </c>
      <c r="AU39" s="37">
        <f t="shared" si="122"/>
        <v>10800</v>
      </c>
      <c r="AV39" s="37">
        <f t="shared" si="123"/>
        <v>50400</v>
      </c>
      <c r="AW39" s="37"/>
      <c r="AX39" s="37">
        <f t="shared" si="124"/>
        <v>60000</v>
      </c>
      <c r="AY39" s="37">
        <f t="shared" si="125"/>
        <v>6000</v>
      </c>
      <c r="AZ39" s="37">
        <f t="shared" si="126"/>
        <v>18000</v>
      </c>
      <c r="BA39" s="37">
        <f t="shared" si="127"/>
        <v>18000</v>
      </c>
      <c r="BB39" s="37">
        <f t="shared" si="128"/>
        <v>18000</v>
      </c>
      <c r="BC39" s="37"/>
      <c r="BD39" s="37">
        <f t="shared" si="129"/>
        <v>144000</v>
      </c>
      <c r="BE39" s="37">
        <f t="shared" si="130"/>
        <v>36000</v>
      </c>
      <c r="BF39" s="37">
        <f t="shared" si="131"/>
        <v>36000</v>
      </c>
      <c r="BG39" s="37">
        <f t="shared" si="132"/>
        <v>36000</v>
      </c>
      <c r="BH39" s="37">
        <f t="shared" si="133"/>
        <v>36000</v>
      </c>
    </row>
    <row r="40" spans="2:60" s="16" customFormat="1" x14ac:dyDescent="0.25">
      <c r="E40" s="39"/>
      <c r="F40" s="39"/>
      <c r="G40" s="39"/>
      <c r="H40" s="39"/>
      <c r="I40" s="39"/>
      <c r="J40" s="39"/>
      <c r="K40" s="39"/>
      <c r="L40" s="39"/>
      <c r="M40" s="39"/>
      <c r="N40" s="39"/>
      <c r="O40" s="39"/>
      <c r="P40" s="39"/>
      <c r="Q40" s="37"/>
      <c r="R40" s="39"/>
      <c r="S40" s="39"/>
      <c r="T40" s="39"/>
      <c r="U40" s="39"/>
      <c r="V40" s="39"/>
      <c r="W40" s="39"/>
      <c r="X40" s="39"/>
      <c r="Y40" s="39"/>
      <c r="Z40" s="39"/>
      <c r="AA40" s="39"/>
      <c r="AB40" s="39"/>
      <c r="AC40" s="39"/>
      <c r="AD40" s="37"/>
      <c r="AE40" s="39"/>
      <c r="AF40" s="39"/>
      <c r="AG40" s="39"/>
      <c r="AH40" s="39"/>
      <c r="AI40" s="39"/>
      <c r="AJ40" s="39"/>
      <c r="AK40" s="39"/>
      <c r="AL40" s="39"/>
      <c r="AM40" s="39"/>
      <c r="AN40" s="39"/>
      <c r="AO40" s="39"/>
      <c r="AP40" s="39"/>
      <c r="AQ40" s="37"/>
      <c r="AR40" s="37"/>
      <c r="AS40" s="37"/>
      <c r="AT40" s="37"/>
      <c r="AU40" s="37"/>
      <c r="AV40" s="37"/>
      <c r="AW40" s="37"/>
      <c r="AX40" s="37"/>
      <c r="AY40" s="37"/>
      <c r="AZ40" s="37"/>
      <c r="BA40" s="37"/>
      <c r="BB40" s="37"/>
      <c r="BC40" s="37"/>
      <c r="BD40" s="37"/>
      <c r="BE40" s="37"/>
      <c r="BF40" s="37"/>
      <c r="BG40" s="37"/>
      <c r="BH40" s="37"/>
    </row>
    <row r="41" spans="2:60" s="16" customFormat="1" x14ac:dyDescent="0.25">
      <c r="B41" s="16" t="s">
        <v>165</v>
      </c>
      <c r="E41" s="38">
        <f t="shared" ref="E41:P41" si="134">SUBTOTAL(9,E36:E40)</f>
        <v>0</v>
      </c>
      <c r="F41" s="38">
        <f t="shared" si="134"/>
        <v>0</v>
      </c>
      <c r="G41" s="38">
        <f t="shared" si="134"/>
        <v>0</v>
      </c>
      <c r="H41" s="38">
        <f t="shared" si="134"/>
        <v>0</v>
      </c>
      <c r="I41" s="38">
        <f t="shared" si="134"/>
        <v>0</v>
      </c>
      <c r="J41" s="38">
        <f t="shared" si="134"/>
        <v>0</v>
      </c>
      <c r="K41" s="38">
        <f t="shared" si="134"/>
        <v>0</v>
      </c>
      <c r="L41" s="38">
        <f t="shared" si="134"/>
        <v>0</v>
      </c>
      <c r="M41" s="38">
        <f t="shared" si="134"/>
        <v>10800</v>
      </c>
      <c r="N41" s="38">
        <f t="shared" si="134"/>
        <v>0</v>
      </c>
      <c r="O41" s="38">
        <f t="shared" si="134"/>
        <v>0</v>
      </c>
      <c r="P41" s="38">
        <f t="shared" si="134"/>
        <v>50400</v>
      </c>
      <c r="Q41" s="37"/>
      <c r="R41" s="38">
        <f t="shared" ref="R41:AC41" si="135">SUBTOTAL(9,R36:R40)</f>
        <v>3000</v>
      </c>
      <c r="S41" s="38">
        <f t="shared" si="135"/>
        <v>3000</v>
      </c>
      <c r="T41" s="38">
        <f t="shared" si="135"/>
        <v>9000</v>
      </c>
      <c r="U41" s="38">
        <f t="shared" si="135"/>
        <v>9000</v>
      </c>
      <c r="V41" s="38">
        <f t="shared" si="135"/>
        <v>9000</v>
      </c>
      <c r="W41" s="38">
        <f t="shared" si="135"/>
        <v>10900</v>
      </c>
      <c r="X41" s="38">
        <f t="shared" si="135"/>
        <v>9000</v>
      </c>
      <c r="Y41" s="38">
        <f t="shared" si="135"/>
        <v>10900</v>
      </c>
      <c r="Z41" s="38">
        <f t="shared" si="135"/>
        <v>9000</v>
      </c>
      <c r="AA41" s="38">
        <f t="shared" si="135"/>
        <v>10900</v>
      </c>
      <c r="AB41" s="38">
        <f t="shared" si="135"/>
        <v>9000</v>
      </c>
      <c r="AC41" s="38">
        <f t="shared" si="135"/>
        <v>11000</v>
      </c>
      <c r="AD41" s="37"/>
      <c r="AE41" s="38">
        <f t="shared" ref="AE41:AP41" si="136">SUBTOTAL(9,AE36:AE40)</f>
        <v>26000</v>
      </c>
      <c r="AF41" s="38">
        <f t="shared" si="136"/>
        <v>26000</v>
      </c>
      <c r="AG41" s="38">
        <f t="shared" si="136"/>
        <v>26000</v>
      </c>
      <c r="AH41" s="38">
        <f t="shared" si="136"/>
        <v>26000</v>
      </c>
      <c r="AI41" s="38">
        <f t="shared" si="136"/>
        <v>26000</v>
      </c>
      <c r="AJ41" s="38">
        <f t="shared" si="136"/>
        <v>26000</v>
      </c>
      <c r="AK41" s="38">
        <f t="shared" si="136"/>
        <v>26000</v>
      </c>
      <c r="AL41" s="38">
        <f t="shared" si="136"/>
        <v>26000</v>
      </c>
      <c r="AM41" s="38">
        <f t="shared" si="136"/>
        <v>26000</v>
      </c>
      <c r="AN41" s="38">
        <f t="shared" si="136"/>
        <v>26000</v>
      </c>
      <c r="AO41" s="38">
        <f t="shared" si="136"/>
        <v>26000</v>
      </c>
      <c r="AP41" s="38">
        <f t="shared" si="136"/>
        <v>26000</v>
      </c>
      <c r="AQ41" s="37"/>
      <c r="AR41" s="38">
        <f t="shared" ref="AR41:AV41" si="137">SUBTOTAL(9,AR36:AR40)</f>
        <v>61200</v>
      </c>
      <c r="AS41" s="38">
        <f t="shared" si="137"/>
        <v>0</v>
      </c>
      <c r="AT41" s="38">
        <f t="shared" si="137"/>
        <v>0</v>
      </c>
      <c r="AU41" s="38">
        <f t="shared" si="137"/>
        <v>10800</v>
      </c>
      <c r="AV41" s="38">
        <f t="shared" si="137"/>
        <v>50400</v>
      </c>
      <c r="AW41" s="37"/>
      <c r="AX41" s="38">
        <f t="shared" ref="AX41:BB41" si="138">SUBTOTAL(9,AX36:AX40)</f>
        <v>103700</v>
      </c>
      <c r="AY41" s="38">
        <f t="shared" si="138"/>
        <v>15000</v>
      </c>
      <c r="AZ41" s="38">
        <f t="shared" si="138"/>
        <v>28900</v>
      </c>
      <c r="BA41" s="38">
        <f t="shared" si="138"/>
        <v>28900</v>
      </c>
      <c r="BB41" s="38">
        <f t="shared" si="138"/>
        <v>30900</v>
      </c>
      <c r="BC41" s="37"/>
      <c r="BD41" s="38">
        <f t="shared" ref="BD41:BH41" si="139">SUBTOTAL(9,BD36:BD40)</f>
        <v>312000</v>
      </c>
      <c r="BE41" s="38">
        <f t="shared" si="139"/>
        <v>78000</v>
      </c>
      <c r="BF41" s="38">
        <f t="shared" si="139"/>
        <v>78000</v>
      </c>
      <c r="BG41" s="38">
        <f t="shared" si="139"/>
        <v>78000</v>
      </c>
      <c r="BH41" s="38">
        <f t="shared" si="139"/>
        <v>78000</v>
      </c>
    </row>
    <row r="42" spans="2:60" s="16" customFormat="1" x14ac:dyDescent="0.25">
      <c r="E42" s="37"/>
      <c r="F42" s="37"/>
      <c r="G42" s="37"/>
      <c r="H42" s="37"/>
      <c r="I42" s="37"/>
      <c r="J42" s="37"/>
      <c r="K42" s="37"/>
      <c r="L42" s="37"/>
      <c r="M42" s="37"/>
      <c r="N42" s="37"/>
      <c r="O42" s="37"/>
      <c r="P42" s="37"/>
      <c r="Q42" s="37"/>
      <c r="R42" s="37"/>
      <c r="S42" s="37"/>
      <c r="T42" s="37"/>
      <c r="U42" s="37"/>
      <c r="V42" s="37"/>
      <c r="W42" s="37"/>
      <c r="X42" s="37"/>
      <c r="Y42" s="37"/>
      <c r="Z42" s="37"/>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row>
    <row r="43" spans="2:60" s="16" customFormat="1" x14ac:dyDescent="0.25">
      <c r="B43" s="16" t="s">
        <v>134</v>
      </c>
      <c r="E43" s="37">
        <f>+'G&amp;A'!E43+'S&amp;M'!E43+Develop!E43+Factory!E43</f>
        <v>4480</v>
      </c>
      <c r="F43" s="37">
        <f>+'G&amp;A'!F43+'S&amp;M'!F43+Develop!F43+Factory!F43</f>
        <v>980</v>
      </c>
      <c r="G43" s="37">
        <f>+'G&amp;A'!G43+'S&amp;M'!G43+Develop!G43+Factory!G43</f>
        <v>980</v>
      </c>
      <c r="H43" s="37">
        <f>+'G&amp;A'!H43+'S&amp;M'!H43+Develop!H43+Factory!H43</f>
        <v>3480</v>
      </c>
      <c r="I43" s="37">
        <f>+'G&amp;A'!I43+'S&amp;M'!I43+Develop!I43+Factory!I43</f>
        <v>980</v>
      </c>
      <c r="J43" s="37">
        <f>+'G&amp;A'!J43+'S&amp;M'!J43+Develop!J43+Factory!J43</f>
        <v>980</v>
      </c>
      <c r="K43" s="37">
        <f>+'G&amp;A'!K43+'S&amp;M'!K43+Develop!K43+Factory!K43</f>
        <v>3780</v>
      </c>
      <c r="L43" s="37">
        <f>+'G&amp;A'!L43+'S&amp;M'!L43+Develop!L43+Factory!L43</f>
        <v>980</v>
      </c>
      <c r="M43" s="37">
        <f>+'G&amp;A'!M43+'S&amp;M'!M43+Develop!M43+Factory!M43</f>
        <v>980</v>
      </c>
      <c r="N43" s="37">
        <f>+'G&amp;A'!N43+'S&amp;M'!N43+Develop!N43+Factory!N43</f>
        <v>3480</v>
      </c>
      <c r="O43" s="37">
        <f>+'G&amp;A'!O43+'S&amp;M'!O43+Develop!O43+Factory!O43</f>
        <v>980</v>
      </c>
      <c r="P43" s="37">
        <f>+'G&amp;A'!P43+'S&amp;M'!P43+Develop!P43+Factory!P43</f>
        <v>980</v>
      </c>
      <c r="Q43" s="37"/>
      <c r="R43" s="37">
        <f>+'G&amp;A'!R43+'S&amp;M'!R43+Develop!R43+Factory!R43</f>
        <v>4780</v>
      </c>
      <c r="S43" s="37">
        <f>+'G&amp;A'!S43+'S&amp;M'!S43+Develop!S43+Factory!S43</f>
        <v>980</v>
      </c>
      <c r="T43" s="37">
        <f>+'G&amp;A'!T43+'S&amp;M'!T43+Develop!T43+Factory!T43</f>
        <v>980</v>
      </c>
      <c r="U43" s="37">
        <f>+'G&amp;A'!U43+'S&amp;M'!U43+Develop!U43+Factory!U43</f>
        <v>3480</v>
      </c>
      <c r="V43" s="37">
        <f>+'G&amp;A'!V43+'S&amp;M'!V43+Develop!V43+Factory!V43</f>
        <v>980</v>
      </c>
      <c r="W43" s="37">
        <f>+'G&amp;A'!W43+'S&amp;M'!W43+Develop!W43+Factory!W43</f>
        <v>980</v>
      </c>
      <c r="X43" s="37">
        <f>+'G&amp;A'!X43+'S&amp;M'!X43+Develop!X43+Factory!X43</f>
        <v>3780</v>
      </c>
      <c r="Y43" s="37">
        <f>+'G&amp;A'!Y43+'S&amp;M'!Y43+Develop!Y43+Factory!Y43</f>
        <v>980</v>
      </c>
      <c r="Z43" s="37">
        <f>+'G&amp;A'!Z43+'S&amp;M'!Z43+Develop!Z43+Factory!Z43</f>
        <v>980</v>
      </c>
      <c r="AA43" s="37">
        <f>+'G&amp;A'!AA43+'S&amp;M'!AA43+Develop!AA43+Factory!AA43</f>
        <v>3480</v>
      </c>
      <c r="AB43" s="37">
        <f>+'G&amp;A'!AB43+'S&amp;M'!AB43+Develop!AB43+Factory!AB43</f>
        <v>980</v>
      </c>
      <c r="AC43" s="37">
        <f>+'G&amp;A'!AC43+'S&amp;M'!AC43+Develop!AC43+Factory!AC43</f>
        <v>980</v>
      </c>
      <c r="AD43" s="37"/>
      <c r="AE43" s="37">
        <f>+'G&amp;A'!AE43+'S&amp;M'!AE43+Develop!AE43+Factory!AE43</f>
        <v>3780</v>
      </c>
      <c r="AF43" s="37">
        <f>+'G&amp;A'!AF43+'S&amp;M'!AF43+Develop!AF43+Factory!AF43</f>
        <v>980</v>
      </c>
      <c r="AG43" s="37">
        <f>+'G&amp;A'!AG43+'S&amp;M'!AG43+Develop!AG43+Factory!AG43</f>
        <v>980</v>
      </c>
      <c r="AH43" s="37">
        <f>+'G&amp;A'!AH43+'S&amp;M'!AH43+Develop!AH43+Factory!AH43</f>
        <v>480</v>
      </c>
      <c r="AI43" s="37">
        <f>+'G&amp;A'!AI43+'S&amp;M'!AI43+Develop!AI43+Factory!AI43</f>
        <v>480</v>
      </c>
      <c r="AJ43" s="37">
        <f>+'G&amp;A'!AJ43+'S&amp;M'!AJ43+Develop!AJ43+Factory!AJ43</f>
        <v>780</v>
      </c>
      <c r="AK43" s="37">
        <f>+'G&amp;A'!AK43+'S&amp;M'!AK43+Develop!AK43+Factory!AK43</f>
        <v>480</v>
      </c>
      <c r="AL43" s="37">
        <f>+'G&amp;A'!AL43+'S&amp;M'!AL43+Develop!AL43+Factory!AL43</f>
        <v>480</v>
      </c>
      <c r="AM43" s="37">
        <f>+'G&amp;A'!AM43+'S&amp;M'!AM43+Develop!AM43+Factory!AM43</f>
        <v>480</v>
      </c>
      <c r="AN43" s="37">
        <f>+'G&amp;A'!AN43+'S&amp;M'!AN43+Develop!AN43+Factory!AN43</f>
        <v>480</v>
      </c>
      <c r="AO43" s="37">
        <f>+'G&amp;A'!AO43+'S&amp;M'!AO43+Develop!AO43+Factory!AO43</f>
        <v>480</v>
      </c>
      <c r="AP43" s="37">
        <f>+'G&amp;A'!AP43+'S&amp;M'!AP43+Develop!AP43+Factory!AP43</f>
        <v>480</v>
      </c>
      <c r="AQ43" s="37"/>
      <c r="AR43" s="37">
        <f t="shared" ref="AR43:AR52" si="140">SUM(E43:P43)</f>
        <v>23060</v>
      </c>
      <c r="AS43" s="37">
        <f t="shared" ref="AS43:AS52" si="141">SUM(E43:G43)</f>
        <v>6440</v>
      </c>
      <c r="AT43" s="37">
        <f t="shared" ref="AT43:AT52" si="142">SUM(H43:J43)</f>
        <v>5440</v>
      </c>
      <c r="AU43" s="37">
        <f t="shared" ref="AU43:AU52" si="143">SUM(K43:M43)</f>
        <v>5740</v>
      </c>
      <c r="AV43" s="37">
        <f t="shared" ref="AV43:AV52" si="144">SUM(N43:P43)</f>
        <v>5440</v>
      </c>
      <c r="AW43" s="37"/>
      <c r="AX43" s="37">
        <f t="shared" ref="AX43:AX52" si="145">SUM(R43:AC43)</f>
        <v>23360</v>
      </c>
      <c r="AY43" s="37">
        <f t="shared" ref="AY43:AY52" si="146">SUM(R43:T43)</f>
        <v>6740</v>
      </c>
      <c r="AZ43" s="37">
        <f t="shared" ref="AZ43:AZ52" si="147">SUM(U43:W43)</f>
        <v>5440</v>
      </c>
      <c r="BA43" s="37">
        <f t="shared" ref="BA43:BA52" si="148">SUM(X43:Z43)</f>
        <v>5740</v>
      </c>
      <c r="BB43" s="37">
        <f t="shared" ref="BB43:BB52" si="149">SUM(AA43:AC43)</f>
        <v>5440</v>
      </c>
      <c r="BC43" s="37"/>
      <c r="BD43" s="37">
        <f t="shared" ref="BD43:BD52" si="150">SUM(AE43:AP43)</f>
        <v>10360</v>
      </c>
      <c r="BE43" s="37">
        <f t="shared" ref="BE43:BE52" si="151">SUM(AE43:AG43)</f>
        <v>5740</v>
      </c>
      <c r="BF43" s="37">
        <f t="shared" ref="BF43:BF52" si="152">SUM(AH43:AJ43)</f>
        <v>1740</v>
      </c>
      <c r="BG43" s="37">
        <f t="shared" ref="BG43:BG52" si="153">SUM(AK43:AM43)</f>
        <v>1440</v>
      </c>
      <c r="BH43" s="37">
        <f t="shared" ref="BH43:BH52" si="154">SUM(AN43:AP43)</f>
        <v>1440</v>
      </c>
    </row>
    <row r="44" spans="2:60" s="16" customFormat="1" x14ac:dyDescent="0.25">
      <c r="B44" s="16" t="s">
        <v>135</v>
      </c>
      <c r="E44" s="37">
        <f>+'G&amp;A'!E44+'S&amp;M'!E44+Develop!E44+Factory!E44</f>
        <v>15000</v>
      </c>
      <c r="F44" s="37">
        <f>+'G&amp;A'!F44+'S&amp;M'!F44+Develop!F44+Factory!F44</f>
        <v>0</v>
      </c>
      <c r="G44" s="37">
        <f>+'G&amp;A'!G44+'S&amp;M'!G44+Develop!G44+Factory!G44</f>
        <v>0</v>
      </c>
      <c r="H44" s="37">
        <f>+'G&amp;A'!H44+'S&amp;M'!H44+Develop!H44+Factory!H44</f>
        <v>0</v>
      </c>
      <c r="I44" s="37">
        <f>+'G&amp;A'!I44+'S&amp;M'!I44+Develop!I44+Factory!I44</f>
        <v>0</v>
      </c>
      <c r="J44" s="37">
        <f>+'G&amp;A'!J44+'S&amp;M'!J44+Develop!J44+Factory!J44</f>
        <v>15000</v>
      </c>
      <c r="K44" s="37">
        <f>+'G&amp;A'!K44+'S&amp;M'!K44+Develop!K44+Factory!K44</f>
        <v>0</v>
      </c>
      <c r="L44" s="37">
        <f>+'G&amp;A'!L44+'S&amp;M'!L44+Develop!L44+Factory!L44</f>
        <v>66092.5</v>
      </c>
      <c r="M44" s="37">
        <f>+'G&amp;A'!M44+'S&amp;M'!M44+Develop!M44+Factory!M44</f>
        <v>0</v>
      </c>
      <c r="N44" s="37">
        <f>+'G&amp;A'!N44+'S&amp;M'!N44+Develop!N44+Factory!N44</f>
        <v>0</v>
      </c>
      <c r="O44" s="37">
        <f>+'G&amp;A'!O44+'S&amp;M'!O44+Develop!O44+Factory!O44</f>
        <v>50000</v>
      </c>
      <c r="P44" s="37">
        <f>+'G&amp;A'!P44+'S&amp;M'!P44+Develop!P44+Factory!P44</f>
        <v>0</v>
      </c>
      <c r="Q44" s="37"/>
      <c r="R44" s="37">
        <f>+'G&amp;A'!R44+'S&amp;M'!R44+Develop!R44+Factory!R44</f>
        <v>0</v>
      </c>
      <c r="S44" s="37">
        <f>+'G&amp;A'!S44+'S&amp;M'!S44+Develop!S44+Factory!S44</f>
        <v>0</v>
      </c>
      <c r="T44" s="37">
        <f>+'G&amp;A'!T44+'S&amp;M'!T44+Develop!T44+Factory!T44</f>
        <v>0</v>
      </c>
      <c r="U44" s="37">
        <f>+'G&amp;A'!U44+'S&amp;M'!U44+Develop!U44+Factory!U44</f>
        <v>0</v>
      </c>
      <c r="V44" s="37">
        <f>+'G&amp;A'!V44+'S&amp;M'!V44+Develop!V44+Factory!V44</f>
        <v>0</v>
      </c>
      <c r="W44" s="37">
        <f>+'G&amp;A'!W44+'S&amp;M'!W44+Develop!W44+Factory!W44</f>
        <v>0</v>
      </c>
      <c r="X44" s="37">
        <f>+'G&amp;A'!X44+'S&amp;M'!X44+Develop!X44+Factory!X44</f>
        <v>0</v>
      </c>
      <c r="Y44" s="37">
        <f>+'G&amp;A'!Y44+'S&amp;M'!Y44+Develop!Y44+Factory!Y44</f>
        <v>0</v>
      </c>
      <c r="Z44" s="37">
        <f>+'G&amp;A'!Z44+'S&amp;M'!Z44+Develop!Z44+Factory!Z44</f>
        <v>0</v>
      </c>
      <c r="AA44" s="37">
        <f>+'G&amp;A'!AA44+'S&amp;M'!AA44+Develop!AA44+Factory!AA44</f>
        <v>0</v>
      </c>
      <c r="AB44" s="37">
        <f>+'G&amp;A'!AB44+'S&amp;M'!AB44+Develop!AB44+Factory!AB44</f>
        <v>0</v>
      </c>
      <c r="AC44" s="37">
        <f>+'G&amp;A'!AC44+'S&amp;M'!AC44+Develop!AC44+Factory!AC44</f>
        <v>0</v>
      </c>
      <c r="AD44" s="37"/>
      <c r="AE44" s="37">
        <f>+'G&amp;A'!AE44+'S&amp;M'!AE44+Develop!AE44+Factory!AE44</f>
        <v>0</v>
      </c>
      <c r="AF44" s="37">
        <f>+'G&amp;A'!AF44+'S&amp;M'!AF44+Develop!AF44+Factory!AF44</f>
        <v>0</v>
      </c>
      <c r="AG44" s="37">
        <f>+'G&amp;A'!AG44+'S&amp;M'!AG44+Develop!AG44+Factory!AG44</f>
        <v>0</v>
      </c>
      <c r="AH44" s="37">
        <f>+'G&amp;A'!AH44+'S&amp;M'!AH44+Develop!AH44+Factory!AH44</f>
        <v>0</v>
      </c>
      <c r="AI44" s="37">
        <f>+'G&amp;A'!AI44+'S&amp;M'!AI44+Develop!AI44+Factory!AI44</f>
        <v>0</v>
      </c>
      <c r="AJ44" s="37">
        <f>+'G&amp;A'!AJ44+'S&amp;M'!AJ44+Develop!AJ44+Factory!AJ44</f>
        <v>0</v>
      </c>
      <c r="AK44" s="37">
        <f>+'G&amp;A'!AK44+'S&amp;M'!AK44+Develop!AK44+Factory!AK44</f>
        <v>0</v>
      </c>
      <c r="AL44" s="37">
        <f>+'G&amp;A'!AL44+'S&amp;M'!AL44+Develop!AL44+Factory!AL44</f>
        <v>0</v>
      </c>
      <c r="AM44" s="37">
        <f>+'G&amp;A'!AM44+'S&amp;M'!AM44+Develop!AM44+Factory!AM44</f>
        <v>0</v>
      </c>
      <c r="AN44" s="37">
        <f>+'G&amp;A'!AN44+'S&amp;M'!AN44+Develop!AN44+Factory!AN44</f>
        <v>0</v>
      </c>
      <c r="AO44" s="37">
        <f>+'G&amp;A'!AO44+'S&amp;M'!AO44+Develop!AO44+Factory!AO44</f>
        <v>0</v>
      </c>
      <c r="AP44" s="37">
        <f>+'G&amp;A'!AP44+'S&amp;M'!AP44+Develop!AP44+Factory!AP44</f>
        <v>0</v>
      </c>
      <c r="AQ44" s="37"/>
      <c r="AR44" s="37">
        <f t="shared" si="140"/>
        <v>146092.5</v>
      </c>
      <c r="AS44" s="37">
        <f t="shared" si="141"/>
        <v>15000</v>
      </c>
      <c r="AT44" s="37">
        <f t="shared" si="142"/>
        <v>15000</v>
      </c>
      <c r="AU44" s="37">
        <f t="shared" si="143"/>
        <v>66092.5</v>
      </c>
      <c r="AV44" s="37">
        <f t="shared" si="144"/>
        <v>50000</v>
      </c>
      <c r="AW44" s="37"/>
      <c r="AX44" s="37">
        <f t="shared" si="145"/>
        <v>0</v>
      </c>
      <c r="AY44" s="37">
        <f t="shared" si="146"/>
        <v>0</v>
      </c>
      <c r="AZ44" s="37">
        <f t="shared" si="147"/>
        <v>0</v>
      </c>
      <c r="BA44" s="37">
        <f t="shared" si="148"/>
        <v>0</v>
      </c>
      <c r="BB44" s="37">
        <f t="shared" si="149"/>
        <v>0</v>
      </c>
      <c r="BC44" s="37"/>
      <c r="BD44" s="37">
        <f t="shared" si="150"/>
        <v>0</v>
      </c>
      <c r="BE44" s="37">
        <f t="shared" si="151"/>
        <v>0</v>
      </c>
      <c r="BF44" s="37">
        <f t="shared" si="152"/>
        <v>0</v>
      </c>
      <c r="BG44" s="37">
        <f t="shared" si="153"/>
        <v>0</v>
      </c>
      <c r="BH44" s="37">
        <f t="shared" si="154"/>
        <v>0</v>
      </c>
    </row>
    <row r="45" spans="2:60" s="16" customFormat="1" x14ac:dyDescent="0.25">
      <c r="B45" s="16" t="s">
        <v>136</v>
      </c>
      <c r="E45" s="37">
        <f>+'G&amp;A'!E45+'S&amp;M'!E45+Develop!E45+Factory!E45</f>
        <v>72815</v>
      </c>
      <c r="F45" s="37">
        <f>+'G&amp;A'!F45+'S&amp;M'!F45+Develop!F45+Factory!F45</f>
        <v>2600</v>
      </c>
      <c r="G45" s="37">
        <f>+'G&amp;A'!G45+'S&amp;M'!G45+Develop!G45+Factory!G45</f>
        <v>2600</v>
      </c>
      <c r="H45" s="37">
        <f>+'G&amp;A'!H45+'S&amp;M'!H45+Develop!H45+Factory!H45</f>
        <v>13278</v>
      </c>
      <c r="I45" s="37">
        <f>+'G&amp;A'!I45+'S&amp;M'!I45+Develop!I45+Factory!I45</f>
        <v>2600</v>
      </c>
      <c r="J45" s="37">
        <f>+'G&amp;A'!J45+'S&amp;M'!J45+Develop!J45+Factory!J45</f>
        <v>2600</v>
      </c>
      <c r="K45" s="37">
        <f>+'G&amp;A'!K45+'S&amp;M'!K45+Develop!K45+Factory!K45</f>
        <v>52600</v>
      </c>
      <c r="L45" s="37">
        <f>+'G&amp;A'!L45+'S&amp;M'!L45+Develop!L45+Factory!L45</f>
        <v>2600</v>
      </c>
      <c r="M45" s="37">
        <f>+'G&amp;A'!M45+'S&amp;M'!M45+Develop!M45+Factory!M45</f>
        <v>28800</v>
      </c>
      <c r="N45" s="37">
        <f>+'G&amp;A'!N45+'S&amp;M'!N45+Develop!N45+Factory!N45</f>
        <v>2600</v>
      </c>
      <c r="O45" s="37">
        <f>+'G&amp;A'!O45+'S&amp;M'!O45+Develop!O45+Factory!O45</f>
        <v>2600</v>
      </c>
      <c r="P45" s="37">
        <f>+'G&amp;A'!P45+'S&amp;M'!P45+Develop!P45+Factory!P45</f>
        <v>3600</v>
      </c>
      <c r="Q45" s="37"/>
      <c r="R45" s="37">
        <f>+'G&amp;A'!R45+'S&amp;M'!R45+Develop!R45+Factory!R45</f>
        <v>2600</v>
      </c>
      <c r="S45" s="37">
        <f>+'G&amp;A'!S45+'S&amp;M'!S45+Develop!S45+Factory!S45</f>
        <v>2600</v>
      </c>
      <c r="T45" s="37">
        <f>+'G&amp;A'!T45+'S&amp;M'!T45+Develop!T45+Factory!T45</f>
        <v>2600</v>
      </c>
      <c r="U45" s="37">
        <f>+'G&amp;A'!U45+'S&amp;M'!U45+Develop!U45+Factory!U45</f>
        <v>2600</v>
      </c>
      <c r="V45" s="37">
        <f>+'G&amp;A'!V45+'S&amp;M'!V45+Develop!V45+Factory!V45</f>
        <v>2600</v>
      </c>
      <c r="W45" s="37">
        <f>+'G&amp;A'!W45+'S&amp;M'!W45+Develop!W45+Factory!W45</f>
        <v>2600</v>
      </c>
      <c r="X45" s="37">
        <f>+'G&amp;A'!X45+'S&amp;M'!X45+Develop!X45+Factory!X45</f>
        <v>2600</v>
      </c>
      <c r="Y45" s="37">
        <f>+'G&amp;A'!Y45+'S&amp;M'!Y45+Develop!Y45+Factory!Y45</f>
        <v>2600</v>
      </c>
      <c r="Z45" s="37">
        <f>+'G&amp;A'!Z45+'S&amp;M'!Z45+Develop!Z45+Factory!Z45</f>
        <v>2600</v>
      </c>
      <c r="AA45" s="37">
        <f>+'G&amp;A'!AA45+'S&amp;M'!AA45+Develop!AA45+Factory!AA45</f>
        <v>1800</v>
      </c>
      <c r="AB45" s="37">
        <f>+'G&amp;A'!AB45+'S&amp;M'!AB45+Develop!AB45+Factory!AB45</f>
        <v>1800</v>
      </c>
      <c r="AC45" s="37">
        <f>+'G&amp;A'!AC45+'S&amp;M'!AC45+Develop!AC45+Factory!AC45</f>
        <v>1800</v>
      </c>
      <c r="AD45" s="37"/>
      <c r="AE45" s="37">
        <f>+'G&amp;A'!AE45+'S&amp;M'!AE45+Develop!AE45+Factory!AE45</f>
        <v>1800</v>
      </c>
      <c r="AF45" s="37">
        <f>+'G&amp;A'!AF45+'S&amp;M'!AF45+Develop!AF45+Factory!AF45</f>
        <v>1800</v>
      </c>
      <c r="AG45" s="37">
        <f>+'G&amp;A'!AG45+'S&amp;M'!AG45+Develop!AG45+Factory!AG45</f>
        <v>1800</v>
      </c>
      <c r="AH45" s="37">
        <f>+'G&amp;A'!AH45+'S&amp;M'!AH45+Develop!AH45+Factory!AH45</f>
        <v>0</v>
      </c>
      <c r="AI45" s="37">
        <f>+'G&amp;A'!AI45+'S&amp;M'!AI45+Develop!AI45+Factory!AI45</f>
        <v>0</v>
      </c>
      <c r="AJ45" s="37">
        <f>+'G&amp;A'!AJ45+'S&amp;M'!AJ45+Develop!AJ45+Factory!AJ45</f>
        <v>0</v>
      </c>
      <c r="AK45" s="37">
        <f>+'G&amp;A'!AK45+'S&amp;M'!AK45+Develop!AK45+Factory!AK45</f>
        <v>0</v>
      </c>
      <c r="AL45" s="37">
        <f>+'G&amp;A'!AL45+'S&amp;M'!AL45+Develop!AL45+Factory!AL45</f>
        <v>0</v>
      </c>
      <c r="AM45" s="37">
        <f>+'G&amp;A'!AM45+'S&amp;M'!AM45+Develop!AM45+Factory!AM45</f>
        <v>0</v>
      </c>
      <c r="AN45" s="37">
        <f>+'G&amp;A'!AN45+'S&amp;M'!AN45+Develop!AN45+Factory!AN45</f>
        <v>0</v>
      </c>
      <c r="AO45" s="37">
        <f>+'G&amp;A'!AO45+'S&amp;M'!AO45+Develop!AO45+Factory!AO45</f>
        <v>0</v>
      </c>
      <c r="AP45" s="37">
        <f>+'G&amp;A'!AP45+'S&amp;M'!AP45+Develop!AP45+Factory!AP45</f>
        <v>0</v>
      </c>
      <c r="AQ45" s="37"/>
      <c r="AR45" s="37">
        <f t="shared" si="140"/>
        <v>189293</v>
      </c>
      <c r="AS45" s="37">
        <f t="shared" si="141"/>
        <v>78015</v>
      </c>
      <c r="AT45" s="37">
        <f t="shared" si="142"/>
        <v>18478</v>
      </c>
      <c r="AU45" s="37">
        <f t="shared" si="143"/>
        <v>84000</v>
      </c>
      <c r="AV45" s="37">
        <f t="shared" si="144"/>
        <v>8800</v>
      </c>
      <c r="AW45" s="37"/>
      <c r="AX45" s="37">
        <f t="shared" si="145"/>
        <v>28800</v>
      </c>
      <c r="AY45" s="37">
        <f t="shared" si="146"/>
        <v>7800</v>
      </c>
      <c r="AZ45" s="37">
        <f t="shared" si="147"/>
        <v>7800</v>
      </c>
      <c r="BA45" s="37">
        <f t="shared" si="148"/>
        <v>7800</v>
      </c>
      <c r="BB45" s="37">
        <f t="shared" si="149"/>
        <v>5400</v>
      </c>
      <c r="BC45" s="37"/>
      <c r="BD45" s="37">
        <f t="shared" si="150"/>
        <v>5400</v>
      </c>
      <c r="BE45" s="37">
        <f t="shared" si="151"/>
        <v>5400</v>
      </c>
      <c r="BF45" s="37">
        <f t="shared" si="152"/>
        <v>0</v>
      </c>
      <c r="BG45" s="37">
        <f t="shared" si="153"/>
        <v>0</v>
      </c>
      <c r="BH45" s="37">
        <f t="shared" si="154"/>
        <v>0</v>
      </c>
    </row>
    <row r="46" spans="2:60" s="16" customFormat="1" x14ac:dyDescent="0.25">
      <c r="B46" s="16" t="s">
        <v>37</v>
      </c>
      <c r="E46" s="37">
        <f>+'G&amp;A'!E46+'S&amp;M'!E46+Develop!E46+Factory!E46</f>
        <v>0</v>
      </c>
      <c r="F46" s="37">
        <f>+'G&amp;A'!F46+'S&amp;M'!F46+Develop!F46+Factory!F46</f>
        <v>0</v>
      </c>
      <c r="G46" s="37">
        <f>+'G&amp;A'!G46+'S&amp;M'!G46+Develop!G46+Factory!G46</f>
        <v>0</v>
      </c>
      <c r="H46" s="37">
        <f>+'G&amp;A'!H46+'S&amp;M'!H46+Develop!H46+Factory!H46</f>
        <v>0</v>
      </c>
      <c r="I46" s="37">
        <f>+'G&amp;A'!I46+'S&amp;M'!I46+Develop!I46+Factory!I46</f>
        <v>0</v>
      </c>
      <c r="J46" s="37">
        <f>+'G&amp;A'!J46+'S&amp;M'!J46+Develop!J46+Factory!J46</f>
        <v>0</v>
      </c>
      <c r="K46" s="37">
        <f>+'G&amp;A'!K46+'S&amp;M'!K46+Develop!K46+Factory!K46</f>
        <v>0</v>
      </c>
      <c r="L46" s="37">
        <f>+'G&amp;A'!L46+'S&amp;M'!L46+Develop!L46+Factory!L46</f>
        <v>0</v>
      </c>
      <c r="M46" s="37">
        <f>+'G&amp;A'!M46+'S&amp;M'!M46+Develop!M46+Factory!M46</f>
        <v>38200</v>
      </c>
      <c r="N46" s="37">
        <f>+'G&amp;A'!N46+'S&amp;M'!N46+Develop!N46+Factory!N46</f>
        <v>0</v>
      </c>
      <c r="O46" s="37">
        <f>+'G&amp;A'!O46+'S&amp;M'!O46+Develop!O46+Factory!O46</f>
        <v>0</v>
      </c>
      <c r="P46" s="37">
        <f>+'G&amp;A'!P46+'S&amp;M'!P46+Develop!P46+Factory!P46</f>
        <v>0</v>
      </c>
      <c r="Q46" s="37"/>
      <c r="R46" s="37">
        <f>+'G&amp;A'!R46+'S&amp;M'!R46+Develop!R46+Factory!R46</f>
        <v>0</v>
      </c>
      <c r="S46" s="37">
        <f>+'G&amp;A'!S46+'S&amp;M'!S46+Develop!S46+Factory!S46</f>
        <v>0</v>
      </c>
      <c r="T46" s="37">
        <f>+'G&amp;A'!T46+'S&amp;M'!T46+Develop!T46+Factory!T46</f>
        <v>0</v>
      </c>
      <c r="U46" s="37">
        <f>+'G&amp;A'!U46+'S&amp;M'!U46+Develop!U46+Factory!U46</f>
        <v>0</v>
      </c>
      <c r="V46" s="37">
        <f>+'G&amp;A'!V46+'S&amp;M'!V46+Develop!V46+Factory!V46</f>
        <v>0</v>
      </c>
      <c r="W46" s="37">
        <f>+'G&amp;A'!W46+'S&amp;M'!W46+Develop!W46+Factory!W46</f>
        <v>0</v>
      </c>
      <c r="X46" s="37">
        <f>+'G&amp;A'!X46+'S&amp;M'!X46+Develop!X46+Factory!X46</f>
        <v>0</v>
      </c>
      <c r="Y46" s="37">
        <f>+'G&amp;A'!Y46+'S&amp;M'!Y46+Develop!Y46+Factory!Y46</f>
        <v>0</v>
      </c>
      <c r="Z46" s="37">
        <f>+'G&amp;A'!Z46+'S&amp;M'!Z46+Develop!Z46+Factory!Z46</f>
        <v>0</v>
      </c>
      <c r="AA46" s="37">
        <f>+'G&amp;A'!AA46+'S&amp;M'!AA46+Develop!AA46+Factory!AA46</f>
        <v>0</v>
      </c>
      <c r="AB46" s="37">
        <f>+'G&amp;A'!AB46+'S&amp;M'!AB46+Develop!AB46+Factory!AB46</f>
        <v>0</v>
      </c>
      <c r="AC46" s="37">
        <f>+'G&amp;A'!AC46+'S&amp;M'!AC46+Develop!AC46+Factory!AC46</f>
        <v>0</v>
      </c>
      <c r="AD46" s="37"/>
      <c r="AE46" s="37">
        <f>+'G&amp;A'!AE46+'S&amp;M'!AE46+Develop!AE46+Factory!AE46</f>
        <v>0</v>
      </c>
      <c r="AF46" s="37">
        <f>+'G&amp;A'!AF46+'S&amp;M'!AF46+Develop!AF46+Factory!AF46</f>
        <v>0</v>
      </c>
      <c r="AG46" s="37">
        <f>+'G&amp;A'!AG46+'S&amp;M'!AG46+Develop!AG46+Factory!AG46</f>
        <v>0</v>
      </c>
      <c r="AH46" s="37">
        <f>+'G&amp;A'!AH46+'S&amp;M'!AH46+Develop!AH46+Factory!AH46</f>
        <v>0</v>
      </c>
      <c r="AI46" s="37">
        <f>+'G&amp;A'!AI46+'S&amp;M'!AI46+Develop!AI46+Factory!AI46</f>
        <v>0</v>
      </c>
      <c r="AJ46" s="37">
        <f>+'G&amp;A'!AJ46+'S&amp;M'!AJ46+Develop!AJ46+Factory!AJ46</f>
        <v>0</v>
      </c>
      <c r="AK46" s="37">
        <f>+'G&amp;A'!AK46+'S&amp;M'!AK46+Develop!AK46+Factory!AK46</f>
        <v>0</v>
      </c>
      <c r="AL46" s="37">
        <f>+'G&amp;A'!AL46+'S&amp;M'!AL46+Develop!AL46+Factory!AL46</f>
        <v>0</v>
      </c>
      <c r="AM46" s="37">
        <f>+'G&amp;A'!AM46+'S&amp;M'!AM46+Develop!AM46+Factory!AM46</f>
        <v>0</v>
      </c>
      <c r="AN46" s="37">
        <f>+'G&amp;A'!AN46+'S&amp;M'!AN46+Develop!AN46+Factory!AN46</f>
        <v>0</v>
      </c>
      <c r="AO46" s="37">
        <f>+'G&amp;A'!AO46+'S&amp;M'!AO46+Develop!AO46+Factory!AO46</f>
        <v>0</v>
      </c>
      <c r="AP46" s="37">
        <f>+'G&amp;A'!AP46+'S&amp;M'!AP46+Develop!AP46+Factory!AP46</f>
        <v>0</v>
      </c>
      <c r="AQ46" s="37"/>
      <c r="AR46" s="37">
        <f t="shared" si="140"/>
        <v>38200</v>
      </c>
      <c r="AS46" s="37">
        <f t="shared" si="141"/>
        <v>0</v>
      </c>
      <c r="AT46" s="37">
        <f t="shared" si="142"/>
        <v>0</v>
      </c>
      <c r="AU46" s="37">
        <f t="shared" si="143"/>
        <v>38200</v>
      </c>
      <c r="AV46" s="37">
        <f t="shared" si="144"/>
        <v>0</v>
      </c>
      <c r="AW46" s="37"/>
      <c r="AX46" s="37">
        <f t="shared" si="145"/>
        <v>0</v>
      </c>
      <c r="AY46" s="37">
        <f t="shared" si="146"/>
        <v>0</v>
      </c>
      <c r="AZ46" s="37">
        <f t="shared" si="147"/>
        <v>0</v>
      </c>
      <c r="BA46" s="37">
        <f t="shared" si="148"/>
        <v>0</v>
      </c>
      <c r="BB46" s="37">
        <f t="shared" si="149"/>
        <v>0</v>
      </c>
      <c r="BC46" s="37"/>
      <c r="BD46" s="37">
        <f t="shared" si="150"/>
        <v>0</v>
      </c>
      <c r="BE46" s="37">
        <f t="shared" si="151"/>
        <v>0</v>
      </c>
      <c r="BF46" s="37">
        <f t="shared" si="152"/>
        <v>0</v>
      </c>
      <c r="BG46" s="37">
        <f t="shared" si="153"/>
        <v>0</v>
      </c>
      <c r="BH46" s="37">
        <f t="shared" si="154"/>
        <v>0</v>
      </c>
    </row>
    <row r="47" spans="2:60" s="16" customFormat="1" x14ac:dyDescent="0.25">
      <c r="B47" s="16" t="s">
        <v>137</v>
      </c>
      <c r="C47" s="16" t="s">
        <v>138</v>
      </c>
      <c r="E47" s="37">
        <f>+'G&amp;A'!E47+'S&amp;M'!E47+Develop!E47+Factory!E47</f>
        <v>0</v>
      </c>
      <c r="F47" s="37">
        <f>+'G&amp;A'!F47+'S&amp;M'!F47+Develop!F47+Factory!F47</f>
        <v>0</v>
      </c>
      <c r="G47" s="37">
        <f>+'G&amp;A'!G47+'S&amp;M'!G47+Develop!G47+Factory!G47</f>
        <v>0</v>
      </c>
      <c r="H47" s="37">
        <f>+'G&amp;A'!H47+'S&amp;M'!H47+Develop!H47+Factory!H47</f>
        <v>0</v>
      </c>
      <c r="I47" s="37">
        <f>+'G&amp;A'!I47+'S&amp;M'!I47+Develop!I47+Factory!I47</f>
        <v>0</v>
      </c>
      <c r="J47" s="37">
        <f>+'G&amp;A'!J47+'S&amp;M'!J47+Develop!J47+Factory!J47</f>
        <v>0</v>
      </c>
      <c r="K47" s="37">
        <f>+'G&amp;A'!K47+'S&amp;M'!K47+Develop!K47+Factory!K47</f>
        <v>0</v>
      </c>
      <c r="L47" s="37">
        <f>+'G&amp;A'!L47+'S&amp;M'!L47+Develop!L47+Factory!L47</f>
        <v>0</v>
      </c>
      <c r="M47" s="37">
        <f>+'G&amp;A'!M47+'S&amp;M'!M47+Develop!M47+Factory!M47</f>
        <v>0</v>
      </c>
      <c r="N47" s="37">
        <f>+'G&amp;A'!N47+'S&amp;M'!N47+Develop!N47+Factory!N47</f>
        <v>0</v>
      </c>
      <c r="O47" s="37">
        <f>+'G&amp;A'!O47+'S&amp;M'!O47+Develop!O47+Factory!O47</f>
        <v>0</v>
      </c>
      <c r="P47" s="37">
        <f>+'G&amp;A'!P47+'S&amp;M'!P47+Develop!P47+Factory!P47</f>
        <v>0</v>
      </c>
      <c r="Q47" s="37"/>
      <c r="R47" s="37">
        <f>+'G&amp;A'!R47+'S&amp;M'!R47+Develop!R47+Factory!R47</f>
        <v>0</v>
      </c>
      <c r="S47" s="37">
        <f>+'G&amp;A'!S47+'S&amp;M'!S47+Develop!S47+Factory!S47</f>
        <v>0</v>
      </c>
      <c r="T47" s="37">
        <f>+'G&amp;A'!T47+'S&amp;M'!T47+Develop!T47+Factory!T47</f>
        <v>3000</v>
      </c>
      <c r="U47" s="37">
        <f>+'G&amp;A'!U47+'S&amp;M'!U47+Develop!U47+Factory!U47</f>
        <v>0</v>
      </c>
      <c r="V47" s="37">
        <f>+'G&amp;A'!V47+'S&amp;M'!V47+Develop!V47+Factory!V47</f>
        <v>0</v>
      </c>
      <c r="W47" s="37">
        <f>+'G&amp;A'!W47+'S&amp;M'!W47+Develop!W47+Factory!W47</f>
        <v>0</v>
      </c>
      <c r="X47" s="37">
        <f>+'G&amp;A'!X47+'S&amp;M'!X47+Develop!X47+Factory!X47</f>
        <v>3000</v>
      </c>
      <c r="Y47" s="37">
        <f>+'G&amp;A'!Y47+'S&amp;M'!Y47+Develop!Y47+Factory!Y47</f>
        <v>0</v>
      </c>
      <c r="Z47" s="37">
        <f>+'G&amp;A'!Z47+'S&amp;M'!Z47+Develop!Z47+Factory!Z47</f>
        <v>0</v>
      </c>
      <c r="AA47" s="37">
        <f>+'G&amp;A'!AA47+'S&amp;M'!AA47+Develop!AA47+Factory!AA47</f>
        <v>0</v>
      </c>
      <c r="AB47" s="37">
        <f>+'G&amp;A'!AB47+'S&amp;M'!AB47+Develop!AB47+Factory!AB47</f>
        <v>0</v>
      </c>
      <c r="AC47" s="37">
        <f>+'G&amp;A'!AC47+'S&amp;M'!AC47+Develop!AC47+Factory!AC47</f>
        <v>0</v>
      </c>
      <c r="AD47" s="37"/>
      <c r="AE47" s="37">
        <f>+'G&amp;A'!AE47+'S&amp;M'!AE47+Develop!AE47+Factory!AE47</f>
        <v>0</v>
      </c>
      <c r="AF47" s="37">
        <f>+'G&amp;A'!AF47+'S&amp;M'!AF47+Develop!AF47+Factory!AF47</f>
        <v>0</v>
      </c>
      <c r="AG47" s="37">
        <f>+'G&amp;A'!AG47+'S&amp;M'!AG47+Develop!AG47+Factory!AG47</f>
        <v>0</v>
      </c>
      <c r="AH47" s="37">
        <f>+'G&amp;A'!AH47+'S&amp;M'!AH47+Develop!AH47+Factory!AH47</f>
        <v>0</v>
      </c>
      <c r="AI47" s="37">
        <f>+'G&amp;A'!AI47+'S&amp;M'!AI47+Develop!AI47+Factory!AI47</f>
        <v>0</v>
      </c>
      <c r="AJ47" s="37">
        <f>+'G&amp;A'!AJ47+'S&amp;M'!AJ47+Develop!AJ47+Factory!AJ47</f>
        <v>0</v>
      </c>
      <c r="AK47" s="37">
        <f>+'G&amp;A'!AK47+'S&amp;M'!AK47+Develop!AK47+Factory!AK47</f>
        <v>0</v>
      </c>
      <c r="AL47" s="37">
        <f>+'G&amp;A'!AL47+'S&amp;M'!AL47+Develop!AL47+Factory!AL47</f>
        <v>0</v>
      </c>
      <c r="AM47" s="37">
        <f>+'G&amp;A'!AM47+'S&amp;M'!AM47+Develop!AM47+Factory!AM47</f>
        <v>0</v>
      </c>
      <c r="AN47" s="37">
        <f>+'G&amp;A'!AN47+'S&amp;M'!AN47+Develop!AN47+Factory!AN47</f>
        <v>0</v>
      </c>
      <c r="AO47" s="37">
        <f>+'G&amp;A'!AO47+'S&amp;M'!AO47+Develop!AO47+Factory!AO47</f>
        <v>0</v>
      </c>
      <c r="AP47" s="37">
        <f>+'G&amp;A'!AP47+'S&amp;M'!AP47+Develop!AP47+Factory!AP47</f>
        <v>0</v>
      </c>
      <c r="AQ47" s="37"/>
      <c r="AR47" s="37">
        <f t="shared" si="140"/>
        <v>0</v>
      </c>
      <c r="AS47" s="37">
        <f t="shared" si="141"/>
        <v>0</v>
      </c>
      <c r="AT47" s="37">
        <f t="shared" si="142"/>
        <v>0</v>
      </c>
      <c r="AU47" s="37">
        <f t="shared" si="143"/>
        <v>0</v>
      </c>
      <c r="AV47" s="37">
        <f t="shared" si="144"/>
        <v>0</v>
      </c>
      <c r="AW47" s="37"/>
      <c r="AX47" s="37">
        <f t="shared" si="145"/>
        <v>6000</v>
      </c>
      <c r="AY47" s="37">
        <f t="shared" si="146"/>
        <v>3000</v>
      </c>
      <c r="AZ47" s="37">
        <f t="shared" si="147"/>
        <v>0</v>
      </c>
      <c r="BA47" s="37">
        <f t="shared" si="148"/>
        <v>3000</v>
      </c>
      <c r="BB47" s="37">
        <f t="shared" si="149"/>
        <v>0</v>
      </c>
      <c r="BC47" s="37"/>
      <c r="BD47" s="37">
        <f t="shared" si="150"/>
        <v>0</v>
      </c>
      <c r="BE47" s="37">
        <f t="shared" si="151"/>
        <v>0</v>
      </c>
      <c r="BF47" s="37">
        <f t="shared" si="152"/>
        <v>0</v>
      </c>
      <c r="BG47" s="37">
        <f t="shared" si="153"/>
        <v>0</v>
      </c>
      <c r="BH47" s="37">
        <f t="shared" si="154"/>
        <v>0</v>
      </c>
    </row>
    <row r="48" spans="2:60" s="16" customFormat="1" x14ac:dyDescent="0.25">
      <c r="B48" s="16" t="s">
        <v>38</v>
      </c>
      <c r="E48" s="37">
        <f>+'G&amp;A'!E48+'S&amp;M'!E48+Develop!E48+Factory!E48</f>
        <v>6326</v>
      </c>
      <c r="F48" s="37">
        <f>+'G&amp;A'!F48+'S&amp;M'!F48+Develop!F48+Factory!F48</f>
        <v>0</v>
      </c>
      <c r="G48" s="37">
        <f>+'G&amp;A'!G48+'S&amp;M'!G48+Develop!G48+Factory!G48</f>
        <v>0</v>
      </c>
      <c r="H48" s="37">
        <f>+'G&amp;A'!H48+'S&amp;M'!H48+Develop!H48+Factory!H48</f>
        <v>0</v>
      </c>
      <c r="I48" s="37">
        <f>+'G&amp;A'!I48+'S&amp;M'!I48+Develop!I48+Factory!I48</f>
        <v>0</v>
      </c>
      <c r="J48" s="37">
        <f>+'G&amp;A'!J48+'S&amp;M'!J48+Develop!J48+Factory!J48</f>
        <v>100</v>
      </c>
      <c r="K48" s="37">
        <f>+'G&amp;A'!K48+'S&amp;M'!K48+Develop!K48+Factory!K48</f>
        <v>0</v>
      </c>
      <c r="L48" s="37">
        <f>+'G&amp;A'!L48+'S&amp;M'!L48+Develop!L48+Factory!L48</f>
        <v>0</v>
      </c>
      <c r="M48" s="37">
        <f>+'G&amp;A'!M48+'S&amp;M'!M48+Develop!M48+Factory!M48</f>
        <v>0</v>
      </c>
      <c r="N48" s="37">
        <f>+'G&amp;A'!N48+'S&amp;M'!N48+Develop!N48+Factory!N48</f>
        <v>0</v>
      </c>
      <c r="O48" s="37">
        <f>+'G&amp;A'!O48+'S&amp;M'!O48+Develop!O48+Factory!O48</f>
        <v>0</v>
      </c>
      <c r="P48" s="37">
        <f>+'G&amp;A'!P48+'S&amp;M'!P48+Develop!P48+Factory!P48</f>
        <v>0</v>
      </c>
      <c r="Q48" s="37"/>
      <c r="R48" s="37">
        <f>+'G&amp;A'!R48+'S&amp;M'!R48+Develop!R48+Factory!R48</f>
        <v>1300</v>
      </c>
      <c r="S48" s="37">
        <f>+'G&amp;A'!S48+'S&amp;M'!S48+Develop!S48+Factory!S48</f>
        <v>0</v>
      </c>
      <c r="T48" s="37">
        <f>+'G&amp;A'!T48+'S&amp;M'!T48+Develop!T48+Factory!T48</f>
        <v>0</v>
      </c>
      <c r="U48" s="37">
        <f>+'G&amp;A'!U48+'S&amp;M'!U48+Develop!U48+Factory!U48</f>
        <v>0</v>
      </c>
      <c r="V48" s="37">
        <f>+'G&amp;A'!V48+'S&amp;M'!V48+Develop!V48+Factory!V48</f>
        <v>0</v>
      </c>
      <c r="W48" s="37">
        <f>+'G&amp;A'!W48+'S&amp;M'!W48+Develop!W48+Factory!W48</f>
        <v>100</v>
      </c>
      <c r="X48" s="37">
        <f>+'G&amp;A'!X48+'S&amp;M'!X48+Develop!X48+Factory!X48</f>
        <v>0</v>
      </c>
      <c r="Y48" s="37">
        <f>+'G&amp;A'!Y48+'S&amp;M'!Y48+Develop!Y48+Factory!Y48</f>
        <v>0</v>
      </c>
      <c r="Z48" s="37">
        <f>+'G&amp;A'!Z48+'S&amp;M'!Z48+Develop!Z48+Factory!Z48</f>
        <v>0</v>
      </c>
      <c r="AA48" s="37">
        <f>+'G&amp;A'!AA48+'S&amp;M'!AA48+Develop!AA48+Factory!AA48</f>
        <v>0</v>
      </c>
      <c r="AB48" s="37">
        <f>+'G&amp;A'!AB48+'S&amp;M'!AB48+Develop!AB48+Factory!AB48</f>
        <v>0</v>
      </c>
      <c r="AC48" s="37">
        <f>+'G&amp;A'!AC48+'S&amp;M'!AC48+Develop!AC48+Factory!AC48</f>
        <v>0</v>
      </c>
      <c r="AD48" s="37"/>
      <c r="AE48" s="37">
        <f>+'G&amp;A'!AE48+'S&amp;M'!AE48+Develop!AE48+Factory!AE48</f>
        <v>100</v>
      </c>
      <c r="AF48" s="37">
        <f>+'G&amp;A'!AF48+'S&amp;M'!AF48+Develop!AF48+Factory!AF48</f>
        <v>0</v>
      </c>
      <c r="AG48" s="37">
        <f>+'G&amp;A'!AG48+'S&amp;M'!AG48+Develop!AG48+Factory!AG48</f>
        <v>0</v>
      </c>
      <c r="AH48" s="37">
        <f>+'G&amp;A'!AH48+'S&amp;M'!AH48+Develop!AH48+Factory!AH48</f>
        <v>0</v>
      </c>
      <c r="AI48" s="37">
        <f>+'G&amp;A'!AI48+'S&amp;M'!AI48+Develop!AI48+Factory!AI48</f>
        <v>0</v>
      </c>
      <c r="AJ48" s="37">
        <f>+'G&amp;A'!AJ48+'S&amp;M'!AJ48+Develop!AJ48+Factory!AJ48</f>
        <v>100</v>
      </c>
      <c r="AK48" s="37">
        <f>+'G&amp;A'!AK48+'S&amp;M'!AK48+Develop!AK48+Factory!AK48</f>
        <v>0</v>
      </c>
      <c r="AL48" s="37">
        <f>+'G&amp;A'!AL48+'S&amp;M'!AL48+Develop!AL48+Factory!AL48</f>
        <v>0</v>
      </c>
      <c r="AM48" s="37">
        <f>+'G&amp;A'!AM48+'S&amp;M'!AM48+Develop!AM48+Factory!AM48</f>
        <v>0</v>
      </c>
      <c r="AN48" s="37">
        <f>+'G&amp;A'!AN48+'S&amp;M'!AN48+Develop!AN48+Factory!AN48</f>
        <v>0</v>
      </c>
      <c r="AO48" s="37">
        <f>+'G&amp;A'!AO48+'S&amp;M'!AO48+Develop!AO48+Factory!AO48</f>
        <v>0</v>
      </c>
      <c r="AP48" s="37">
        <f>+'G&amp;A'!AP48+'S&amp;M'!AP48+Develop!AP48+Factory!AP48</f>
        <v>0</v>
      </c>
      <c r="AQ48" s="37"/>
      <c r="AR48" s="37">
        <f t="shared" si="140"/>
        <v>6426</v>
      </c>
      <c r="AS48" s="37">
        <f t="shared" si="141"/>
        <v>6326</v>
      </c>
      <c r="AT48" s="37">
        <f t="shared" si="142"/>
        <v>100</v>
      </c>
      <c r="AU48" s="37">
        <f t="shared" si="143"/>
        <v>0</v>
      </c>
      <c r="AV48" s="37">
        <f t="shared" si="144"/>
        <v>0</v>
      </c>
      <c r="AW48" s="37"/>
      <c r="AX48" s="37">
        <f t="shared" si="145"/>
        <v>1400</v>
      </c>
      <c r="AY48" s="37">
        <f t="shared" si="146"/>
        <v>1300</v>
      </c>
      <c r="AZ48" s="37">
        <f t="shared" si="147"/>
        <v>100</v>
      </c>
      <c r="BA48" s="37">
        <f t="shared" si="148"/>
        <v>0</v>
      </c>
      <c r="BB48" s="37">
        <f t="shared" si="149"/>
        <v>0</v>
      </c>
      <c r="BC48" s="37"/>
      <c r="BD48" s="37">
        <f t="shared" si="150"/>
        <v>200</v>
      </c>
      <c r="BE48" s="37">
        <f t="shared" si="151"/>
        <v>100</v>
      </c>
      <c r="BF48" s="37">
        <f t="shared" si="152"/>
        <v>100</v>
      </c>
      <c r="BG48" s="37">
        <f t="shared" si="153"/>
        <v>0</v>
      </c>
      <c r="BH48" s="37">
        <f t="shared" si="154"/>
        <v>0</v>
      </c>
    </row>
    <row r="49" spans="2:60" s="16" customFormat="1" x14ac:dyDescent="0.25">
      <c r="B49" s="16" t="s">
        <v>39</v>
      </c>
      <c r="E49" s="37">
        <f>+'G&amp;A'!E49+'S&amp;M'!E49+Develop!E49+Factory!E49</f>
        <v>0</v>
      </c>
      <c r="F49" s="37">
        <f>+'G&amp;A'!F49+'S&amp;M'!F49+Develop!F49+Factory!F49</f>
        <v>0</v>
      </c>
      <c r="G49" s="37">
        <f>+'G&amp;A'!G49+'S&amp;M'!G49+Develop!G49+Factory!G49</f>
        <v>0</v>
      </c>
      <c r="H49" s="37">
        <f>+'G&amp;A'!H49+'S&amp;M'!H49+Develop!H49+Factory!H49</f>
        <v>0</v>
      </c>
      <c r="I49" s="37">
        <f>+'G&amp;A'!I49+'S&amp;M'!I49+Develop!I49+Factory!I49</f>
        <v>0</v>
      </c>
      <c r="J49" s="37">
        <f>+'G&amp;A'!J49+'S&amp;M'!J49+Develop!J49+Factory!J49</f>
        <v>0</v>
      </c>
      <c r="K49" s="37">
        <f>+'G&amp;A'!K49+'S&amp;M'!K49+Develop!K49+Factory!K49</f>
        <v>0</v>
      </c>
      <c r="L49" s="37">
        <f>+'G&amp;A'!L49+'S&amp;M'!L49+Develop!L49+Factory!L49</f>
        <v>0</v>
      </c>
      <c r="M49" s="37">
        <f>+'G&amp;A'!M49+'S&amp;M'!M49+Develop!M49+Factory!M49</f>
        <v>0</v>
      </c>
      <c r="N49" s="37">
        <f>+'G&amp;A'!N49+'S&amp;M'!N49+Develop!N49+Factory!N49</f>
        <v>0</v>
      </c>
      <c r="O49" s="37">
        <f>+'G&amp;A'!O49+'S&amp;M'!O49+Develop!O49+Factory!O49</f>
        <v>0</v>
      </c>
      <c r="P49" s="37">
        <f>+'G&amp;A'!P49+'S&amp;M'!P49+Develop!P49+Factory!P49</f>
        <v>0</v>
      </c>
      <c r="Q49" s="37"/>
      <c r="R49" s="37">
        <f>+'G&amp;A'!R49+'S&amp;M'!R49+Develop!R49+Factory!R49</f>
        <v>0</v>
      </c>
      <c r="S49" s="37">
        <f>+'G&amp;A'!S49+'S&amp;M'!S49+Develop!S49+Factory!S49</f>
        <v>0</v>
      </c>
      <c r="T49" s="37">
        <f>+'G&amp;A'!T49+'S&amp;M'!T49+Develop!T49+Factory!T49</f>
        <v>0</v>
      </c>
      <c r="U49" s="37">
        <f>+'G&amp;A'!U49+'S&amp;M'!U49+Develop!U49+Factory!U49</f>
        <v>0</v>
      </c>
      <c r="V49" s="37">
        <f>+'G&amp;A'!V49+'S&amp;M'!V49+Develop!V49+Factory!V49</f>
        <v>0</v>
      </c>
      <c r="W49" s="37">
        <f>+'G&amp;A'!W49+'S&amp;M'!W49+Develop!W49+Factory!W49</f>
        <v>0</v>
      </c>
      <c r="X49" s="37">
        <f>+'G&amp;A'!X49+'S&amp;M'!X49+Develop!X49+Factory!X49</f>
        <v>0</v>
      </c>
      <c r="Y49" s="37">
        <f>+'G&amp;A'!Y49+'S&amp;M'!Y49+Develop!Y49+Factory!Y49</f>
        <v>0</v>
      </c>
      <c r="Z49" s="37">
        <f>+'G&amp;A'!Z49+'S&amp;M'!Z49+Develop!Z49+Factory!Z49</f>
        <v>0</v>
      </c>
      <c r="AA49" s="37">
        <f>+'G&amp;A'!AA49+'S&amp;M'!AA49+Develop!AA49+Factory!AA49</f>
        <v>0</v>
      </c>
      <c r="AB49" s="37">
        <f>+'G&amp;A'!AB49+'S&amp;M'!AB49+Develop!AB49+Factory!AB49</f>
        <v>0</v>
      </c>
      <c r="AC49" s="37">
        <f>+'G&amp;A'!AC49+'S&amp;M'!AC49+Develop!AC49+Factory!AC49</f>
        <v>0</v>
      </c>
      <c r="AD49" s="37"/>
      <c r="AE49" s="37">
        <f>+'G&amp;A'!AE49+'S&amp;M'!AE49+Develop!AE49+Factory!AE49</f>
        <v>0</v>
      </c>
      <c r="AF49" s="37">
        <f>+'G&amp;A'!AF49+'S&amp;M'!AF49+Develop!AF49+Factory!AF49</f>
        <v>0</v>
      </c>
      <c r="AG49" s="37">
        <f>+'G&amp;A'!AG49+'S&amp;M'!AG49+Develop!AG49+Factory!AG49</f>
        <v>0</v>
      </c>
      <c r="AH49" s="37">
        <f>+'G&amp;A'!AH49+'S&amp;M'!AH49+Develop!AH49+Factory!AH49</f>
        <v>0</v>
      </c>
      <c r="AI49" s="37">
        <f>+'G&amp;A'!AI49+'S&amp;M'!AI49+Develop!AI49+Factory!AI49</f>
        <v>0</v>
      </c>
      <c r="AJ49" s="37">
        <f>+'G&amp;A'!AJ49+'S&amp;M'!AJ49+Develop!AJ49+Factory!AJ49</f>
        <v>0</v>
      </c>
      <c r="AK49" s="37">
        <f>+'G&amp;A'!AK49+'S&amp;M'!AK49+Develop!AK49+Factory!AK49</f>
        <v>0</v>
      </c>
      <c r="AL49" s="37">
        <f>+'G&amp;A'!AL49+'S&amp;M'!AL49+Develop!AL49+Factory!AL49</f>
        <v>0</v>
      </c>
      <c r="AM49" s="37">
        <f>+'G&amp;A'!AM49+'S&amp;M'!AM49+Develop!AM49+Factory!AM49</f>
        <v>0</v>
      </c>
      <c r="AN49" s="37">
        <f>+'G&amp;A'!AN49+'S&amp;M'!AN49+Develop!AN49+Factory!AN49</f>
        <v>0</v>
      </c>
      <c r="AO49" s="37">
        <f>+'G&amp;A'!AO49+'S&amp;M'!AO49+Develop!AO49+Factory!AO49</f>
        <v>0</v>
      </c>
      <c r="AP49" s="37">
        <f>+'G&amp;A'!AP49+'S&amp;M'!AP49+Develop!AP49+Factory!AP49</f>
        <v>0</v>
      </c>
      <c r="AQ49" s="37"/>
      <c r="AR49" s="37">
        <f t="shared" si="140"/>
        <v>0</v>
      </c>
      <c r="AS49" s="37">
        <f t="shared" si="141"/>
        <v>0</v>
      </c>
      <c r="AT49" s="37">
        <f t="shared" si="142"/>
        <v>0</v>
      </c>
      <c r="AU49" s="37">
        <f t="shared" si="143"/>
        <v>0</v>
      </c>
      <c r="AV49" s="37">
        <f t="shared" si="144"/>
        <v>0</v>
      </c>
      <c r="AW49" s="37"/>
      <c r="AX49" s="37">
        <f t="shared" si="145"/>
        <v>0</v>
      </c>
      <c r="AY49" s="37">
        <f t="shared" si="146"/>
        <v>0</v>
      </c>
      <c r="AZ49" s="37">
        <f t="shared" si="147"/>
        <v>0</v>
      </c>
      <c r="BA49" s="37">
        <f t="shared" si="148"/>
        <v>0</v>
      </c>
      <c r="BB49" s="37">
        <f t="shared" si="149"/>
        <v>0</v>
      </c>
      <c r="BC49" s="37"/>
      <c r="BD49" s="37">
        <f t="shared" si="150"/>
        <v>0</v>
      </c>
      <c r="BE49" s="37">
        <f t="shared" si="151"/>
        <v>0</v>
      </c>
      <c r="BF49" s="37">
        <f t="shared" si="152"/>
        <v>0</v>
      </c>
      <c r="BG49" s="37">
        <f t="shared" si="153"/>
        <v>0</v>
      </c>
      <c r="BH49" s="37">
        <f t="shared" si="154"/>
        <v>0</v>
      </c>
    </row>
    <row r="50" spans="2:60" s="16" customFormat="1" x14ac:dyDescent="0.25">
      <c r="B50" s="16" t="s">
        <v>40</v>
      </c>
      <c r="E50" s="37">
        <f>+'G&amp;A'!E50+'S&amp;M'!E50+Develop!E50+Factory!E50</f>
        <v>0</v>
      </c>
      <c r="F50" s="37">
        <f>+'G&amp;A'!F50+'S&amp;M'!F50+Develop!F50+Factory!F50</f>
        <v>0</v>
      </c>
      <c r="G50" s="37">
        <f>+'G&amp;A'!G50+'S&amp;M'!G50+Develop!G50+Factory!G50</f>
        <v>0</v>
      </c>
      <c r="H50" s="37">
        <f>+'G&amp;A'!H50+'S&amp;M'!H50+Develop!H50+Factory!H50</f>
        <v>0</v>
      </c>
      <c r="I50" s="37">
        <f>+'G&amp;A'!I50+'S&amp;M'!I50+Develop!I50+Factory!I50</f>
        <v>0</v>
      </c>
      <c r="J50" s="37">
        <f>+'G&amp;A'!J50+'S&amp;M'!J50+Develop!J50+Factory!J50</f>
        <v>0</v>
      </c>
      <c r="K50" s="37">
        <f>+'G&amp;A'!K50+'S&amp;M'!K50+Develop!K50+Factory!K50</f>
        <v>0</v>
      </c>
      <c r="L50" s="37">
        <f>+'G&amp;A'!L50+'S&amp;M'!L50+Develop!L50+Factory!L50</f>
        <v>0</v>
      </c>
      <c r="M50" s="37">
        <f>+'G&amp;A'!M50+'S&amp;M'!M50+Develop!M50+Factory!M50</f>
        <v>0</v>
      </c>
      <c r="N50" s="37">
        <f>+'G&amp;A'!N50+'S&amp;M'!N50+Develop!N50+Factory!N50</f>
        <v>0</v>
      </c>
      <c r="O50" s="37">
        <f>+'G&amp;A'!O50+'S&amp;M'!O50+Develop!O50+Factory!O50</f>
        <v>0</v>
      </c>
      <c r="P50" s="37">
        <f>+'G&amp;A'!P50+'S&amp;M'!P50+Develop!P50+Factory!P50</f>
        <v>0</v>
      </c>
      <c r="Q50" s="37"/>
      <c r="R50" s="37">
        <f>+'G&amp;A'!R50+'S&amp;M'!R50+Develop!R50+Factory!R50</f>
        <v>0</v>
      </c>
      <c r="S50" s="37">
        <f>+'G&amp;A'!S50+'S&amp;M'!S50+Develop!S50+Factory!S50</f>
        <v>0</v>
      </c>
      <c r="T50" s="37">
        <f>+'G&amp;A'!T50+'S&amp;M'!T50+Develop!T50+Factory!T50</f>
        <v>0</v>
      </c>
      <c r="U50" s="37">
        <f>+'G&amp;A'!U50+'S&amp;M'!U50+Develop!U50+Factory!U50</f>
        <v>0</v>
      </c>
      <c r="V50" s="37">
        <f>+'G&amp;A'!V50+'S&amp;M'!V50+Develop!V50+Factory!V50</f>
        <v>0</v>
      </c>
      <c r="W50" s="37">
        <f>+'G&amp;A'!W50+'S&amp;M'!W50+Develop!W50+Factory!W50</f>
        <v>0</v>
      </c>
      <c r="X50" s="37">
        <f>+'G&amp;A'!X50+'S&amp;M'!X50+Develop!X50+Factory!X50</f>
        <v>0</v>
      </c>
      <c r="Y50" s="37">
        <f>+'G&amp;A'!Y50+'S&amp;M'!Y50+Develop!Y50+Factory!Y50</f>
        <v>0</v>
      </c>
      <c r="Z50" s="37">
        <f>+'G&amp;A'!Z50+'S&amp;M'!Z50+Develop!Z50+Factory!Z50</f>
        <v>0</v>
      </c>
      <c r="AA50" s="37">
        <f>+'G&amp;A'!AA50+'S&amp;M'!AA50+Develop!AA50+Factory!AA50</f>
        <v>0</v>
      </c>
      <c r="AB50" s="37">
        <f>+'G&amp;A'!AB50+'S&amp;M'!AB50+Develop!AB50+Factory!AB50</f>
        <v>0</v>
      </c>
      <c r="AC50" s="37">
        <f>+'G&amp;A'!AC50+'S&amp;M'!AC50+Develop!AC50+Factory!AC50</f>
        <v>0</v>
      </c>
      <c r="AD50" s="37"/>
      <c r="AE50" s="37">
        <f>+'G&amp;A'!AE50+'S&amp;M'!AE50+Develop!AE50+Factory!AE50</f>
        <v>0</v>
      </c>
      <c r="AF50" s="37">
        <f>+'G&amp;A'!AF50+'S&amp;M'!AF50+Develop!AF50+Factory!AF50</f>
        <v>0</v>
      </c>
      <c r="AG50" s="37">
        <f>+'G&amp;A'!AG50+'S&amp;M'!AG50+Develop!AG50+Factory!AG50</f>
        <v>0</v>
      </c>
      <c r="AH50" s="37">
        <f>+'G&amp;A'!AH50+'S&amp;M'!AH50+Develop!AH50+Factory!AH50</f>
        <v>0</v>
      </c>
      <c r="AI50" s="37">
        <f>+'G&amp;A'!AI50+'S&amp;M'!AI50+Develop!AI50+Factory!AI50</f>
        <v>0</v>
      </c>
      <c r="AJ50" s="37">
        <f>+'G&amp;A'!AJ50+'S&amp;M'!AJ50+Develop!AJ50+Factory!AJ50</f>
        <v>0</v>
      </c>
      <c r="AK50" s="37">
        <f>+'G&amp;A'!AK50+'S&amp;M'!AK50+Develop!AK50+Factory!AK50</f>
        <v>0</v>
      </c>
      <c r="AL50" s="37">
        <f>+'G&amp;A'!AL50+'S&amp;M'!AL50+Develop!AL50+Factory!AL50</f>
        <v>0</v>
      </c>
      <c r="AM50" s="37">
        <f>+'G&amp;A'!AM50+'S&amp;M'!AM50+Develop!AM50+Factory!AM50</f>
        <v>0</v>
      </c>
      <c r="AN50" s="37">
        <f>+'G&amp;A'!AN50+'S&amp;M'!AN50+Develop!AN50+Factory!AN50</f>
        <v>0</v>
      </c>
      <c r="AO50" s="37">
        <f>+'G&amp;A'!AO50+'S&amp;M'!AO50+Develop!AO50+Factory!AO50</f>
        <v>0</v>
      </c>
      <c r="AP50" s="37">
        <f>+'G&amp;A'!AP50+'S&amp;M'!AP50+Develop!AP50+Factory!AP50</f>
        <v>0</v>
      </c>
      <c r="AQ50" s="37"/>
      <c r="AR50" s="37">
        <f t="shared" si="140"/>
        <v>0</v>
      </c>
      <c r="AS50" s="37">
        <f t="shared" si="141"/>
        <v>0</v>
      </c>
      <c r="AT50" s="37">
        <f t="shared" si="142"/>
        <v>0</v>
      </c>
      <c r="AU50" s="37">
        <f t="shared" si="143"/>
        <v>0</v>
      </c>
      <c r="AV50" s="37">
        <f t="shared" si="144"/>
        <v>0</v>
      </c>
      <c r="AW50" s="37"/>
      <c r="AX50" s="37">
        <f t="shared" si="145"/>
        <v>0</v>
      </c>
      <c r="AY50" s="37">
        <f t="shared" si="146"/>
        <v>0</v>
      </c>
      <c r="AZ50" s="37">
        <f t="shared" si="147"/>
        <v>0</v>
      </c>
      <c r="BA50" s="37">
        <f t="shared" si="148"/>
        <v>0</v>
      </c>
      <c r="BB50" s="37">
        <f t="shared" si="149"/>
        <v>0</v>
      </c>
      <c r="BC50" s="37"/>
      <c r="BD50" s="37">
        <f t="shared" si="150"/>
        <v>0</v>
      </c>
      <c r="BE50" s="37">
        <f t="shared" si="151"/>
        <v>0</v>
      </c>
      <c r="BF50" s="37">
        <f t="shared" si="152"/>
        <v>0</v>
      </c>
      <c r="BG50" s="37">
        <f t="shared" si="153"/>
        <v>0</v>
      </c>
      <c r="BH50" s="37">
        <f t="shared" si="154"/>
        <v>0</v>
      </c>
    </row>
    <row r="51" spans="2:60" s="16" customFormat="1" x14ac:dyDescent="0.25">
      <c r="B51" s="16" t="s">
        <v>126</v>
      </c>
      <c r="E51" s="37">
        <f>+'G&amp;A'!E51+'S&amp;M'!E51+Develop!E51+Factory!E51</f>
        <v>0</v>
      </c>
      <c r="F51" s="37">
        <f>+'G&amp;A'!F51+'S&amp;M'!F51+Develop!F51+Factory!F51</f>
        <v>0</v>
      </c>
      <c r="G51" s="37">
        <f>+'G&amp;A'!G51+'S&amp;M'!G51+Develop!G51+Factory!G51</f>
        <v>0</v>
      </c>
      <c r="H51" s="37">
        <f>+'G&amp;A'!H51+'S&amp;M'!H51+Develop!H51+Factory!H51</f>
        <v>0</v>
      </c>
      <c r="I51" s="37">
        <f>+'G&amp;A'!I51+'S&amp;M'!I51+Develop!I51+Factory!I51</f>
        <v>0</v>
      </c>
      <c r="J51" s="37">
        <f>+'G&amp;A'!J51+'S&amp;M'!J51+Develop!J51+Factory!J51</f>
        <v>500</v>
      </c>
      <c r="K51" s="37">
        <f>+'G&amp;A'!K51+'S&amp;M'!K51+Develop!K51+Factory!K51</f>
        <v>0</v>
      </c>
      <c r="L51" s="37">
        <f>+'G&amp;A'!L51+'S&amp;M'!L51+Develop!L51+Factory!L51</f>
        <v>0</v>
      </c>
      <c r="M51" s="37">
        <f>+'G&amp;A'!M51+'S&amp;M'!M51+Develop!M51+Factory!M51</f>
        <v>0</v>
      </c>
      <c r="N51" s="37">
        <f>+'G&amp;A'!N51+'S&amp;M'!N51+Develop!N51+Factory!N51</f>
        <v>0</v>
      </c>
      <c r="O51" s="37">
        <f>+'G&amp;A'!O51+'S&amp;M'!O51+Develop!O51+Factory!O51</f>
        <v>0</v>
      </c>
      <c r="P51" s="37">
        <f>+'G&amp;A'!P51+'S&amp;M'!P51+Develop!P51+Factory!P51</f>
        <v>500</v>
      </c>
      <c r="Q51" s="37"/>
      <c r="R51" s="37">
        <f>+'G&amp;A'!R51+'S&amp;M'!R51+Develop!R51+Factory!R51</f>
        <v>5000</v>
      </c>
      <c r="S51" s="37">
        <f>+'G&amp;A'!S51+'S&amp;M'!S51+Develop!S51+Factory!S51</f>
        <v>0</v>
      </c>
      <c r="T51" s="37">
        <f>+'G&amp;A'!T51+'S&amp;M'!T51+Develop!T51+Factory!T51</f>
        <v>0</v>
      </c>
      <c r="U51" s="37">
        <f>+'G&amp;A'!U51+'S&amp;M'!U51+Develop!U51+Factory!U51</f>
        <v>0</v>
      </c>
      <c r="V51" s="37">
        <f>+'G&amp;A'!V51+'S&amp;M'!V51+Develop!V51+Factory!V51</f>
        <v>0</v>
      </c>
      <c r="W51" s="37">
        <f>+'G&amp;A'!W51+'S&amp;M'!W51+Develop!W51+Factory!W51</f>
        <v>500</v>
      </c>
      <c r="X51" s="37">
        <f>+'G&amp;A'!X51+'S&amp;M'!X51+Develop!X51+Factory!X51</f>
        <v>0</v>
      </c>
      <c r="Y51" s="37">
        <f>+'G&amp;A'!Y51+'S&amp;M'!Y51+Develop!Y51+Factory!Y51</f>
        <v>0</v>
      </c>
      <c r="Z51" s="37">
        <f>+'G&amp;A'!Z51+'S&amp;M'!Z51+Develop!Z51+Factory!Z51</f>
        <v>0</v>
      </c>
      <c r="AA51" s="37">
        <f>+'G&amp;A'!AA51+'S&amp;M'!AA51+Develop!AA51+Factory!AA51</f>
        <v>0</v>
      </c>
      <c r="AB51" s="37">
        <f>+'G&amp;A'!AB51+'S&amp;M'!AB51+Develop!AB51+Factory!AB51</f>
        <v>0</v>
      </c>
      <c r="AC51" s="37">
        <f>+'G&amp;A'!AC51+'S&amp;M'!AC51+Develop!AC51+Factory!AC51</f>
        <v>0</v>
      </c>
      <c r="AD51" s="37"/>
      <c r="AE51" s="37">
        <f>+'G&amp;A'!AE51+'S&amp;M'!AE51+Develop!AE51+Factory!AE51</f>
        <v>5000</v>
      </c>
      <c r="AF51" s="37">
        <f>+'G&amp;A'!AF51+'S&amp;M'!AF51+Develop!AF51+Factory!AF51</f>
        <v>0</v>
      </c>
      <c r="AG51" s="37">
        <f>+'G&amp;A'!AG51+'S&amp;M'!AG51+Develop!AG51+Factory!AG51</f>
        <v>0</v>
      </c>
      <c r="AH51" s="37">
        <f>+'G&amp;A'!AH51+'S&amp;M'!AH51+Develop!AH51+Factory!AH51</f>
        <v>0</v>
      </c>
      <c r="AI51" s="37">
        <f>+'G&amp;A'!AI51+'S&amp;M'!AI51+Develop!AI51+Factory!AI51</f>
        <v>0</v>
      </c>
      <c r="AJ51" s="37">
        <f>+'G&amp;A'!AJ51+'S&amp;M'!AJ51+Develop!AJ51+Factory!AJ51</f>
        <v>0</v>
      </c>
      <c r="AK51" s="37">
        <f>+'G&amp;A'!AK51+'S&amp;M'!AK51+Develop!AK51+Factory!AK51</f>
        <v>0</v>
      </c>
      <c r="AL51" s="37">
        <f>+'G&amp;A'!AL51+'S&amp;M'!AL51+Develop!AL51+Factory!AL51</f>
        <v>0</v>
      </c>
      <c r="AM51" s="37">
        <f>+'G&amp;A'!AM51+'S&amp;M'!AM51+Develop!AM51+Factory!AM51</f>
        <v>0</v>
      </c>
      <c r="AN51" s="37">
        <f>+'G&amp;A'!AN51+'S&amp;M'!AN51+Develop!AN51+Factory!AN51</f>
        <v>0</v>
      </c>
      <c r="AO51" s="37">
        <f>+'G&amp;A'!AO51+'S&amp;M'!AO51+Develop!AO51+Factory!AO51</f>
        <v>0</v>
      </c>
      <c r="AP51" s="37">
        <f>+'G&amp;A'!AP51+'S&amp;M'!AP51+Develop!AP51+Factory!AP51</f>
        <v>0</v>
      </c>
      <c r="AQ51" s="37"/>
      <c r="AR51" s="37">
        <f t="shared" si="140"/>
        <v>1000</v>
      </c>
      <c r="AS51" s="37">
        <f t="shared" si="141"/>
        <v>0</v>
      </c>
      <c r="AT51" s="37">
        <f t="shared" si="142"/>
        <v>500</v>
      </c>
      <c r="AU51" s="37">
        <f t="shared" si="143"/>
        <v>0</v>
      </c>
      <c r="AV51" s="37">
        <f t="shared" si="144"/>
        <v>500</v>
      </c>
      <c r="AW51" s="37"/>
      <c r="AX51" s="37">
        <f t="shared" si="145"/>
        <v>5500</v>
      </c>
      <c r="AY51" s="37">
        <f t="shared" si="146"/>
        <v>5000</v>
      </c>
      <c r="AZ51" s="37">
        <f t="shared" si="147"/>
        <v>500</v>
      </c>
      <c r="BA51" s="37">
        <f t="shared" si="148"/>
        <v>0</v>
      </c>
      <c r="BB51" s="37">
        <f t="shared" si="149"/>
        <v>0</v>
      </c>
      <c r="BC51" s="37"/>
      <c r="BD51" s="37">
        <f t="shared" si="150"/>
        <v>5000</v>
      </c>
      <c r="BE51" s="37">
        <f t="shared" si="151"/>
        <v>5000</v>
      </c>
      <c r="BF51" s="37">
        <f t="shared" si="152"/>
        <v>0</v>
      </c>
      <c r="BG51" s="37">
        <f t="shared" si="153"/>
        <v>0</v>
      </c>
      <c r="BH51" s="37">
        <f t="shared" si="154"/>
        <v>0</v>
      </c>
    </row>
    <row r="52" spans="2:60" s="16" customFormat="1" x14ac:dyDescent="0.25">
      <c r="B52" s="16" t="s">
        <v>41</v>
      </c>
      <c r="E52" s="37">
        <f>+'G&amp;A'!E52+'S&amp;M'!E52+Develop!E52+Factory!E52</f>
        <v>0</v>
      </c>
      <c r="F52" s="37">
        <f>+'G&amp;A'!F52+'S&amp;M'!F52+Develop!F52+Factory!F52</f>
        <v>0</v>
      </c>
      <c r="G52" s="37">
        <f>+'G&amp;A'!G52+'S&amp;M'!G52+Develop!G52+Factory!G52</f>
        <v>0</v>
      </c>
      <c r="H52" s="37">
        <f>+'G&amp;A'!H52+'S&amp;M'!H52+Develop!H52+Factory!H52</f>
        <v>0</v>
      </c>
      <c r="I52" s="37">
        <f>+'G&amp;A'!I52+'S&amp;M'!I52+Develop!I52+Factory!I52</f>
        <v>0</v>
      </c>
      <c r="J52" s="37">
        <f>+'G&amp;A'!J52+'S&amp;M'!J52+Develop!J52+Factory!J52</f>
        <v>0</v>
      </c>
      <c r="K52" s="37">
        <f>+'G&amp;A'!K52+'S&amp;M'!K52+Develop!K52+Factory!K52</f>
        <v>0</v>
      </c>
      <c r="L52" s="37">
        <f>+'G&amp;A'!L52+'S&amp;M'!L52+Develop!L52+Factory!L52</f>
        <v>0</v>
      </c>
      <c r="M52" s="37">
        <f>+'G&amp;A'!M52+'S&amp;M'!M52+Develop!M52+Factory!M52</f>
        <v>0</v>
      </c>
      <c r="N52" s="37">
        <f>+'G&amp;A'!N52+'S&amp;M'!N52+Develop!N52+Factory!N52</f>
        <v>0</v>
      </c>
      <c r="O52" s="37">
        <f>+'G&amp;A'!O52+'S&amp;M'!O52+Develop!O52+Factory!O52</f>
        <v>0</v>
      </c>
      <c r="P52" s="37">
        <f>+'G&amp;A'!P52+'S&amp;M'!P52+Develop!P52+Factory!P52</f>
        <v>0</v>
      </c>
      <c r="Q52" s="37"/>
      <c r="R52" s="37">
        <f>+'G&amp;A'!R52+'S&amp;M'!R52+Develop!R52+Factory!R52</f>
        <v>0</v>
      </c>
      <c r="S52" s="37">
        <f>+'G&amp;A'!S52+'S&amp;M'!S52+Develop!S52+Factory!S52</f>
        <v>0</v>
      </c>
      <c r="T52" s="37">
        <f>+'G&amp;A'!T52+'S&amp;M'!T52+Develop!T52+Factory!T52</f>
        <v>0</v>
      </c>
      <c r="U52" s="37">
        <f>+'G&amp;A'!U52+'S&amp;M'!U52+Develop!U52+Factory!U52</f>
        <v>0</v>
      </c>
      <c r="V52" s="37">
        <f>+'G&amp;A'!V52+'S&amp;M'!V52+Develop!V52+Factory!V52</f>
        <v>0</v>
      </c>
      <c r="W52" s="37">
        <f>+'G&amp;A'!W52+'S&amp;M'!W52+Develop!W52+Factory!W52</f>
        <v>0</v>
      </c>
      <c r="X52" s="37">
        <f>+'G&amp;A'!X52+'S&amp;M'!X52+Develop!X52+Factory!X52</f>
        <v>0</v>
      </c>
      <c r="Y52" s="37">
        <f>+'G&amp;A'!Y52+'S&amp;M'!Y52+Develop!Y52+Factory!Y52</f>
        <v>0</v>
      </c>
      <c r="Z52" s="37">
        <f>+'G&amp;A'!Z52+'S&amp;M'!Z52+Develop!Z52+Factory!Z52</f>
        <v>0</v>
      </c>
      <c r="AA52" s="37">
        <f>+'G&amp;A'!AA52+'S&amp;M'!AA52+Develop!AA52+Factory!AA52</f>
        <v>0</v>
      </c>
      <c r="AB52" s="37">
        <f>+'G&amp;A'!AB52+'S&amp;M'!AB52+Develop!AB52+Factory!AB52</f>
        <v>0</v>
      </c>
      <c r="AC52" s="37">
        <f>+'G&amp;A'!AC52+'S&amp;M'!AC52+Develop!AC52+Factory!AC52</f>
        <v>0</v>
      </c>
      <c r="AD52" s="37"/>
      <c r="AE52" s="37">
        <f>+'G&amp;A'!AE52+'S&amp;M'!AE52+Develop!AE52+Factory!AE52</f>
        <v>0</v>
      </c>
      <c r="AF52" s="37">
        <f>+'G&amp;A'!AF52+'S&amp;M'!AF52+Develop!AF52+Factory!AF52</f>
        <v>0</v>
      </c>
      <c r="AG52" s="37">
        <f>+'G&amp;A'!AG52+'S&amp;M'!AG52+Develop!AG52+Factory!AG52</f>
        <v>0</v>
      </c>
      <c r="AH52" s="37">
        <f>+'G&amp;A'!AH52+'S&amp;M'!AH52+Develop!AH52+Factory!AH52</f>
        <v>0</v>
      </c>
      <c r="AI52" s="37">
        <f>+'G&amp;A'!AI52+'S&amp;M'!AI52+Develop!AI52+Factory!AI52</f>
        <v>0</v>
      </c>
      <c r="AJ52" s="37">
        <f>+'G&amp;A'!AJ52+'S&amp;M'!AJ52+Develop!AJ52+Factory!AJ52</f>
        <v>0</v>
      </c>
      <c r="AK52" s="37">
        <f>+'G&amp;A'!AK52+'S&amp;M'!AK52+Develop!AK52+Factory!AK52</f>
        <v>0</v>
      </c>
      <c r="AL52" s="37">
        <f>+'G&amp;A'!AL52+'S&amp;M'!AL52+Develop!AL52+Factory!AL52</f>
        <v>0</v>
      </c>
      <c r="AM52" s="37">
        <f>+'G&amp;A'!AM52+'S&amp;M'!AM52+Develop!AM52+Factory!AM52</f>
        <v>0</v>
      </c>
      <c r="AN52" s="37">
        <f>+'G&amp;A'!AN52+'S&amp;M'!AN52+Develop!AN52+Factory!AN52</f>
        <v>0</v>
      </c>
      <c r="AO52" s="37">
        <f>+'G&amp;A'!AO52+'S&amp;M'!AO52+Develop!AO52+Factory!AO52</f>
        <v>0</v>
      </c>
      <c r="AP52" s="37">
        <f>+'G&amp;A'!AP52+'S&amp;M'!AP52+Develop!AP52+Factory!AP52</f>
        <v>0</v>
      </c>
      <c r="AQ52" s="37"/>
      <c r="AR52" s="37">
        <f t="shared" si="140"/>
        <v>0</v>
      </c>
      <c r="AS52" s="37">
        <f t="shared" si="141"/>
        <v>0</v>
      </c>
      <c r="AT52" s="37">
        <f t="shared" si="142"/>
        <v>0</v>
      </c>
      <c r="AU52" s="37">
        <f t="shared" si="143"/>
        <v>0</v>
      </c>
      <c r="AV52" s="37">
        <f t="shared" si="144"/>
        <v>0</v>
      </c>
      <c r="AW52" s="37"/>
      <c r="AX52" s="37">
        <f t="shared" si="145"/>
        <v>0</v>
      </c>
      <c r="AY52" s="37">
        <f t="shared" si="146"/>
        <v>0</v>
      </c>
      <c r="AZ52" s="37">
        <f t="shared" si="147"/>
        <v>0</v>
      </c>
      <c r="BA52" s="37">
        <f t="shared" si="148"/>
        <v>0</v>
      </c>
      <c r="BB52" s="37">
        <f t="shared" si="149"/>
        <v>0</v>
      </c>
      <c r="BC52" s="37"/>
      <c r="BD52" s="37">
        <f t="shared" si="150"/>
        <v>0</v>
      </c>
      <c r="BE52" s="37">
        <f t="shared" si="151"/>
        <v>0</v>
      </c>
      <c r="BF52" s="37">
        <f t="shared" si="152"/>
        <v>0</v>
      </c>
      <c r="BG52" s="37">
        <f t="shared" si="153"/>
        <v>0</v>
      </c>
      <c r="BH52" s="37">
        <f t="shared" si="154"/>
        <v>0</v>
      </c>
    </row>
    <row r="53" spans="2:60" s="16" customFormat="1" x14ac:dyDescent="0.25">
      <c r="E53" s="37"/>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row>
    <row r="54" spans="2:60" s="16" customFormat="1" x14ac:dyDescent="0.25">
      <c r="B54" s="16" t="s">
        <v>42</v>
      </c>
      <c r="E54" s="38">
        <f>SUBTOTAL(9,E43:E53)</f>
        <v>98621</v>
      </c>
      <c r="F54" s="38">
        <f t="shared" ref="F54:P54" si="155">SUBTOTAL(9,F43:F53)</f>
        <v>3580</v>
      </c>
      <c r="G54" s="38">
        <f t="shared" si="155"/>
        <v>3580</v>
      </c>
      <c r="H54" s="38">
        <f t="shared" si="155"/>
        <v>16758</v>
      </c>
      <c r="I54" s="38">
        <f t="shared" si="155"/>
        <v>3580</v>
      </c>
      <c r="J54" s="38">
        <f t="shared" si="155"/>
        <v>19180</v>
      </c>
      <c r="K54" s="38">
        <f t="shared" si="155"/>
        <v>56380</v>
      </c>
      <c r="L54" s="38">
        <f t="shared" si="155"/>
        <v>69672.5</v>
      </c>
      <c r="M54" s="38">
        <f t="shared" si="155"/>
        <v>67980</v>
      </c>
      <c r="N54" s="38">
        <f t="shared" si="155"/>
        <v>6080</v>
      </c>
      <c r="O54" s="38">
        <f t="shared" si="155"/>
        <v>53580</v>
      </c>
      <c r="P54" s="38">
        <f t="shared" si="155"/>
        <v>5080</v>
      </c>
      <c r="Q54" s="37"/>
      <c r="R54" s="38">
        <f>SUBTOTAL(9,R43:R53)</f>
        <v>13680</v>
      </c>
      <c r="S54" s="38">
        <f t="shared" ref="S54:AC54" si="156">SUBTOTAL(9,S43:S53)</f>
        <v>3580</v>
      </c>
      <c r="T54" s="38">
        <f t="shared" si="156"/>
        <v>6580</v>
      </c>
      <c r="U54" s="38">
        <f t="shared" si="156"/>
        <v>6080</v>
      </c>
      <c r="V54" s="38">
        <f t="shared" si="156"/>
        <v>3580</v>
      </c>
      <c r="W54" s="38">
        <f t="shared" si="156"/>
        <v>4180</v>
      </c>
      <c r="X54" s="38">
        <f t="shared" si="156"/>
        <v>9380</v>
      </c>
      <c r="Y54" s="38">
        <f t="shared" si="156"/>
        <v>3580</v>
      </c>
      <c r="Z54" s="38">
        <f t="shared" si="156"/>
        <v>3580</v>
      </c>
      <c r="AA54" s="38">
        <f t="shared" si="156"/>
        <v>5280</v>
      </c>
      <c r="AB54" s="38">
        <f t="shared" si="156"/>
        <v>2780</v>
      </c>
      <c r="AC54" s="38">
        <f t="shared" si="156"/>
        <v>2780</v>
      </c>
      <c r="AD54" s="37"/>
      <c r="AE54" s="38">
        <f>SUBTOTAL(9,AE43:AE53)</f>
        <v>10680</v>
      </c>
      <c r="AF54" s="38">
        <f t="shared" ref="AF54:AP54" si="157">SUBTOTAL(9,AF43:AF53)</f>
        <v>2780</v>
      </c>
      <c r="AG54" s="38">
        <f t="shared" si="157"/>
        <v>2780</v>
      </c>
      <c r="AH54" s="38">
        <f t="shared" si="157"/>
        <v>480</v>
      </c>
      <c r="AI54" s="38">
        <f t="shared" si="157"/>
        <v>480</v>
      </c>
      <c r="AJ54" s="38">
        <f t="shared" si="157"/>
        <v>880</v>
      </c>
      <c r="AK54" s="38">
        <f t="shared" si="157"/>
        <v>480</v>
      </c>
      <c r="AL54" s="38">
        <f t="shared" si="157"/>
        <v>480</v>
      </c>
      <c r="AM54" s="38">
        <f t="shared" si="157"/>
        <v>480</v>
      </c>
      <c r="AN54" s="38">
        <f t="shared" si="157"/>
        <v>480</v>
      </c>
      <c r="AO54" s="38">
        <f t="shared" si="157"/>
        <v>480</v>
      </c>
      <c r="AP54" s="38">
        <f t="shared" si="157"/>
        <v>480</v>
      </c>
      <c r="AQ54" s="37"/>
      <c r="AR54" s="38">
        <f t="shared" ref="AR54:AV54" si="158">SUBTOTAL(9,AR43:AR53)</f>
        <v>404071.5</v>
      </c>
      <c r="AS54" s="38">
        <f t="shared" si="158"/>
        <v>105781</v>
      </c>
      <c r="AT54" s="38">
        <f t="shared" si="158"/>
        <v>39518</v>
      </c>
      <c r="AU54" s="38">
        <f t="shared" si="158"/>
        <v>194032.5</v>
      </c>
      <c r="AV54" s="38">
        <f t="shared" si="158"/>
        <v>64740</v>
      </c>
      <c r="AW54" s="37"/>
      <c r="AX54" s="38">
        <f t="shared" ref="AX54:BB54" si="159">SUBTOTAL(9,AX43:AX53)</f>
        <v>65060</v>
      </c>
      <c r="AY54" s="38">
        <f t="shared" si="159"/>
        <v>23840</v>
      </c>
      <c r="AZ54" s="38">
        <f t="shared" si="159"/>
        <v>13840</v>
      </c>
      <c r="BA54" s="38">
        <f t="shared" si="159"/>
        <v>16540</v>
      </c>
      <c r="BB54" s="38">
        <f t="shared" si="159"/>
        <v>10840</v>
      </c>
      <c r="BC54" s="37"/>
      <c r="BD54" s="38">
        <f t="shared" ref="BD54:BH54" si="160">SUBTOTAL(9,BD43:BD53)</f>
        <v>20960</v>
      </c>
      <c r="BE54" s="38">
        <f t="shared" si="160"/>
        <v>16240</v>
      </c>
      <c r="BF54" s="38">
        <f t="shared" si="160"/>
        <v>1840</v>
      </c>
      <c r="BG54" s="38">
        <f t="shared" si="160"/>
        <v>1440</v>
      </c>
      <c r="BH54" s="38">
        <f t="shared" si="160"/>
        <v>1440</v>
      </c>
    </row>
    <row r="55" spans="2:60" s="16" customFormat="1" x14ac:dyDescent="0.25">
      <c r="E55" s="37"/>
      <c r="F55" s="37"/>
      <c r="G55" s="37"/>
      <c r="H55" s="37"/>
      <c r="I55" s="37"/>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row>
    <row r="56" spans="2:60" s="16" customFormat="1" x14ac:dyDescent="0.25">
      <c r="B56" s="16" t="s">
        <v>43</v>
      </c>
      <c r="E56" s="37">
        <f>+'G&amp;A'!E56+'S&amp;M'!E56+Develop!E56+Factory!E56</f>
        <v>400</v>
      </c>
      <c r="F56" s="37">
        <f>+'G&amp;A'!F56+'S&amp;M'!F56+Develop!F56+Factory!F56</f>
        <v>400</v>
      </c>
      <c r="G56" s="37">
        <f>+'G&amp;A'!G56+'S&amp;M'!G56+Develop!G56+Factory!G56</f>
        <v>400</v>
      </c>
      <c r="H56" s="37">
        <f>+'G&amp;A'!H56+'S&amp;M'!H56+Develop!H56+Factory!H56</f>
        <v>400</v>
      </c>
      <c r="I56" s="37">
        <f>+'G&amp;A'!I56+'S&amp;M'!I56+Develop!I56+Factory!I56</f>
        <v>400</v>
      </c>
      <c r="J56" s="37">
        <f>+'G&amp;A'!J56+'S&amp;M'!J56+Develop!J56+Factory!J56</f>
        <v>400</v>
      </c>
      <c r="K56" s="37">
        <f>+'G&amp;A'!K56+'S&amp;M'!K56+Develop!K56+Factory!K56</f>
        <v>400</v>
      </c>
      <c r="L56" s="37">
        <f>+'G&amp;A'!L56+'S&amp;M'!L56+Develop!L56+Factory!L56</f>
        <v>400</v>
      </c>
      <c r="M56" s="37">
        <f>+'G&amp;A'!M56+'S&amp;M'!M56+Develop!M56+Factory!M56</f>
        <v>400</v>
      </c>
      <c r="N56" s="37">
        <f>+'G&amp;A'!N56+'S&amp;M'!N56+Develop!N56+Factory!N56</f>
        <v>400</v>
      </c>
      <c r="O56" s="37">
        <f>+'G&amp;A'!O56+'S&amp;M'!O56+Develop!O56+Factory!O56</f>
        <v>400</v>
      </c>
      <c r="P56" s="37">
        <f>+'G&amp;A'!P56+'S&amp;M'!P56+Develop!P56+Factory!P56</f>
        <v>400</v>
      </c>
      <c r="Q56" s="37"/>
      <c r="R56" s="37">
        <f>+'G&amp;A'!R56+'S&amp;M'!R56+Develop!R56+Factory!R56</f>
        <v>400</v>
      </c>
      <c r="S56" s="37">
        <f>+'G&amp;A'!S56+'S&amp;M'!S56+Develop!S56+Factory!S56</f>
        <v>400</v>
      </c>
      <c r="T56" s="37">
        <f>+'G&amp;A'!T56+'S&amp;M'!T56+Develop!T56+Factory!T56</f>
        <v>400</v>
      </c>
      <c r="U56" s="37">
        <f>+'G&amp;A'!U56+'S&amp;M'!U56+Develop!U56+Factory!U56</f>
        <v>400</v>
      </c>
      <c r="V56" s="37">
        <f>+'G&amp;A'!V56+'S&amp;M'!V56+Develop!V56+Factory!V56</f>
        <v>400</v>
      </c>
      <c r="W56" s="37">
        <f>+'G&amp;A'!W56+'S&amp;M'!W56+Develop!W56+Factory!W56</f>
        <v>400</v>
      </c>
      <c r="X56" s="37">
        <f>+'G&amp;A'!X56+'S&amp;M'!X56+Develop!X56+Factory!X56</f>
        <v>400</v>
      </c>
      <c r="Y56" s="37">
        <f>+'G&amp;A'!Y56+'S&amp;M'!Y56+Develop!Y56+Factory!Y56</f>
        <v>400</v>
      </c>
      <c r="Z56" s="37">
        <f>+'G&amp;A'!Z56+'S&amp;M'!Z56+Develop!Z56+Factory!Z56</f>
        <v>400</v>
      </c>
      <c r="AA56" s="37">
        <f>+'G&amp;A'!AA56+'S&amp;M'!AA56+Develop!AA56+Factory!AA56</f>
        <v>400</v>
      </c>
      <c r="AB56" s="37">
        <f>+'G&amp;A'!AB56+'S&amp;M'!AB56+Develop!AB56+Factory!AB56</f>
        <v>400</v>
      </c>
      <c r="AC56" s="37">
        <f>+'G&amp;A'!AC56+'S&amp;M'!AC56+Develop!AC56+Factory!AC56</f>
        <v>400</v>
      </c>
      <c r="AD56" s="37"/>
      <c r="AE56" s="37">
        <f>+'G&amp;A'!AE56+'S&amp;M'!AE56+Develop!AE56+Factory!AE56</f>
        <v>400</v>
      </c>
      <c r="AF56" s="37">
        <f>+'G&amp;A'!AF56+'S&amp;M'!AF56+Develop!AF56+Factory!AF56</f>
        <v>400</v>
      </c>
      <c r="AG56" s="37">
        <f>+'G&amp;A'!AG56+'S&amp;M'!AG56+Develop!AG56+Factory!AG56</f>
        <v>400</v>
      </c>
      <c r="AH56" s="37">
        <f>+'G&amp;A'!AH56+'S&amp;M'!AH56+Develop!AH56+Factory!AH56</f>
        <v>400</v>
      </c>
      <c r="AI56" s="37">
        <f>+'G&amp;A'!AI56+'S&amp;M'!AI56+Develop!AI56+Factory!AI56</f>
        <v>400</v>
      </c>
      <c r="AJ56" s="37">
        <f>+'G&amp;A'!AJ56+'S&amp;M'!AJ56+Develop!AJ56+Factory!AJ56</f>
        <v>400</v>
      </c>
      <c r="AK56" s="37">
        <f>+'G&amp;A'!AK56+'S&amp;M'!AK56+Develop!AK56+Factory!AK56</f>
        <v>400</v>
      </c>
      <c r="AL56" s="37">
        <f>+'G&amp;A'!AL56+'S&amp;M'!AL56+Develop!AL56+Factory!AL56</f>
        <v>400</v>
      </c>
      <c r="AM56" s="37">
        <f>+'G&amp;A'!AM56+'S&amp;M'!AM56+Develop!AM56+Factory!AM56</f>
        <v>400</v>
      </c>
      <c r="AN56" s="37">
        <f>+'G&amp;A'!AN56+'S&amp;M'!AN56+Develop!AN56+Factory!AN56</f>
        <v>400</v>
      </c>
      <c r="AO56" s="37">
        <f>+'G&amp;A'!AO56+'S&amp;M'!AO56+Develop!AO56+Factory!AO56</f>
        <v>400</v>
      </c>
      <c r="AP56" s="37">
        <f>+'G&amp;A'!AP56+'S&amp;M'!AP56+Develop!AP56+Factory!AP56</f>
        <v>400</v>
      </c>
      <c r="AQ56" s="37"/>
      <c r="AR56" s="37">
        <f t="shared" ref="AR56" si="161">SUM(E56:P56)</f>
        <v>4800</v>
      </c>
      <c r="AS56" s="37">
        <f t="shared" ref="AS56" si="162">SUM(E56:G56)</f>
        <v>1200</v>
      </c>
      <c r="AT56" s="37">
        <f t="shared" ref="AT56" si="163">SUM(H56:J56)</f>
        <v>1200</v>
      </c>
      <c r="AU56" s="37">
        <f t="shared" ref="AU56" si="164">SUM(K56:M56)</f>
        <v>1200</v>
      </c>
      <c r="AV56" s="37">
        <f t="shared" ref="AV56" si="165">SUM(N56:P56)</f>
        <v>1200</v>
      </c>
      <c r="AW56" s="37"/>
      <c r="AX56" s="37">
        <f t="shared" ref="AX56" si="166">SUM(R56:AC56)</f>
        <v>4800</v>
      </c>
      <c r="AY56" s="37">
        <f t="shared" ref="AY56" si="167">SUM(R56:T56)</f>
        <v>1200</v>
      </c>
      <c r="AZ56" s="37">
        <f t="shared" ref="AZ56" si="168">SUM(U56:W56)</f>
        <v>1200</v>
      </c>
      <c r="BA56" s="37">
        <f t="shared" ref="BA56" si="169">SUM(X56:Z56)</f>
        <v>1200</v>
      </c>
      <c r="BB56" s="37">
        <f t="shared" ref="BB56" si="170">SUM(AA56:AC56)</f>
        <v>1200</v>
      </c>
      <c r="BC56" s="37"/>
      <c r="BD56" s="37">
        <f t="shared" ref="BD56" si="171">SUM(AE56:AP56)</f>
        <v>4800</v>
      </c>
      <c r="BE56" s="37">
        <f t="shared" ref="BE56" si="172">SUM(AE56:AG56)</f>
        <v>1200</v>
      </c>
      <c r="BF56" s="37">
        <f t="shared" ref="BF56" si="173">SUM(AH56:AJ56)</f>
        <v>1200</v>
      </c>
      <c r="BG56" s="37">
        <f t="shared" ref="BG56" si="174">SUM(AK56:AM56)</f>
        <v>1200</v>
      </c>
      <c r="BH56" s="37">
        <f t="shared" ref="BH56" si="175">SUM(AN56:AP56)</f>
        <v>1200</v>
      </c>
    </row>
    <row r="57" spans="2:60" s="16" customFormat="1" x14ac:dyDescent="0.25">
      <c r="B57" s="16" t="s">
        <v>92</v>
      </c>
      <c r="E57" s="37">
        <f>+'G&amp;A'!E57+'S&amp;M'!E57+Develop!E57+Factory!E57</f>
        <v>930</v>
      </c>
      <c r="F57" s="37">
        <f>+'G&amp;A'!F57+'S&amp;M'!F57+Develop!F57+Factory!F57</f>
        <v>0</v>
      </c>
      <c r="G57" s="37">
        <f>+'G&amp;A'!G57+'S&amp;M'!G57+Develop!G57+Factory!G57</f>
        <v>0</v>
      </c>
      <c r="H57" s="37">
        <f>+'G&amp;A'!H57+'S&amp;M'!H57+Develop!H57+Factory!H57</f>
        <v>960</v>
      </c>
      <c r="I57" s="37">
        <f>+'G&amp;A'!I57+'S&amp;M'!I57+Develop!I57+Factory!I57</f>
        <v>0</v>
      </c>
      <c r="J57" s="37">
        <f>+'G&amp;A'!J57+'S&amp;M'!J57+Develop!J57+Factory!J57</f>
        <v>0</v>
      </c>
      <c r="K57" s="37">
        <f>+'G&amp;A'!K57+'S&amp;M'!K57+Develop!K57+Factory!K57</f>
        <v>960</v>
      </c>
      <c r="L57" s="37">
        <f>+'G&amp;A'!L57+'S&amp;M'!L57+Develop!L57+Factory!L57</f>
        <v>0</v>
      </c>
      <c r="M57" s="37">
        <f>+'G&amp;A'!M57+'S&amp;M'!M57+Develop!M57+Factory!M57</f>
        <v>0</v>
      </c>
      <c r="N57" s="37">
        <f>+'G&amp;A'!N57+'S&amp;M'!N57+Develop!N57+Factory!N57</f>
        <v>960</v>
      </c>
      <c r="O57" s="37">
        <f>+'G&amp;A'!O57+'S&amp;M'!O57+Develop!O57+Factory!O57</f>
        <v>0</v>
      </c>
      <c r="P57" s="37">
        <f>+'G&amp;A'!P57+'S&amp;M'!P57+Develop!P57+Factory!P57</f>
        <v>0</v>
      </c>
      <c r="Q57" s="37"/>
      <c r="R57" s="37">
        <f>+'G&amp;A'!R57+'S&amp;M'!R57+Develop!R57+Factory!R57</f>
        <v>960</v>
      </c>
      <c r="S57" s="37">
        <f>+'G&amp;A'!S57+'S&amp;M'!S57+Develop!S57+Factory!S57</f>
        <v>0</v>
      </c>
      <c r="T57" s="37">
        <f>+'G&amp;A'!T57+'S&amp;M'!T57+Develop!T57+Factory!T57</f>
        <v>0</v>
      </c>
      <c r="U57" s="37">
        <f>+'G&amp;A'!U57+'S&amp;M'!U57+Develop!U57+Factory!U57</f>
        <v>960</v>
      </c>
      <c r="V57" s="37">
        <f>+'G&amp;A'!V57+'S&amp;M'!V57+Develop!V57+Factory!V57</f>
        <v>0</v>
      </c>
      <c r="W57" s="37">
        <f>+'G&amp;A'!W57+'S&amp;M'!W57+Develop!W57+Factory!W57</f>
        <v>0</v>
      </c>
      <c r="X57" s="37">
        <f>+'G&amp;A'!X57+'S&amp;M'!X57+Develop!X57+Factory!X57</f>
        <v>960</v>
      </c>
      <c r="Y57" s="37">
        <f>+'G&amp;A'!Y57+'S&amp;M'!Y57+Develop!Y57+Factory!Y57</f>
        <v>0</v>
      </c>
      <c r="Z57" s="37">
        <f>+'G&amp;A'!Z57+'S&amp;M'!Z57+Develop!Z57+Factory!Z57</f>
        <v>0</v>
      </c>
      <c r="AA57" s="37">
        <f>+'G&amp;A'!AA57+'S&amp;M'!AA57+Develop!AA57+Factory!AA57</f>
        <v>960</v>
      </c>
      <c r="AB57" s="37">
        <f>+'G&amp;A'!AB57+'S&amp;M'!AB57+Develop!AB57+Factory!AB57</f>
        <v>0</v>
      </c>
      <c r="AC57" s="37">
        <f>+'G&amp;A'!AC57+'S&amp;M'!AC57+Develop!AC57+Factory!AC57</f>
        <v>0</v>
      </c>
      <c r="AD57" s="37"/>
      <c r="AE57" s="37">
        <f>+'G&amp;A'!AE57+'S&amp;M'!AE57+Develop!AE57+Factory!AE57</f>
        <v>960</v>
      </c>
      <c r="AF57" s="37">
        <f>+'G&amp;A'!AF57+'S&amp;M'!AF57+Develop!AF57+Factory!AF57</f>
        <v>0</v>
      </c>
      <c r="AG57" s="37">
        <f>+'G&amp;A'!AG57+'S&amp;M'!AG57+Develop!AG57+Factory!AG57</f>
        <v>0</v>
      </c>
      <c r="AH57" s="37">
        <f>+'G&amp;A'!AH57+'S&amp;M'!AH57+Develop!AH57+Factory!AH57</f>
        <v>960</v>
      </c>
      <c r="AI57" s="37">
        <f>+'G&amp;A'!AI57+'S&amp;M'!AI57+Develop!AI57+Factory!AI57</f>
        <v>0</v>
      </c>
      <c r="AJ57" s="37">
        <f>+'G&amp;A'!AJ57+'S&amp;M'!AJ57+Develop!AJ57+Factory!AJ57</f>
        <v>0</v>
      </c>
      <c r="AK57" s="37">
        <f>+'G&amp;A'!AK57+'S&amp;M'!AK57+Develop!AK57+Factory!AK57</f>
        <v>960</v>
      </c>
      <c r="AL57" s="37">
        <f>+'G&amp;A'!AL57+'S&amp;M'!AL57+Develop!AL57+Factory!AL57</f>
        <v>0</v>
      </c>
      <c r="AM57" s="37">
        <f>+'G&amp;A'!AM57+'S&amp;M'!AM57+Develop!AM57+Factory!AM57</f>
        <v>0</v>
      </c>
      <c r="AN57" s="37">
        <f>+'G&amp;A'!AN57+'S&amp;M'!AN57+Develop!AN57+Factory!AN57</f>
        <v>960</v>
      </c>
      <c r="AO57" s="37">
        <f>+'G&amp;A'!AO57+'S&amp;M'!AO57+Develop!AO57+Factory!AO57</f>
        <v>0</v>
      </c>
      <c r="AP57" s="37">
        <f>+'G&amp;A'!AP57+'S&amp;M'!AP57+Develop!AP57+Factory!AP57</f>
        <v>0</v>
      </c>
      <c r="AQ57" s="37"/>
      <c r="AR57" s="37">
        <f t="shared" ref="AR57:AR63" si="176">SUM(E57:P57)</f>
        <v>3810</v>
      </c>
      <c r="AS57" s="37">
        <f t="shared" ref="AS57:AS63" si="177">SUM(E57:G57)</f>
        <v>930</v>
      </c>
      <c r="AT57" s="37">
        <f t="shared" ref="AT57:AT63" si="178">SUM(H57:J57)</f>
        <v>960</v>
      </c>
      <c r="AU57" s="37">
        <f t="shared" ref="AU57:AU63" si="179">SUM(K57:M57)</f>
        <v>960</v>
      </c>
      <c r="AV57" s="37">
        <f t="shared" ref="AV57:AV63" si="180">SUM(N57:P57)</f>
        <v>960</v>
      </c>
      <c r="AW57" s="37"/>
      <c r="AX57" s="37">
        <f t="shared" ref="AX57:AX63" si="181">SUM(R57:AC57)</f>
        <v>3840</v>
      </c>
      <c r="AY57" s="37">
        <f t="shared" ref="AY57:AY63" si="182">SUM(R57:T57)</f>
        <v>960</v>
      </c>
      <c r="AZ57" s="37">
        <f t="shared" ref="AZ57:AZ63" si="183">SUM(U57:W57)</f>
        <v>960</v>
      </c>
      <c r="BA57" s="37">
        <f t="shared" ref="BA57:BA63" si="184">SUM(X57:Z57)</f>
        <v>960</v>
      </c>
      <c r="BB57" s="37">
        <f t="shared" ref="BB57:BB63" si="185">SUM(AA57:AC57)</f>
        <v>960</v>
      </c>
      <c r="BC57" s="37"/>
      <c r="BD57" s="37">
        <f t="shared" ref="BD57:BD63" si="186">SUM(AE57:AP57)</f>
        <v>3840</v>
      </c>
      <c r="BE57" s="37">
        <f t="shared" ref="BE57:BE63" si="187">SUM(AE57:AG57)</f>
        <v>960</v>
      </c>
      <c r="BF57" s="37">
        <f t="shared" ref="BF57:BF63" si="188">SUM(AH57:AJ57)</f>
        <v>960</v>
      </c>
      <c r="BG57" s="37">
        <f t="shared" ref="BG57:BG63" si="189">SUM(AK57:AM57)</f>
        <v>960</v>
      </c>
      <c r="BH57" s="37">
        <f t="shared" ref="BH57:BH63" si="190">SUM(AN57:AP57)</f>
        <v>960</v>
      </c>
    </row>
    <row r="58" spans="2:60" s="16" customFormat="1" x14ac:dyDescent="0.25">
      <c r="B58" s="16" t="s">
        <v>44</v>
      </c>
      <c r="E58" s="37">
        <f>+'G&amp;A'!E58+'S&amp;M'!E58+Develop!E58+Factory!E58</f>
        <v>0</v>
      </c>
      <c r="F58" s="37">
        <f>+'G&amp;A'!F58+'S&amp;M'!F58+Develop!F58+Factory!F58</f>
        <v>0</v>
      </c>
      <c r="G58" s="37">
        <f>+'G&amp;A'!G58+'S&amp;M'!G58+Develop!G58+Factory!G58</f>
        <v>0</v>
      </c>
      <c r="H58" s="37">
        <f>+'G&amp;A'!H58+'S&amp;M'!H58+Develop!H58+Factory!H58</f>
        <v>0</v>
      </c>
      <c r="I58" s="37">
        <f>+'G&amp;A'!I58+'S&amp;M'!I58+Develop!I58+Factory!I58</f>
        <v>0</v>
      </c>
      <c r="J58" s="37">
        <f>+'G&amp;A'!J58+'S&amp;M'!J58+Develop!J58+Factory!J58</f>
        <v>1000</v>
      </c>
      <c r="K58" s="37">
        <f>+'G&amp;A'!K58+'S&amp;M'!K58+Develop!K58+Factory!K58</f>
        <v>0</v>
      </c>
      <c r="L58" s="37">
        <f>+'G&amp;A'!L58+'S&amp;M'!L58+Develop!L58+Factory!L58</f>
        <v>0</v>
      </c>
      <c r="M58" s="37">
        <f>+'G&amp;A'!M58+'S&amp;M'!M58+Develop!M58+Factory!M58</f>
        <v>0</v>
      </c>
      <c r="N58" s="37">
        <f>+'G&amp;A'!N58+'S&amp;M'!N58+Develop!N58+Factory!N58</f>
        <v>0</v>
      </c>
      <c r="O58" s="37">
        <f>+'G&amp;A'!O58+'S&amp;M'!O58+Develop!O58+Factory!O58</f>
        <v>0</v>
      </c>
      <c r="P58" s="37">
        <f>+'G&amp;A'!P58+'S&amp;M'!P58+Develop!P58+Factory!P58</f>
        <v>0</v>
      </c>
      <c r="Q58" s="37"/>
      <c r="R58" s="37">
        <f>+'G&amp;A'!R58+'S&amp;M'!R58+Develop!R58+Factory!R58</f>
        <v>0</v>
      </c>
      <c r="S58" s="37">
        <f>+'G&amp;A'!S58+'S&amp;M'!S58+Develop!S58+Factory!S58</f>
        <v>0</v>
      </c>
      <c r="T58" s="37">
        <f>+'G&amp;A'!T58+'S&amp;M'!T58+Develop!T58+Factory!T58</f>
        <v>0</v>
      </c>
      <c r="U58" s="37">
        <f>+'G&amp;A'!U58+'S&amp;M'!U58+Develop!U58+Factory!U58</f>
        <v>0</v>
      </c>
      <c r="V58" s="37">
        <f>+'G&amp;A'!V58+'S&amp;M'!V58+Develop!V58+Factory!V58</f>
        <v>0</v>
      </c>
      <c r="W58" s="37">
        <f>+'G&amp;A'!W58+'S&amp;M'!W58+Develop!W58+Factory!W58</f>
        <v>1000</v>
      </c>
      <c r="X58" s="37">
        <f>+'G&amp;A'!X58+'S&amp;M'!X58+Develop!X58+Factory!X58</f>
        <v>0</v>
      </c>
      <c r="Y58" s="37">
        <f>+'G&amp;A'!Y58+'S&amp;M'!Y58+Develop!Y58+Factory!Y58</f>
        <v>0</v>
      </c>
      <c r="Z58" s="37">
        <f>+'G&amp;A'!Z58+'S&amp;M'!Z58+Develop!Z58+Factory!Z58</f>
        <v>0</v>
      </c>
      <c r="AA58" s="37">
        <f>+'G&amp;A'!AA58+'S&amp;M'!AA58+Develop!AA58+Factory!AA58</f>
        <v>0</v>
      </c>
      <c r="AB58" s="37">
        <f>+'G&amp;A'!AB58+'S&amp;M'!AB58+Develop!AB58+Factory!AB58</f>
        <v>0</v>
      </c>
      <c r="AC58" s="37">
        <f>+'G&amp;A'!AC58+'S&amp;M'!AC58+Develop!AC58+Factory!AC58</f>
        <v>0</v>
      </c>
      <c r="AD58" s="37"/>
      <c r="AE58" s="37">
        <f>+'G&amp;A'!AE58+'S&amp;M'!AE58+Develop!AE58+Factory!AE58</f>
        <v>0</v>
      </c>
      <c r="AF58" s="37">
        <f>+'G&amp;A'!AF58+'S&amp;M'!AF58+Develop!AF58+Factory!AF58</f>
        <v>0</v>
      </c>
      <c r="AG58" s="37">
        <f>+'G&amp;A'!AG58+'S&amp;M'!AG58+Develop!AG58+Factory!AG58</f>
        <v>0</v>
      </c>
      <c r="AH58" s="37">
        <f>+'G&amp;A'!AH58+'S&amp;M'!AH58+Develop!AH58+Factory!AH58</f>
        <v>0</v>
      </c>
      <c r="AI58" s="37">
        <f>+'G&amp;A'!AI58+'S&amp;M'!AI58+Develop!AI58+Factory!AI58</f>
        <v>0</v>
      </c>
      <c r="AJ58" s="37">
        <f>+'G&amp;A'!AJ58+'S&amp;M'!AJ58+Develop!AJ58+Factory!AJ58</f>
        <v>1000</v>
      </c>
      <c r="AK58" s="37">
        <f>+'G&amp;A'!AK58+'S&amp;M'!AK58+Develop!AK58+Factory!AK58</f>
        <v>0</v>
      </c>
      <c r="AL58" s="37">
        <f>+'G&amp;A'!AL58+'S&amp;M'!AL58+Develop!AL58+Factory!AL58</f>
        <v>0</v>
      </c>
      <c r="AM58" s="37">
        <f>+'G&amp;A'!AM58+'S&amp;M'!AM58+Develop!AM58+Factory!AM58</f>
        <v>0</v>
      </c>
      <c r="AN58" s="37">
        <f>+'G&amp;A'!AN58+'S&amp;M'!AN58+Develop!AN58+Factory!AN58</f>
        <v>0</v>
      </c>
      <c r="AO58" s="37">
        <f>+'G&amp;A'!AO58+'S&amp;M'!AO58+Develop!AO58+Factory!AO58</f>
        <v>0</v>
      </c>
      <c r="AP58" s="37">
        <f>+'G&amp;A'!AP58+'S&amp;M'!AP58+Develop!AP58+Factory!AP58</f>
        <v>0</v>
      </c>
      <c r="AQ58" s="37"/>
      <c r="AR58" s="37">
        <f t="shared" si="176"/>
        <v>1000</v>
      </c>
      <c r="AS58" s="37">
        <f t="shared" si="177"/>
        <v>0</v>
      </c>
      <c r="AT58" s="37">
        <f t="shared" si="178"/>
        <v>1000</v>
      </c>
      <c r="AU58" s="37">
        <f t="shared" si="179"/>
        <v>0</v>
      </c>
      <c r="AV58" s="37">
        <f t="shared" si="180"/>
        <v>0</v>
      </c>
      <c r="AW58" s="37"/>
      <c r="AX58" s="37">
        <f t="shared" si="181"/>
        <v>1000</v>
      </c>
      <c r="AY58" s="37">
        <f t="shared" si="182"/>
        <v>0</v>
      </c>
      <c r="AZ58" s="37">
        <f t="shared" si="183"/>
        <v>1000</v>
      </c>
      <c r="BA58" s="37">
        <f t="shared" si="184"/>
        <v>0</v>
      </c>
      <c r="BB58" s="37">
        <f t="shared" si="185"/>
        <v>0</v>
      </c>
      <c r="BC58" s="37"/>
      <c r="BD58" s="37">
        <f t="shared" si="186"/>
        <v>1000</v>
      </c>
      <c r="BE58" s="37">
        <f t="shared" si="187"/>
        <v>0</v>
      </c>
      <c r="BF58" s="37">
        <f t="shared" si="188"/>
        <v>1000</v>
      </c>
      <c r="BG58" s="37">
        <f t="shared" si="189"/>
        <v>0</v>
      </c>
      <c r="BH58" s="37">
        <f t="shared" si="190"/>
        <v>0</v>
      </c>
    </row>
    <row r="59" spans="2:60" s="16" customFormat="1" x14ac:dyDescent="0.25">
      <c r="B59" s="16" t="s">
        <v>45</v>
      </c>
      <c r="E59" s="37">
        <f>+'G&amp;A'!E59+'S&amp;M'!E59+Develop!E59+Factory!E59</f>
        <v>0</v>
      </c>
      <c r="F59" s="37">
        <f>+'G&amp;A'!F59+'S&amp;M'!F59+Develop!F59+Factory!F59</f>
        <v>0</v>
      </c>
      <c r="G59" s="37">
        <f>+'G&amp;A'!G59+'S&amp;M'!G59+Develop!G59+Factory!G59</f>
        <v>0</v>
      </c>
      <c r="H59" s="37">
        <f>+'G&amp;A'!H59+'S&amp;M'!H59+Develop!H59+Factory!H59</f>
        <v>0</v>
      </c>
      <c r="I59" s="37">
        <f>+'G&amp;A'!I59+'S&amp;M'!I59+Develop!I59+Factory!I59</f>
        <v>0</v>
      </c>
      <c r="J59" s="37">
        <f>+'G&amp;A'!J59+'S&amp;M'!J59+Develop!J59+Factory!J59</f>
        <v>0</v>
      </c>
      <c r="K59" s="37">
        <f>+'G&amp;A'!K59+'S&amp;M'!K59+Develop!K59+Factory!K59</f>
        <v>0</v>
      </c>
      <c r="L59" s="37">
        <f>+'G&amp;A'!L59+'S&amp;M'!L59+Develop!L59+Factory!L59</f>
        <v>0</v>
      </c>
      <c r="M59" s="37">
        <f>+'G&amp;A'!M59+'S&amp;M'!M59+Develop!M59+Factory!M59</f>
        <v>0</v>
      </c>
      <c r="N59" s="37">
        <f>+'G&amp;A'!N59+'S&amp;M'!N59+Develop!N59+Factory!N59</f>
        <v>0</v>
      </c>
      <c r="O59" s="37">
        <f>+'G&amp;A'!O59+'S&amp;M'!O59+Develop!O59+Factory!O59</f>
        <v>0</v>
      </c>
      <c r="P59" s="37">
        <f>+'G&amp;A'!P59+'S&amp;M'!P59+Develop!P59+Factory!P59</f>
        <v>0</v>
      </c>
      <c r="Q59" s="37"/>
      <c r="R59" s="37">
        <f>+'G&amp;A'!R59+'S&amp;M'!R59+Develop!R59+Factory!R59</f>
        <v>0</v>
      </c>
      <c r="S59" s="37">
        <f>+'G&amp;A'!S59+'S&amp;M'!S59+Develop!S59+Factory!S59</f>
        <v>0</v>
      </c>
      <c r="T59" s="37">
        <f>+'G&amp;A'!T59+'S&amp;M'!T59+Develop!T59+Factory!T59</f>
        <v>0</v>
      </c>
      <c r="U59" s="37">
        <f>+'G&amp;A'!U59+'S&amp;M'!U59+Develop!U59+Factory!U59</f>
        <v>0</v>
      </c>
      <c r="V59" s="37">
        <f>+'G&amp;A'!V59+'S&amp;M'!V59+Develop!V59+Factory!V59</f>
        <v>0</v>
      </c>
      <c r="W59" s="37">
        <f>+'G&amp;A'!W59+'S&amp;M'!W59+Develop!W59+Factory!W59</f>
        <v>0</v>
      </c>
      <c r="X59" s="37">
        <f>+'G&amp;A'!X59+'S&amp;M'!X59+Develop!X59+Factory!X59</f>
        <v>0</v>
      </c>
      <c r="Y59" s="37">
        <f>+'G&amp;A'!Y59+'S&amp;M'!Y59+Develop!Y59+Factory!Y59</f>
        <v>0</v>
      </c>
      <c r="Z59" s="37">
        <f>+'G&amp;A'!Z59+'S&amp;M'!Z59+Develop!Z59+Factory!Z59</f>
        <v>0</v>
      </c>
      <c r="AA59" s="37">
        <f>+'G&amp;A'!AA59+'S&amp;M'!AA59+Develop!AA59+Factory!AA59</f>
        <v>0</v>
      </c>
      <c r="AB59" s="37">
        <f>+'G&amp;A'!AB59+'S&amp;M'!AB59+Develop!AB59+Factory!AB59</f>
        <v>0</v>
      </c>
      <c r="AC59" s="37">
        <f>+'G&amp;A'!AC59+'S&amp;M'!AC59+Develop!AC59+Factory!AC59</f>
        <v>0</v>
      </c>
      <c r="AD59" s="37"/>
      <c r="AE59" s="37">
        <f>+'G&amp;A'!AE59+'S&amp;M'!AE59+Develop!AE59+Factory!AE59</f>
        <v>0</v>
      </c>
      <c r="AF59" s="37">
        <f>+'G&amp;A'!AF59+'S&amp;M'!AF59+Develop!AF59+Factory!AF59</f>
        <v>0</v>
      </c>
      <c r="AG59" s="37">
        <f>+'G&amp;A'!AG59+'S&amp;M'!AG59+Develop!AG59+Factory!AG59</f>
        <v>0</v>
      </c>
      <c r="AH59" s="37">
        <f>+'G&amp;A'!AH59+'S&amp;M'!AH59+Develop!AH59+Factory!AH59</f>
        <v>0</v>
      </c>
      <c r="AI59" s="37">
        <f>+'G&amp;A'!AI59+'S&amp;M'!AI59+Develop!AI59+Factory!AI59</f>
        <v>0</v>
      </c>
      <c r="AJ59" s="37">
        <f>+'G&amp;A'!AJ59+'S&amp;M'!AJ59+Develop!AJ59+Factory!AJ59</f>
        <v>0</v>
      </c>
      <c r="AK59" s="37">
        <f>+'G&amp;A'!AK59+'S&amp;M'!AK59+Develop!AK59+Factory!AK59</f>
        <v>0</v>
      </c>
      <c r="AL59" s="37">
        <f>+'G&amp;A'!AL59+'S&amp;M'!AL59+Develop!AL59+Factory!AL59</f>
        <v>0</v>
      </c>
      <c r="AM59" s="37">
        <f>+'G&amp;A'!AM59+'S&amp;M'!AM59+Develop!AM59+Factory!AM59</f>
        <v>0</v>
      </c>
      <c r="AN59" s="37">
        <f>+'G&amp;A'!AN59+'S&amp;M'!AN59+Develop!AN59+Factory!AN59</f>
        <v>0</v>
      </c>
      <c r="AO59" s="37">
        <f>+'G&amp;A'!AO59+'S&amp;M'!AO59+Develop!AO59+Factory!AO59</f>
        <v>0</v>
      </c>
      <c r="AP59" s="37">
        <f>+'G&amp;A'!AP59+'S&amp;M'!AP59+Develop!AP59+Factory!AP59</f>
        <v>0</v>
      </c>
      <c r="AQ59" s="37"/>
      <c r="AR59" s="37">
        <f t="shared" si="176"/>
        <v>0</v>
      </c>
      <c r="AS59" s="37">
        <f t="shared" si="177"/>
        <v>0</v>
      </c>
      <c r="AT59" s="37">
        <f t="shared" si="178"/>
        <v>0</v>
      </c>
      <c r="AU59" s="37">
        <f t="shared" si="179"/>
        <v>0</v>
      </c>
      <c r="AV59" s="37">
        <f t="shared" si="180"/>
        <v>0</v>
      </c>
      <c r="AW59" s="37"/>
      <c r="AX59" s="37">
        <f t="shared" si="181"/>
        <v>0</v>
      </c>
      <c r="AY59" s="37">
        <f t="shared" si="182"/>
        <v>0</v>
      </c>
      <c r="AZ59" s="37">
        <f t="shared" si="183"/>
        <v>0</v>
      </c>
      <c r="BA59" s="37">
        <f t="shared" si="184"/>
        <v>0</v>
      </c>
      <c r="BB59" s="37">
        <f t="shared" si="185"/>
        <v>0</v>
      </c>
      <c r="BC59" s="37"/>
      <c r="BD59" s="37">
        <f t="shared" si="186"/>
        <v>0</v>
      </c>
      <c r="BE59" s="37">
        <f t="shared" si="187"/>
        <v>0</v>
      </c>
      <c r="BF59" s="37">
        <f t="shared" si="188"/>
        <v>0</v>
      </c>
      <c r="BG59" s="37">
        <f t="shared" si="189"/>
        <v>0</v>
      </c>
      <c r="BH59" s="37">
        <f t="shared" si="190"/>
        <v>0</v>
      </c>
    </row>
    <row r="60" spans="2:60" s="16" customFormat="1" x14ac:dyDescent="0.25">
      <c r="B60" s="16" t="s">
        <v>48</v>
      </c>
      <c r="E60" s="37">
        <f>+'G&amp;A'!E60+'S&amp;M'!E60+Develop!E60+Factory!E60</f>
        <v>0</v>
      </c>
      <c r="F60" s="37">
        <f>+'G&amp;A'!F60+'S&amp;M'!F60+Develop!F60+Factory!F60</f>
        <v>0</v>
      </c>
      <c r="G60" s="37">
        <f>+'G&amp;A'!G60+'S&amp;M'!G60+Develop!G60+Factory!G60</f>
        <v>0</v>
      </c>
      <c r="H60" s="37">
        <f>+'G&amp;A'!H60+'S&amp;M'!H60+Develop!H60+Factory!H60</f>
        <v>0</v>
      </c>
      <c r="I60" s="37">
        <f>+'G&amp;A'!I60+'S&amp;M'!I60+Develop!I60+Factory!I60</f>
        <v>0</v>
      </c>
      <c r="J60" s="37">
        <f>+'G&amp;A'!J60+'S&amp;M'!J60+Develop!J60+Factory!J60</f>
        <v>0</v>
      </c>
      <c r="K60" s="37">
        <f>+'G&amp;A'!K60+'S&amp;M'!K60+Develop!K60+Factory!K60</f>
        <v>0</v>
      </c>
      <c r="L60" s="37">
        <f>+'G&amp;A'!L60+'S&amp;M'!L60+Develop!L60+Factory!L60</f>
        <v>0</v>
      </c>
      <c r="M60" s="37">
        <f>+'G&amp;A'!M60+'S&amp;M'!M60+Develop!M60+Factory!M60</f>
        <v>0</v>
      </c>
      <c r="N60" s="37">
        <f>+'G&amp;A'!N60+'S&amp;M'!N60+Develop!N60+Factory!N60</f>
        <v>0</v>
      </c>
      <c r="O60" s="37">
        <f>+'G&amp;A'!O60+'S&amp;M'!O60+Develop!O60+Factory!O60</f>
        <v>0</v>
      </c>
      <c r="P60" s="37">
        <f>+'G&amp;A'!P60+'S&amp;M'!P60+Develop!P60+Factory!P60</f>
        <v>0</v>
      </c>
      <c r="Q60" s="37"/>
      <c r="R60" s="37">
        <f>+'G&amp;A'!R60+'S&amp;M'!R60+Develop!R60+Factory!R60</f>
        <v>0</v>
      </c>
      <c r="S60" s="37">
        <f>+'G&amp;A'!S60+'S&amp;M'!S60+Develop!S60+Factory!S60</f>
        <v>0</v>
      </c>
      <c r="T60" s="37">
        <f>+'G&amp;A'!T60+'S&amp;M'!T60+Develop!T60+Factory!T60</f>
        <v>0</v>
      </c>
      <c r="U60" s="37">
        <f>+'G&amp;A'!U60+'S&amp;M'!U60+Develop!U60+Factory!U60</f>
        <v>0</v>
      </c>
      <c r="V60" s="37">
        <f>+'G&amp;A'!V60+'S&amp;M'!V60+Develop!V60+Factory!V60</f>
        <v>0</v>
      </c>
      <c r="W60" s="37">
        <f>+'G&amp;A'!W60+'S&amp;M'!W60+Develop!W60+Factory!W60</f>
        <v>0</v>
      </c>
      <c r="X60" s="37">
        <f>+'G&amp;A'!X60+'S&amp;M'!X60+Develop!X60+Factory!X60</f>
        <v>0</v>
      </c>
      <c r="Y60" s="37">
        <f>+'G&amp;A'!Y60+'S&amp;M'!Y60+Develop!Y60+Factory!Y60</f>
        <v>0</v>
      </c>
      <c r="Z60" s="37">
        <f>+'G&amp;A'!Z60+'S&amp;M'!Z60+Develop!Z60+Factory!Z60</f>
        <v>0</v>
      </c>
      <c r="AA60" s="37">
        <f>+'G&amp;A'!AA60+'S&amp;M'!AA60+Develop!AA60+Factory!AA60</f>
        <v>0</v>
      </c>
      <c r="AB60" s="37">
        <f>+'G&amp;A'!AB60+'S&amp;M'!AB60+Develop!AB60+Factory!AB60</f>
        <v>0</v>
      </c>
      <c r="AC60" s="37">
        <f>+'G&amp;A'!AC60+'S&amp;M'!AC60+Develop!AC60+Factory!AC60</f>
        <v>0</v>
      </c>
      <c r="AD60" s="37"/>
      <c r="AE60" s="37">
        <f>+'G&amp;A'!AE60+'S&amp;M'!AE60+Develop!AE60+Factory!AE60</f>
        <v>0</v>
      </c>
      <c r="AF60" s="37">
        <f>+'G&amp;A'!AF60+'S&amp;M'!AF60+Develop!AF60+Factory!AF60</f>
        <v>0</v>
      </c>
      <c r="AG60" s="37">
        <f>+'G&amp;A'!AG60+'S&amp;M'!AG60+Develop!AG60+Factory!AG60</f>
        <v>0</v>
      </c>
      <c r="AH60" s="37">
        <f>+'G&amp;A'!AH60+'S&amp;M'!AH60+Develop!AH60+Factory!AH60</f>
        <v>0</v>
      </c>
      <c r="AI60" s="37">
        <f>+'G&amp;A'!AI60+'S&amp;M'!AI60+Develop!AI60+Factory!AI60</f>
        <v>0</v>
      </c>
      <c r="AJ60" s="37">
        <f>+'G&amp;A'!AJ60+'S&amp;M'!AJ60+Develop!AJ60+Factory!AJ60</f>
        <v>0</v>
      </c>
      <c r="AK60" s="37">
        <f>+'G&amp;A'!AK60+'S&amp;M'!AK60+Develop!AK60+Factory!AK60</f>
        <v>0</v>
      </c>
      <c r="AL60" s="37">
        <f>+'G&amp;A'!AL60+'S&amp;M'!AL60+Develop!AL60+Factory!AL60</f>
        <v>0</v>
      </c>
      <c r="AM60" s="37">
        <f>+'G&amp;A'!AM60+'S&amp;M'!AM60+Develop!AM60+Factory!AM60</f>
        <v>0</v>
      </c>
      <c r="AN60" s="37">
        <f>+'G&amp;A'!AN60+'S&amp;M'!AN60+Develop!AN60+Factory!AN60</f>
        <v>0</v>
      </c>
      <c r="AO60" s="37">
        <f>+'G&amp;A'!AO60+'S&amp;M'!AO60+Develop!AO60+Factory!AO60</f>
        <v>0</v>
      </c>
      <c r="AP60" s="37">
        <f>+'G&amp;A'!AP60+'S&amp;M'!AP60+Develop!AP60+Factory!AP60</f>
        <v>0</v>
      </c>
      <c r="AQ60" s="37"/>
      <c r="AR60" s="37">
        <f t="shared" si="176"/>
        <v>0</v>
      </c>
      <c r="AS60" s="37">
        <f t="shared" si="177"/>
        <v>0</v>
      </c>
      <c r="AT60" s="37">
        <f t="shared" si="178"/>
        <v>0</v>
      </c>
      <c r="AU60" s="37">
        <f t="shared" si="179"/>
        <v>0</v>
      </c>
      <c r="AV60" s="37">
        <f t="shared" si="180"/>
        <v>0</v>
      </c>
      <c r="AW60" s="37"/>
      <c r="AX60" s="37">
        <f t="shared" si="181"/>
        <v>0</v>
      </c>
      <c r="AY60" s="37">
        <f t="shared" si="182"/>
        <v>0</v>
      </c>
      <c r="AZ60" s="37">
        <f t="shared" si="183"/>
        <v>0</v>
      </c>
      <c r="BA60" s="37">
        <f t="shared" si="184"/>
        <v>0</v>
      </c>
      <c r="BB60" s="37">
        <f t="shared" si="185"/>
        <v>0</v>
      </c>
      <c r="BC60" s="37"/>
      <c r="BD60" s="37">
        <f t="shared" si="186"/>
        <v>0</v>
      </c>
      <c r="BE60" s="37">
        <f t="shared" si="187"/>
        <v>0</v>
      </c>
      <c r="BF60" s="37">
        <f t="shared" si="188"/>
        <v>0</v>
      </c>
      <c r="BG60" s="37">
        <f t="shared" si="189"/>
        <v>0</v>
      </c>
      <c r="BH60" s="37">
        <f t="shared" si="190"/>
        <v>0</v>
      </c>
    </row>
    <row r="61" spans="2:60" s="16" customFormat="1" x14ac:dyDescent="0.25">
      <c r="B61" s="16" t="s">
        <v>47</v>
      </c>
      <c r="E61" s="37">
        <f>+'G&amp;A'!E61+'S&amp;M'!E61+Develop!E61+Factory!E61</f>
        <v>0</v>
      </c>
      <c r="F61" s="37">
        <f>+'G&amp;A'!F61+'S&amp;M'!F61+Develop!F61+Factory!F61</f>
        <v>0</v>
      </c>
      <c r="G61" s="37">
        <f>+'G&amp;A'!G61+'S&amp;M'!G61+Develop!G61+Factory!G61</f>
        <v>0</v>
      </c>
      <c r="H61" s="37">
        <f>+'G&amp;A'!H61+'S&amp;M'!H61+Develop!H61+Factory!H61</f>
        <v>0</v>
      </c>
      <c r="I61" s="37">
        <f>+'G&amp;A'!I61+'S&amp;M'!I61+Develop!I61+Factory!I61</f>
        <v>0</v>
      </c>
      <c r="J61" s="37">
        <f>+'G&amp;A'!J61+'S&amp;M'!J61+Develop!J61+Factory!J61</f>
        <v>0</v>
      </c>
      <c r="K61" s="37">
        <f>+'G&amp;A'!K61+'S&amp;M'!K61+Develop!K61+Factory!K61</f>
        <v>0</v>
      </c>
      <c r="L61" s="37">
        <f>+'G&amp;A'!L61+'S&amp;M'!L61+Develop!L61+Factory!L61</f>
        <v>0</v>
      </c>
      <c r="M61" s="37">
        <f>+'G&amp;A'!M61+'S&amp;M'!M61+Develop!M61+Factory!M61</f>
        <v>0</v>
      </c>
      <c r="N61" s="37">
        <f>+'G&amp;A'!N61+'S&amp;M'!N61+Develop!N61+Factory!N61</f>
        <v>0</v>
      </c>
      <c r="O61" s="37">
        <f>+'G&amp;A'!O61+'S&amp;M'!O61+Develop!O61+Factory!O61</f>
        <v>0</v>
      </c>
      <c r="P61" s="37">
        <f>+'G&amp;A'!P61+'S&amp;M'!P61+Develop!P61+Factory!P61</f>
        <v>0</v>
      </c>
      <c r="Q61" s="37"/>
      <c r="R61" s="37">
        <f>+'G&amp;A'!R61+'S&amp;M'!R61+Develop!R61+Factory!R61</f>
        <v>0</v>
      </c>
      <c r="S61" s="37">
        <f>+'G&amp;A'!S61+'S&amp;M'!S61+Develop!S61+Factory!S61</f>
        <v>0</v>
      </c>
      <c r="T61" s="37">
        <f>+'G&amp;A'!T61+'S&amp;M'!T61+Develop!T61+Factory!T61</f>
        <v>0</v>
      </c>
      <c r="U61" s="37">
        <f>+'G&amp;A'!U61+'S&amp;M'!U61+Develop!U61+Factory!U61</f>
        <v>0</v>
      </c>
      <c r="V61" s="37">
        <f>+'G&amp;A'!V61+'S&amp;M'!V61+Develop!V61+Factory!V61</f>
        <v>0</v>
      </c>
      <c r="W61" s="37">
        <f>+'G&amp;A'!W61+'S&amp;M'!W61+Develop!W61+Factory!W61</f>
        <v>0</v>
      </c>
      <c r="X61" s="37">
        <f>+'G&amp;A'!X61+'S&amp;M'!X61+Develop!X61+Factory!X61</f>
        <v>0</v>
      </c>
      <c r="Y61" s="37">
        <f>+'G&amp;A'!Y61+'S&amp;M'!Y61+Develop!Y61+Factory!Y61</f>
        <v>0</v>
      </c>
      <c r="Z61" s="37">
        <f>+'G&amp;A'!Z61+'S&amp;M'!Z61+Develop!Z61+Factory!Z61</f>
        <v>0</v>
      </c>
      <c r="AA61" s="37">
        <f>+'G&amp;A'!AA61+'S&amp;M'!AA61+Develop!AA61+Factory!AA61</f>
        <v>0</v>
      </c>
      <c r="AB61" s="37">
        <f>+'G&amp;A'!AB61+'S&amp;M'!AB61+Develop!AB61+Factory!AB61</f>
        <v>0</v>
      </c>
      <c r="AC61" s="37">
        <f>+'G&amp;A'!AC61+'S&amp;M'!AC61+Develop!AC61+Factory!AC61</f>
        <v>0</v>
      </c>
      <c r="AD61" s="37"/>
      <c r="AE61" s="37">
        <f>+'G&amp;A'!AE61+'S&amp;M'!AE61+Develop!AE61+Factory!AE61</f>
        <v>0</v>
      </c>
      <c r="AF61" s="37">
        <f>+'G&amp;A'!AF61+'S&amp;M'!AF61+Develop!AF61+Factory!AF61</f>
        <v>0</v>
      </c>
      <c r="AG61" s="37">
        <f>+'G&amp;A'!AG61+'S&amp;M'!AG61+Develop!AG61+Factory!AG61</f>
        <v>0</v>
      </c>
      <c r="AH61" s="37">
        <f>+'G&amp;A'!AH61+'S&amp;M'!AH61+Develop!AH61+Factory!AH61</f>
        <v>0</v>
      </c>
      <c r="AI61" s="37">
        <f>+'G&amp;A'!AI61+'S&amp;M'!AI61+Develop!AI61+Factory!AI61</f>
        <v>0</v>
      </c>
      <c r="AJ61" s="37">
        <f>+'G&amp;A'!AJ61+'S&amp;M'!AJ61+Develop!AJ61+Factory!AJ61</f>
        <v>0</v>
      </c>
      <c r="AK61" s="37">
        <f>+'G&amp;A'!AK61+'S&amp;M'!AK61+Develop!AK61+Factory!AK61</f>
        <v>0</v>
      </c>
      <c r="AL61" s="37">
        <f>+'G&amp;A'!AL61+'S&amp;M'!AL61+Develop!AL61+Factory!AL61</f>
        <v>0</v>
      </c>
      <c r="AM61" s="37">
        <f>+'G&amp;A'!AM61+'S&amp;M'!AM61+Develop!AM61+Factory!AM61</f>
        <v>0</v>
      </c>
      <c r="AN61" s="37">
        <f>+'G&amp;A'!AN61+'S&amp;M'!AN61+Develop!AN61+Factory!AN61</f>
        <v>0</v>
      </c>
      <c r="AO61" s="37">
        <f>+'G&amp;A'!AO61+'S&amp;M'!AO61+Develop!AO61+Factory!AO61</f>
        <v>0</v>
      </c>
      <c r="AP61" s="37">
        <f>+'G&amp;A'!AP61+'S&amp;M'!AP61+Develop!AP61+Factory!AP61</f>
        <v>0</v>
      </c>
      <c r="AQ61" s="37"/>
      <c r="AR61" s="37">
        <f t="shared" si="176"/>
        <v>0</v>
      </c>
      <c r="AS61" s="37">
        <f t="shared" si="177"/>
        <v>0</v>
      </c>
      <c r="AT61" s="37">
        <f t="shared" si="178"/>
        <v>0</v>
      </c>
      <c r="AU61" s="37">
        <f t="shared" si="179"/>
        <v>0</v>
      </c>
      <c r="AV61" s="37">
        <f t="shared" si="180"/>
        <v>0</v>
      </c>
      <c r="AW61" s="37"/>
      <c r="AX61" s="37">
        <f t="shared" si="181"/>
        <v>0</v>
      </c>
      <c r="AY61" s="37">
        <f t="shared" si="182"/>
        <v>0</v>
      </c>
      <c r="AZ61" s="37">
        <f t="shared" si="183"/>
        <v>0</v>
      </c>
      <c r="BA61" s="37">
        <f t="shared" si="184"/>
        <v>0</v>
      </c>
      <c r="BB61" s="37">
        <f t="shared" si="185"/>
        <v>0</v>
      </c>
      <c r="BC61" s="37"/>
      <c r="BD61" s="37">
        <f t="shared" si="186"/>
        <v>0</v>
      </c>
      <c r="BE61" s="37">
        <f t="shared" si="187"/>
        <v>0</v>
      </c>
      <c r="BF61" s="37">
        <f t="shared" si="188"/>
        <v>0</v>
      </c>
      <c r="BG61" s="37">
        <f t="shared" si="189"/>
        <v>0</v>
      </c>
      <c r="BH61" s="37">
        <f t="shared" si="190"/>
        <v>0</v>
      </c>
    </row>
    <row r="62" spans="2:60" s="16" customFormat="1" x14ac:dyDescent="0.25">
      <c r="B62" s="16" t="s">
        <v>46</v>
      </c>
      <c r="E62" s="37">
        <f>+'G&amp;A'!E62+'S&amp;M'!E62+Develop!E62+Factory!E62</f>
        <v>0</v>
      </c>
      <c r="F62" s="37">
        <f>+'G&amp;A'!F62+'S&amp;M'!F62+Develop!F62+Factory!F62</f>
        <v>0</v>
      </c>
      <c r="G62" s="37">
        <f>+'G&amp;A'!G62+'S&amp;M'!G62+Develop!G62+Factory!G62</f>
        <v>0</v>
      </c>
      <c r="H62" s="37">
        <f>+'G&amp;A'!H62+'S&amp;M'!H62+Develop!H62+Factory!H62</f>
        <v>0</v>
      </c>
      <c r="I62" s="37">
        <f>+'G&amp;A'!I62+'S&amp;M'!I62+Develop!I62+Factory!I62</f>
        <v>0</v>
      </c>
      <c r="J62" s="37">
        <f>+'G&amp;A'!J62+'S&amp;M'!J62+Develop!J62+Factory!J62</f>
        <v>0</v>
      </c>
      <c r="K62" s="37">
        <f>+'G&amp;A'!K62+'S&amp;M'!K62+Develop!K62+Factory!K62</f>
        <v>0</v>
      </c>
      <c r="L62" s="37">
        <f>+'G&amp;A'!L62+'S&amp;M'!L62+Develop!L62+Factory!L62</f>
        <v>0</v>
      </c>
      <c r="M62" s="37">
        <f>+'G&amp;A'!M62+'S&amp;M'!M62+Develop!M62+Factory!M62</f>
        <v>0</v>
      </c>
      <c r="N62" s="37">
        <f>+'G&amp;A'!N62+'S&amp;M'!N62+Develop!N62+Factory!N62</f>
        <v>0</v>
      </c>
      <c r="O62" s="37">
        <f>+'G&amp;A'!O62+'S&amp;M'!O62+Develop!O62+Factory!O62</f>
        <v>0</v>
      </c>
      <c r="P62" s="37">
        <f>+'G&amp;A'!P62+'S&amp;M'!P62+Develop!P62+Factory!P62</f>
        <v>0</v>
      </c>
      <c r="Q62" s="37"/>
      <c r="R62" s="37">
        <f>+'G&amp;A'!R62+'S&amp;M'!R62+Develop!R62+Factory!R62</f>
        <v>0</v>
      </c>
      <c r="S62" s="37">
        <f>+'G&amp;A'!S62+'S&amp;M'!S62+Develop!S62+Factory!S62</f>
        <v>0</v>
      </c>
      <c r="T62" s="37">
        <f>+'G&amp;A'!T62+'S&amp;M'!T62+Develop!T62+Factory!T62</f>
        <v>0</v>
      </c>
      <c r="U62" s="37">
        <f>+'G&amp;A'!U62+'S&amp;M'!U62+Develop!U62+Factory!U62</f>
        <v>0</v>
      </c>
      <c r="V62" s="37">
        <f>+'G&amp;A'!V62+'S&amp;M'!V62+Develop!V62+Factory!V62</f>
        <v>0</v>
      </c>
      <c r="W62" s="37">
        <f>+'G&amp;A'!W62+'S&amp;M'!W62+Develop!W62+Factory!W62</f>
        <v>0</v>
      </c>
      <c r="X62" s="37">
        <f>+'G&amp;A'!X62+'S&amp;M'!X62+Develop!X62+Factory!X62</f>
        <v>0</v>
      </c>
      <c r="Y62" s="37">
        <f>+'G&amp;A'!Y62+'S&amp;M'!Y62+Develop!Y62+Factory!Y62</f>
        <v>0</v>
      </c>
      <c r="Z62" s="37">
        <f>+'G&amp;A'!Z62+'S&amp;M'!Z62+Develop!Z62+Factory!Z62</f>
        <v>0</v>
      </c>
      <c r="AA62" s="37">
        <f>+'G&amp;A'!AA62+'S&amp;M'!AA62+Develop!AA62+Factory!AA62</f>
        <v>0</v>
      </c>
      <c r="AB62" s="37">
        <f>+'G&amp;A'!AB62+'S&amp;M'!AB62+Develop!AB62+Factory!AB62</f>
        <v>0</v>
      </c>
      <c r="AC62" s="37">
        <f>+'G&amp;A'!AC62+'S&amp;M'!AC62+Develop!AC62+Factory!AC62</f>
        <v>0</v>
      </c>
      <c r="AD62" s="37"/>
      <c r="AE62" s="37">
        <f>+'G&amp;A'!AE62+'S&amp;M'!AE62+Develop!AE62+Factory!AE62</f>
        <v>0</v>
      </c>
      <c r="AF62" s="37">
        <f>+'G&amp;A'!AF62+'S&amp;M'!AF62+Develop!AF62+Factory!AF62</f>
        <v>0</v>
      </c>
      <c r="AG62" s="37">
        <f>+'G&amp;A'!AG62+'S&amp;M'!AG62+Develop!AG62+Factory!AG62</f>
        <v>0</v>
      </c>
      <c r="AH62" s="37">
        <f>+'G&amp;A'!AH62+'S&amp;M'!AH62+Develop!AH62+Factory!AH62</f>
        <v>0</v>
      </c>
      <c r="AI62" s="37">
        <f>+'G&amp;A'!AI62+'S&amp;M'!AI62+Develop!AI62+Factory!AI62</f>
        <v>0</v>
      </c>
      <c r="AJ62" s="37">
        <f>+'G&amp;A'!AJ62+'S&amp;M'!AJ62+Develop!AJ62+Factory!AJ62</f>
        <v>0</v>
      </c>
      <c r="AK62" s="37">
        <f>+'G&amp;A'!AK62+'S&amp;M'!AK62+Develop!AK62+Factory!AK62</f>
        <v>0</v>
      </c>
      <c r="AL62" s="37">
        <f>+'G&amp;A'!AL62+'S&amp;M'!AL62+Develop!AL62+Factory!AL62</f>
        <v>0</v>
      </c>
      <c r="AM62" s="37">
        <f>+'G&amp;A'!AM62+'S&amp;M'!AM62+Develop!AM62+Factory!AM62</f>
        <v>0</v>
      </c>
      <c r="AN62" s="37">
        <f>+'G&amp;A'!AN62+'S&amp;M'!AN62+Develop!AN62+Factory!AN62</f>
        <v>0</v>
      </c>
      <c r="AO62" s="37">
        <f>+'G&amp;A'!AO62+'S&amp;M'!AO62+Develop!AO62+Factory!AO62</f>
        <v>0</v>
      </c>
      <c r="AP62" s="37">
        <f>+'G&amp;A'!AP62+'S&amp;M'!AP62+Develop!AP62+Factory!AP62</f>
        <v>0</v>
      </c>
      <c r="AQ62" s="37"/>
      <c r="AR62" s="37">
        <f t="shared" si="176"/>
        <v>0</v>
      </c>
      <c r="AS62" s="37">
        <f t="shared" si="177"/>
        <v>0</v>
      </c>
      <c r="AT62" s="37">
        <f t="shared" si="178"/>
        <v>0</v>
      </c>
      <c r="AU62" s="37">
        <f t="shared" si="179"/>
        <v>0</v>
      </c>
      <c r="AV62" s="37">
        <f t="shared" si="180"/>
        <v>0</v>
      </c>
      <c r="AW62" s="37"/>
      <c r="AX62" s="37">
        <f t="shared" si="181"/>
        <v>0</v>
      </c>
      <c r="AY62" s="37">
        <f t="shared" si="182"/>
        <v>0</v>
      </c>
      <c r="AZ62" s="37">
        <f t="shared" si="183"/>
        <v>0</v>
      </c>
      <c r="BA62" s="37">
        <f t="shared" si="184"/>
        <v>0</v>
      </c>
      <c r="BB62" s="37">
        <f t="shared" si="185"/>
        <v>0</v>
      </c>
      <c r="BC62" s="37"/>
      <c r="BD62" s="37">
        <f t="shared" si="186"/>
        <v>0</v>
      </c>
      <c r="BE62" s="37">
        <f t="shared" si="187"/>
        <v>0</v>
      </c>
      <c r="BF62" s="37">
        <f t="shared" si="188"/>
        <v>0</v>
      </c>
      <c r="BG62" s="37">
        <f t="shared" si="189"/>
        <v>0</v>
      </c>
      <c r="BH62" s="37">
        <f t="shared" si="190"/>
        <v>0</v>
      </c>
    </row>
    <row r="63" spans="2:60" s="16" customFormat="1" x14ac:dyDescent="0.25">
      <c r="B63" s="16" t="s">
        <v>93</v>
      </c>
      <c r="E63" s="37">
        <f>+'G&amp;A'!E63+'S&amp;M'!E63+Develop!E63+Factory!E63</f>
        <v>0</v>
      </c>
      <c r="F63" s="37">
        <f>+'G&amp;A'!F63+'S&amp;M'!F63+Develop!F63+Factory!F63</f>
        <v>0</v>
      </c>
      <c r="G63" s="37">
        <f>+'G&amp;A'!G63+'S&amp;M'!G63+Develop!G63+Factory!G63</f>
        <v>0</v>
      </c>
      <c r="H63" s="37">
        <f>+'G&amp;A'!H63+'S&amp;M'!H63+Develop!H63+Factory!H63</f>
        <v>0</v>
      </c>
      <c r="I63" s="37">
        <f>+'G&amp;A'!I63+'S&amp;M'!I63+Develop!I63+Factory!I63</f>
        <v>0</v>
      </c>
      <c r="J63" s="37">
        <f>+'G&amp;A'!J63+'S&amp;M'!J63+Develop!J63+Factory!J63</f>
        <v>0</v>
      </c>
      <c r="K63" s="37">
        <f>+'G&amp;A'!K63+'S&amp;M'!K63+Develop!K63+Factory!K63</f>
        <v>0</v>
      </c>
      <c r="L63" s="37">
        <f>+'G&amp;A'!L63+'S&amp;M'!L63+Develop!L63+Factory!L63</f>
        <v>0</v>
      </c>
      <c r="M63" s="37">
        <f>+'G&amp;A'!M63+'S&amp;M'!M63+Develop!M63+Factory!M63</f>
        <v>0</v>
      </c>
      <c r="N63" s="37">
        <f>+'G&amp;A'!N63+'S&amp;M'!N63+Develop!N63+Factory!N63</f>
        <v>0</v>
      </c>
      <c r="O63" s="37">
        <f>+'G&amp;A'!O63+'S&amp;M'!O63+Develop!O63+Factory!O63</f>
        <v>0</v>
      </c>
      <c r="P63" s="37">
        <f>+'G&amp;A'!P63+'S&amp;M'!P63+Develop!P63+Factory!P63</f>
        <v>0</v>
      </c>
      <c r="Q63" s="37"/>
      <c r="R63" s="37">
        <f>+'G&amp;A'!R63+'S&amp;M'!R63+Develop!R63+Factory!R63</f>
        <v>0</v>
      </c>
      <c r="S63" s="37">
        <f>+'G&amp;A'!S63+'S&amp;M'!S63+Develop!S63+Factory!S63</f>
        <v>0</v>
      </c>
      <c r="T63" s="37">
        <f>+'G&amp;A'!T63+'S&amp;M'!T63+Develop!T63+Factory!T63</f>
        <v>0</v>
      </c>
      <c r="U63" s="37">
        <f>+'G&amp;A'!U63+'S&amp;M'!U63+Develop!U63+Factory!U63</f>
        <v>0</v>
      </c>
      <c r="V63" s="37">
        <f>+'G&amp;A'!V63+'S&amp;M'!V63+Develop!V63+Factory!V63</f>
        <v>0</v>
      </c>
      <c r="W63" s="37">
        <f>+'G&amp;A'!W63+'S&amp;M'!W63+Develop!W63+Factory!W63</f>
        <v>0</v>
      </c>
      <c r="X63" s="37">
        <f>+'G&amp;A'!X63+'S&amp;M'!X63+Develop!X63+Factory!X63</f>
        <v>0</v>
      </c>
      <c r="Y63" s="37">
        <f>+'G&amp;A'!Y63+'S&amp;M'!Y63+Develop!Y63+Factory!Y63</f>
        <v>0</v>
      </c>
      <c r="Z63" s="37">
        <f>+'G&amp;A'!Z63+'S&amp;M'!Z63+Develop!Z63+Factory!Z63</f>
        <v>0</v>
      </c>
      <c r="AA63" s="37">
        <f>+'G&amp;A'!AA63+'S&amp;M'!AA63+Develop!AA63+Factory!AA63</f>
        <v>0</v>
      </c>
      <c r="AB63" s="37">
        <f>+'G&amp;A'!AB63+'S&amp;M'!AB63+Develop!AB63+Factory!AB63</f>
        <v>0</v>
      </c>
      <c r="AC63" s="37">
        <f>+'G&amp;A'!AC63+'S&amp;M'!AC63+Develop!AC63+Factory!AC63</f>
        <v>0</v>
      </c>
      <c r="AD63" s="37"/>
      <c r="AE63" s="37">
        <f>+'G&amp;A'!AE63+'S&amp;M'!AE63+Develop!AE63+Factory!AE63</f>
        <v>0</v>
      </c>
      <c r="AF63" s="37">
        <f>+'G&amp;A'!AF63+'S&amp;M'!AF63+Develop!AF63+Factory!AF63</f>
        <v>0</v>
      </c>
      <c r="AG63" s="37">
        <f>+'G&amp;A'!AG63+'S&amp;M'!AG63+Develop!AG63+Factory!AG63</f>
        <v>0</v>
      </c>
      <c r="AH63" s="37">
        <f>+'G&amp;A'!AH63+'S&amp;M'!AH63+Develop!AH63+Factory!AH63</f>
        <v>0</v>
      </c>
      <c r="AI63" s="37">
        <f>+'G&amp;A'!AI63+'S&amp;M'!AI63+Develop!AI63+Factory!AI63</f>
        <v>0</v>
      </c>
      <c r="AJ63" s="37">
        <f>+'G&amp;A'!AJ63+'S&amp;M'!AJ63+Develop!AJ63+Factory!AJ63</f>
        <v>0</v>
      </c>
      <c r="AK63" s="37">
        <f>+'G&amp;A'!AK63+'S&amp;M'!AK63+Develop!AK63+Factory!AK63</f>
        <v>0</v>
      </c>
      <c r="AL63" s="37">
        <f>+'G&amp;A'!AL63+'S&amp;M'!AL63+Develop!AL63+Factory!AL63</f>
        <v>0</v>
      </c>
      <c r="AM63" s="37">
        <f>+'G&amp;A'!AM63+'S&amp;M'!AM63+Develop!AM63+Factory!AM63</f>
        <v>0</v>
      </c>
      <c r="AN63" s="37">
        <f>+'G&amp;A'!AN63+'S&amp;M'!AN63+Develop!AN63+Factory!AN63</f>
        <v>0</v>
      </c>
      <c r="AO63" s="37">
        <f>+'G&amp;A'!AO63+'S&amp;M'!AO63+Develop!AO63+Factory!AO63</f>
        <v>0</v>
      </c>
      <c r="AP63" s="37">
        <f>+'G&amp;A'!AP63+'S&amp;M'!AP63+Develop!AP63+Factory!AP63</f>
        <v>0</v>
      </c>
      <c r="AQ63" s="37"/>
      <c r="AR63" s="37">
        <f t="shared" si="176"/>
        <v>0</v>
      </c>
      <c r="AS63" s="37">
        <f t="shared" si="177"/>
        <v>0</v>
      </c>
      <c r="AT63" s="37">
        <f t="shared" si="178"/>
        <v>0</v>
      </c>
      <c r="AU63" s="37">
        <f t="shared" si="179"/>
        <v>0</v>
      </c>
      <c r="AV63" s="37">
        <f t="shared" si="180"/>
        <v>0</v>
      </c>
      <c r="AW63" s="37"/>
      <c r="AX63" s="37">
        <f t="shared" si="181"/>
        <v>0</v>
      </c>
      <c r="AY63" s="37">
        <f t="shared" si="182"/>
        <v>0</v>
      </c>
      <c r="AZ63" s="37">
        <f t="shared" si="183"/>
        <v>0</v>
      </c>
      <c r="BA63" s="37">
        <f t="shared" si="184"/>
        <v>0</v>
      </c>
      <c r="BB63" s="37">
        <f t="shared" si="185"/>
        <v>0</v>
      </c>
      <c r="BC63" s="37"/>
      <c r="BD63" s="37">
        <f t="shared" si="186"/>
        <v>0</v>
      </c>
      <c r="BE63" s="37">
        <f t="shared" si="187"/>
        <v>0</v>
      </c>
      <c r="BF63" s="37">
        <f t="shared" si="188"/>
        <v>0</v>
      </c>
      <c r="BG63" s="37">
        <f t="shared" si="189"/>
        <v>0</v>
      </c>
      <c r="BH63" s="37">
        <f t="shared" si="190"/>
        <v>0</v>
      </c>
    </row>
    <row r="64" spans="2:60" s="16" customFormat="1" x14ac:dyDescent="0.25">
      <c r="E64" s="37"/>
      <c r="F64" s="37"/>
      <c r="G64" s="37"/>
      <c r="H64" s="37"/>
      <c r="I64" s="37"/>
      <c r="J64" s="37"/>
      <c r="K64" s="37"/>
      <c r="L64" s="37"/>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row>
    <row r="65" spans="1:60" s="16" customFormat="1" x14ac:dyDescent="0.25">
      <c r="B65" s="16" t="s">
        <v>49</v>
      </c>
      <c r="E65" s="38">
        <f>SUBTOTAL(9,E57:E64)</f>
        <v>930</v>
      </c>
      <c r="F65" s="38">
        <f t="shared" ref="F65:P65" si="191">SUBTOTAL(9,F57:F64)</f>
        <v>0</v>
      </c>
      <c r="G65" s="38">
        <f t="shared" si="191"/>
        <v>0</v>
      </c>
      <c r="H65" s="38">
        <f t="shared" si="191"/>
        <v>960</v>
      </c>
      <c r="I65" s="38">
        <f t="shared" si="191"/>
        <v>0</v>
      </c>
      <c r="J65" s="38">
        <f t="shared" si="191"/>
        <v>1000</v>
      </c>
      <c r="K65" s="38">
        <f t="shared" si="191"/>
        <v>960</v>
      </c>
      <c r="L65" s="38">
        <f t="shared" si="191"/>
        <v>0</v>
      </c>
      <c r="M65" s="38">
        <f t="shared" si="191"/>
        <v>0</v>
      </c>
      <c r="N65" s="38">
        <f t="shared" si="191"/>
        <v>960</v>
      </c>
      <c r="O65" s="38">
        <f t="shared" si="191"/>
        <v>0</v>
      </c>
      <c r="P65" s="38">
        <f t="shared" si="191"/>
        <v>0</v>
      </c>
      <c r="Q65" s="37"/>
      <c r="R65" s="38">
        <f>SUBTOTAL(9,R57:R64)</f>
        <v>960</v>
      </c>
      <c r="S65" s="38">
        <f t="shared" ref="S65:AC65" si="192">SUBTOTAL(9,S57:S64)</f>
        <v>0</v>
      </c>
      <c r="T65" s="38">
        <f t="shared" si="192"/>
        <v>0</v>
      </c>
      <c r="U65" s="38">
        <f t="shared" si="192"/>
        <v>960</v>
      </c>
      <c r="V65" s="38">
        <f t="shared" si="192"/>
        <v>0</v>
      </c>
      <c r="W65" s="38">
        <f t="shared" si="192"/>
        <v>1000</v>
      </c>
      <c r="X65" s="38">
        <f t="shared" si="192"/>
        <v>960</v>
      </c>
      <c r="Y65" s="38">
        <f t="shared" si="192"/>
        <v>0</v>
      </c>
      <c r="Z65" s="38">
        <f t="shared" si="192"/>
        <v>0</v>
      </c>
      <c r="AA65" s="38">
        <f t="shared" si="192"/>
        <v>960</v>
      </c>
      <c r="AB65" s="38">
        <f t="shared" si="192"/>
        <v>0</v>
      </c>
      <c r="AC65" s="38">
        <f t="shared" si="192"/>
        <v>0</v>
      </c>
      <c r="AD65" s="37"/>
      <c r="AE65" s="38">
        <f>SUBTOTAL(9,AE57:AE64)</f>
        <v>960</v>
      </c>
      <c r="AF65" s="38">
        <f t="shared" ref="AF65:AP65" si="193">SUBTOTAL(9,AF57:AF64)</f>
        <v>0</v>
      </c>
      <c r="AG65" s="38">
        <f t="shared" si="193"/>
        <v>0</v>
      </c>
      <c r="AH65" s="38">
        <f t="shared" si="193"/>
        <v>960</v>
      </c>
      <c r="AI65" s="38">
        <f t="shared" si="193"/>
        <v>0</v>
      </c>
      <c r="AJ65" s="38">
        <f t="shared" si="193"/>
        <v>1000</v>
      </c>
      <c r="AK65" s="38">
        <f t="shared" si="193"/>
        <v>960</v>
      </c>
      <c r="AL65" s="38">
        <f t="shared" si="193"/>
        <v>0</v>
      </c>
      <c r="AM65" s="38">
        <f t="shared" si="193"/>
        <v>0</v>
      </c>
      <c r="AN65" s="38">
        <f t="shared" si="193"/>
        <v>960</v>
      </c>
      <c r="AO65" s="38">
        <f t="shared" si="193"/>
        <v>0</v>
      </c>
      <c r="AP65" s="38">
        <f t="shared" si="193"/>
        <v>0</v>
      </c>
      <c r="AQ65" s="37"/>
      <c r="AR65" s="38">
        <f t="shared" ref="AR65:AV65" si="194">SUBTOTAL(9,AR57:AR64)</f>
        <v>4810</v>
      </c>
      <c r="AS65" s="38">
        <f t="shared" si="194"/>
        <v>930</v>
      </c>
      <c r="AT65" s="38">
        <f t="shared" si="194"/>
        <v>1960</v>
      </c>
      <c r="AU65" s="38">
        <f t="shared" si="194"/>
        <v>960</v>
      </c>
      <c r="AV65" s="38">
        <f t="shared" si="194"/>
        <v>960</v>
      </c>
      <c r="AW65" s="37"/>
      <c r="AX65" s="38">
        <f t="shared" ref="AX65:BB65" si="195">SUBTOTAL(9,AX57:AX64)</f>
        <v>4840</v>
      </c>
      <c r="AY65" s="38">
        <f t="shared" si="195"/>
        <v>960</v>
      </c>
      <c r="AZ65" s="38">
        <f t="shared" si="195"/>
        <v>1960</v>
      </c>
      <c r="BA65" s="38">
        <f t="shared" si="195"/>
        <v>960</v>
      </c>
      <c r="BB65" s="38">
        <f t="shared" si="195"/>
        <v>960</v>
      </c>
      <c r="BC65" s="37"/>
      <c r="BD65" s="38">
        <f t="shared" ref="BD65:BH65" si="196">SUBTOTAL(9,BD57:BD64)</f>
        <v>4840</v>
      </c>
      <c r="BE65" s="38">
        <f t="shared" si="196"/>
        <v>960</v>
      </c>
      <c r="BF65" s="38">
        <f t="shared" si="196"/>
        <v>1960</v>
      </c>
      <c r="BG65" s="38">
        <f t="shared" si="196"/>
        <v>960</v>
      </c>
      <c r="BH65" s="38">
        <f t="shared" si="196"/>
        <v>960</v>
      </c>
    </row>
    <row r="66" spans="1:60" s="16" customFormat="1" x14ac:dyDescent="0.25">
      <c r="E66" s="37"/>
      <c r="F66" s="37"/>
      <c r="G66" s="37"/>
      <c r="H66" s="37"/>
      <c r="I66" s="37"/>
      <c r="J66" s="37"/>
      <c r="K66" s="37"/>
      <c r="L66" s="37"/>
      <c r="M66" s="37"/>
      <c r="N66" s="37"/>
      <c r="O66" s="37"/>
      <c r="P66" s="37"/>
      <c r="Q66" s="37"/>
      <c r="R66" s="37"/>
      <c r="S66" s="37"/>
      <c r="T66" s="37"/>
      <c r="U66" s="37"/>
      <c r="V66" s="37"/>
      <c r="W66" s="37"/>
      <c r="X66" s="37"/>
      <c r="Y66" s="37"/>
      <c r="Z66" s="37"/>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row>
    <row r="67" spans="1:60" s="16" customFormat="1" x14ac:dyDescent="0.25">
      <c r="B67" s="16" t="s">
        <v>50</v>
      </c>
      <c r="E67" s="37">
        <f>+'G&amp;A'!E67+'S&amp;M'!E67+Develop!E67+Factory!E67</f>
        <v>9000</v>
      </c>
      <c r="F67" s="37">
        <f>+'G&amp;A'!F67+'S&amp;M'!F67+Develop!F67+Factory!F67</f>
        <v>9000</v>
      </c>
      <c r="G67" s="37">
        <f>+'G&amp;A'!G67+'S&amp;M'!G67+Develop!G67+Factory!G67</f>
        <v>9000</v>
      </c>
      <c r="H67" s="37">
        <f>+'G&amp;A'!H67+'S&amp;M'!H67+Develop!H67+Factory!H67</f>
        <v>9000</v>
      </c>
      <c r="I67" s="37">
        <f>+'G&amp;A'!I67+'S&amp;M'!I67+Develop!I67+Factory!I67</f>
        <v>9000</v>
      </c>
      <c r="J67" s="37">
        <f>+'G&amp;A'!J67+'S&amp;M'!J67+Develop!J67+Factory!J67</f>
        <v>9000</v>
      </c>
      <c r="K67" s="37">
        <f>+'G&amp;A'!K67+'S&amp;M'!K67+Develop!K67+Factory!K67</f>
        <v>9000</v>
      </c>
      <c r="L67" s="37">
        <f>+'G&amp;A'!L67+'S&amp;M'!L67+Develop!L67+Factory!L67</f>
        <v>9000</v>
      </c>
      <c r="M67" s="37">
        <f>+'G&amp;A'!M67+'S&amp;M'!M67+Develop!M67+Factory!M67</f>
        <v>9000</v>
      </c>
      <c r="N67" s="37">
        <f>+'G&amp;A'!N67+'S&amp;M'!N67+Develop!N67+Factory!N67</f>
        <v>9000</v>
      </c>
      <c r="O67" s="37">
        <f>+'G&amp;A'!O67+'S&amp;M'!O67+Develop!O67+Factory!O67</f>
        <v>9000</v>
      </c>
      <c r="P67" s="37">
        <f>+'G&amp;A'!P67+'S&amp;M'!P67+Develop!P67+Factory!P67</f>
        <v>9000</v>
      </c>
      <c r="Q67" s="37"/>
      <c r="R67" s="37">
        <f>+'G&amp;A'!R67+'S&amp;M'!R67+Develop!R67+Factory!R67</f>
        <v>18000</v>
      </c>
      <c r="S67" s="37">
        <f>+'G&amp;A'!S67+'S&amp;M'!S67+Develop!S67+Factory!S67</f>
        <v>18000</v>
      </c>
      <c r="T67" s="37">
        <f>+'G&amp;A'!T67+'S&amp;M'!T67+Develop!T67+Factory!T67</f>
        <v>18000</v>
      </c>
      <c r="U67" s="37">
        <f>+'G&amp;A'!U67+'S&amp;M'!U67+Develop!U67+Factory!U67</f>
        <v>18000</v>
      </c>
      <c r="V67" s="37">
        <f>+'G&amp;A'!V67+'S&amp;M'!V67+Develop!V67+Factory!V67</f>
        <v>18000</v>
      </c>
      <c r="W67" s="37">
        <f>+'G&amp;A'!W67+'S&amp;M'!W67+Develop!W67+Factory!W67</f>
        <v>18000</v>
      </c>
      <c r="X67" s="37">
        <f>+'G&amp;A'!X67+'S&amp;M'!X67+Develop!X67+Factory!X67</f>
        <v>18000</v>
      </c>
      <c r="Y67" s="37">
        <f>+'G&amp;A'!Y67+'S&amp;M'!Y67+Develop!Y67+Factory!Y67</f>
        <v>18000</v>
      </c>
      <c r="Z67" s="37">
        <f>+'G&amp;A'!Z67+'S&amp;M'!Z67+Develop!Z67+Factory!Z67</f>
        <v>18000</v>
      </c>
      <c r="AA67" s="37">
        <f>+'G&amp;A'!AA67+'S&amp;M'!AA67+Develop!AA67+Factory!AA67</f>
        <v>18000</v>
      </c>
      <c r="AB67" s="37">
        <f>+'G&amp;A'!AB67+'S&amp;M'!AB67+Develop!AB67+Factory!AB67</f>
        <v>18000</v>
      </c>
      <c r="AC67" s="37">
        <f>+'G&amp;A'!AC67+'S&amp;M'!AC67+Develop!AC67+Factory!AC67</f>
        <v>18000</v>
      </c>
      <c r="AD67" s="37"/>
      <c r="AE67" s="37">
        <f>+'G&amp;A'!AE67+'S&amp;M'!AE67+Develop!AE67+Factory!AE67</f>
        <v>18540</v>
      </c>
      <c r="AF67" s="37">
        <f>+'G&amp;A'!AF67+'S&amp;M'!AF67+Develop!AF67+Factory!AF67</f>
        <v>18540</v>
      </c>
      <c r="AG67" s="37">
        <f>+'G&amp;A'!AG67+'S&amp;M'!AG67+Develop!AG67+Factory!AG67</f>
        <v>18540</v>
      </c>
      <c r="AH67" s="37">
        <f>+'G&amp;A'!AH67+'S&amp;M'!AH67+Develop!AH67+Factory!AH67</f>
        <v>18540</v>
      </c>
      <c r="AI67" s="37">
        <f>+'G&amp;A'!AI67+'S&amp;M'!AI67+Develop!AI67+Factory!AI67</f>
        <v>18540</v>
      </c>
      <c r="AJ67" s="37">
        <f>+'G&amp;A'!AJ67+'S&amp;M'!AJ67+Develop!AJ67+Factory!AJ67</f>
        <v>18540</v>
      </c>
      <c r="AK67" s="37">
        <f>+'G&amp;A'!AK67+'S&amp;M'!AK67+Develop!AK67+Factory!AK67</f>
        <v>18540</v>
      </c>
      <c r="AL67" s="37">
        <f>+'G&amp;A'!AL67+'S&amp;M'!AL67+Develop!AL67+Factory!AL67</f>
        <v>18540</v>
      </c>
      <c r="AM67" s="37">
        <f>+'G&amp;A'!AM67+'S&amp;M'!AM67+Develop!AM67+Factory!AM67</f>
        <v>18540</v>
      </c>
      <c r="AN67" s="37">
        <f>+'G&amp;A'!AN67+'S&amp;M'!AN67+Develop!AN67+Factory!AN67</f>
        <v>18540</v>
      </c>
      <c r="AO67" s="37">
        <f>+'G&amp;A'!AO67+'S&amp;M'!AO67+Develop!AO67+Factory!AO67</f>
        <v>18540</v>
      </c>
      <c r="AP67" s="37">
        <f>+'G&amp;A'!AP67+'S&amp;M'!AP67+Develop!AP67+Factory!AP67</f>
        <v>18540</v>
      </c>
      <c r="AQ67" s="37"/>
      <c r="AR67" s="37">
        <f t="shared" ref="AR67:AR71" si="197">SUM(E67:P67)</f>
        <v>108000</v>
      </c>
      <c r="AS67" s="37">
        <f t="shared" ref="AS67:AS71" si="198">SUM(E67:G67)</f>
        <v>27000</v>
      </c>
      <c r="AT67" s="37">
        <f t="shared" ref="AT67:AT71" si="199">SUM(H67:J67)</f>
        <v>27000</v>
      </c>
      <c r="AU67" s="37">
        <f t="shared" ref="AU67:AU71" si="200">SUM(K67:M67)</f>
        <v>27000</v>
      </c>
      <c r="AV67" s="37">
        <f t="shared" ref="AV67:AV71" si="201">SUM(N67:P67)</f>
        <v>27000</v>
      </c>
      <c r="AW67" s="37"/>
      <c r="AX67" s="37">
        <f t="shared" ref="AX67:AX71" si="202">SUM(R67:AC67)</f>
        <v>216000</v>
      </c>
      <c r="AY67" s="37">
        <f t="shared" ref="AY67:AY71" si="203">SUM(R67:T67)</f>
        <v>54000</v>
      </c>
      <c r="AZ67" s="37">
        <f t="shared" ref="AZ67:AZ71" si="204">SUM(U67:W67)</f>
        <v>54000</v>
      </c>
      <c r="BA67" s="37">
        <f t="shared" ref="BA67:BA71" si="205">SUM(X67:Z67)</f>
        <v>54000</v>
      </c>
      <c r="BB67" s="37">
        <f t="shared" ref="BB67:BB71" si="206">SUM(AA67:AC67)</f>
        <v>54000</v>
      </c>
      <c r="BC67" s="37"/>
      <c r="BD67" s="37">
        <f t="shared" ref="BD67:BD71" si="207">SUM(AE67:AP67)</f>
        <v>222480</v>
      </c>
      <c r="BE67" s="37">
        <f t="shared" ref="BE67:BE71" si="208">SUM(AE67:AG67)</f>
        <v>55620</v>
      </c>
      <c r="BF67" s="37">
        <f t="shared" ref="BF67:BF71" si="209">SUM(AH67:AJ67)</f>
        <v>55620</v>
      </c>
      <c r="BG67" s="37">
        <f t="shared" ref="BG67:BG71" si="210">SUM(AK67:AM67)</f>
        <v>55620</v>
      </c>
      <c r="BH67" s="37">
        <f t="shared" ref="BH67:BH71" si="211">SUM(AN67:AP67)</f>
        <v>55620</v>
      </c>
    </row>
    <row r="68" spans="1:60" s="16" customFormat="1" x14ac:dyDescent="0.25">
      <c r="B68" s="16" t="s">
        <v>51</v>
      </c>
      <c r="E68" s="37">
        <f>+'G&amp;A'!E68+'S&amp;M'!E68+Develop!E68+Factory!E68</f>
        <v>3900</v>
      </c>
      <c r="F68" s="37">
        <f>+'G&amp;A'!F68+'S&amp;M'!F68+Develop!F68+Factory!F68</f>
        <v>3900</v>
      </c>
      <c r="G68" s="37">
        <f>+'G&amp;A'!G68+'S&amp;M'!G68+Develop!G68+Factory!G68</f>
        <v>3900</v>
      </c>
      <c r="H68" s="37">
        <f>+'G&amp;A'!H68+'S&amp;M'!H68+Develop!H68+Factory!H68</f>
        <v>3900</v>
      </c>
      <c r="I68" s="37">
        <f>+'G&amp;A'!I68+'S&amp;M'!I68+Develop!I68+Factory!I68</f>
        <v>3900</v>
      </c>
      <c r="J68" s="37">
        <f>+'G&amp;A'!J68+'S&amp;M'!J68+Develop!J68+Factory!J68</f>
        <v>3900</v>
      </c>
      <c r="K68" s="37">
        <f>+'G&amp;A'!K68+'S&amp;M'!K68+Develop!K68+Factory!K68</f>
        <v>3900</v>
      </c>
      <c r="L68" s="37">
        <f>+'G&amp;A'!L68+'S&amp;M'!L68+Develop!L68+Factory!L68</f>
        <v>3900</v>
      </c>
      <c r="M68" s="37">
        <f>+'G&amp;A'!M68+'S&amp;M'!M68+Develop!M68+Factory!M68</f>
        <v>3900</v>
      </c>
      <c r="N68" s="37">
        <f>+'G&amp;A'!N68+'S&amp;M'!N68+Develop!N68+Factory!N68</f>
        <v>3900</v>
      </c>
      <c r="O68" s="37">
        <f>+'G&amp;A'!O68+'S&amp;M'!O68+Develop!O68+Factory!O68</f>
        <v>3900</v>
      </c>
      <c r="P68" s="37">
        <f>+'G&amp;A'!P68+'S&amp;M'!P68+Develop!P68+Factory!P68</f>
        <v>3900</v>
      </c>
      <c r="Q68" s="37"/>
      <c r="R68" s="37">
        <f>+'G&amp;A'!R68+'S&amp;M'!R68+Develop!R68+Factory!R68</f>
        <v>7800</v>
      </c>
      <c r="S68" s="37">
        <f>+'G&amp;A'!S68+'S&amp;M'!S68+Develop!S68+Factory!S68</f>
        <v>7800</v>
      </c>
      <c r="T68" s="37">
        <f>+'G&amp;A'!T68+'S&amp;M'!T68+Develop!T68+Factory!T68</f>
        <v>7800</v>
      </c>
      <c r="U68" s="37">
        <f>+'G&amp;A'!U68+'S&amp;M'!U68+Develop!U68+Factory!U68</f>
        <v>7800</v>
      </c>
      <c r="V68" s="37">
        <f>+'G&amp;A'!V68+'S&amp;M'!V68+Develop!V68+Factory!V68</f>
        <v>7800</v>
      </c>
      <c r="W68" s="37">
        <f>+'G&amp;A'!W68+'S&amp;M'!W68+Develop!W68+Factory!W68</f>
        <v>7800</v>
      </c>
      <c r="X68" s="37">
        <f>+'G&amp;A'!X68+'S&amp;M'!X68+Develop!X68+Factory!X68</f>
        <v>7800</v>
      </c>
      <c r="Y68" s="37">
        <f>+'G&amp;A'!Y68+'S&amp;M'!Y68+Develop!Y68+Factory!Y68</f>
        <v>7800</v>
      </c>
      <c r="Z68" s="37">
        <f>+'G&amp;A'!Z68+'S&amp;M'!Z68+Develop!Z68+Factory!Z68</f>
        <v>7800</v>
      </c>
      <c r="AA68" s="37">
        <f>+'G&amp;A'!AA68+'S&amp;M'!AA68+Develop!AA68+Factory!AA68</f>
        <v>7800</v>
      </c>
      <c r="AB68" s="37">
        <f>+'G&amp;A'!AB68+'S&amp;M'!AB68+Develop!AB68+Factory!AB68</f>
        <v>7800</v>
      </c>
      <c r="AC68" s="37">
        <f>+'G&amp;A'!AC68+'S&amp;M'!AC68+Develop!AC68+Factory!AC68</f>
        <v>7800</v>
      </c>
      <c r="AD68" s="37"/>
      <c r="AE68" s="37">
        <f>+'G&amp;A'!AE68+'S&amp;M'!AE68+Develop!AE68+Factory!AE68</f>
        <v>8034</v>
      </c>
      <c r="AF68" s="37">
        <f>+'G&amp;A'!AF68+'S&amp;M'!AF68+Develop!AF68+Factory!AF68</f>
        <v>8034</v>
      </c>
      <c r="AG68" s="37">
        <f>+'G&amp;A'!AG68+'S&amp;M'!AG68+Develop!AG68+Factory!AG68</f>
        <v>8034</v>
      </c>
      <c r="AH68" s="37">
        <f>+'G&amp;A'!AH68+'S&amp;M'!AH68+Develop!AH68+Factory!AH68</f>
        <v>8034</v>
      </c>
      <c r="AI68" s="37">
        <f>+'G&amp;A'!AI68+'S&amp;M'!AI68+Develop!AI68+Factory!AI68</f>
        <v>8034</v>
      </c>
      <c r="AJ68" s="37">
        <f>+'G&amp;A'!AJ68+'S&amp;M'!AJ68+Develop!AJ68+Factory!AJ68</f>
        <v>8034</v>
      </c>
      <c r="AK68" s="37">
        <f>+'G&amp;A'!AK68+'S&amp;M'!AK68+Develop!AK68+Factory!AK68</f>
        <v>8034</v>
      </c>
      <c r="AL68" s="37">
        <f>+'G&amp;A'!AL68+'S&amp;M'!AL68+Develop!AL68+Factory!AL68</f>
        <v>8034</v>
      </c>
      <c r="AM68" s="37">
        <f>+'G&amp;A'!AM68+'S&amp;M'!AM68+Develop!AM68+Factory!AM68</f>
        <v>8034</v>
      </c>
      <c r="AN68" s="37">
        <f>+'G&amp;A'!AN68+'S&amp;M'!AN68+Develop!AN68+Factory!AN68</f>
        <v>8034</v>
      </c>
      <c r="AO68" s="37">
        <f>+'G&amp;A'!AO68+'S&amp;M'!AO68+Develop!AO68+Factory!AO68</f>
        <v>8034</v>
      </c>
      <c r="AP68" s="37">
        <f>+'G&amp;A'!AP68+'S&amp;M'!AP68+Develop!AP68+Factory!AP68</f>
        <v>8034</v>
      </c>
      <c r="AQ68" s="37"/>
      <c r="AR68" s="37">
        <f t="shared" si="197"/>
        <v>46800</v>
      </c>
      <c r="AS68" s="37">
        <f t="shared" si="198"/>
        <v>11700</v>
      </c>
      <c r="AT68" s="37">
        <f t="shared" si="199"/>
        <v>11700</v>
      </c>
      <c r="AU68" s="37">
        <f t="shared" si="200"/>
        <v>11700</v>
      </c>
      <c r="AV68" s="37">
        <f t="shared" si="201"/>
        <v>11700</v>
      </c>
      <c r="AW68" s="37"/>
      <c r="AX68" s="37">
        <f t="shared" si="202"/>
        <v>93600</v>
      </c>
      <c r="AY68" s="37">
        <f t="shared" si="203"/>
        <v>23400</v>
      </c>
      <c r="AZ68" s="37">
        <f t="shared" si="204"/>
        <v>23400</v>
      </c>
      <c r="BA68" s="37">
        <f t="shared" si="205"/>
        <v>23400</v>
      </c>
      <c r="BB68" s="37">
        <f t="shared" si="206"/>
        <v>23400</v>
      </c>
      <c r="BC68" s="37"/>
      <c r="BD68" s="37">
        <f t="shared" si="207"/>
        <v>96408</v>
      </c>
      <c r="BE68" s="37">
        <f t="shared" si="208"/>
        <v>24102</v>
      </c>
      <c r="BF68" s="37">
        <f t="shared" si="209"/>
        <v>24102</v>
      </c>
      <c r="BG68" s="37">
        <f t="shared" si="210"/>
        <v>24102</v>
      </c>
      <c r="BH68" s="37">
        <f t="shared" si="211"/>
        <v>24102</v>
      </c>
    </row>
    <row r="69" spans="1:60" s="16" customFormat="1" x14ac:dyDescent="0.25">
      <c r="B69" s="16" t="s">
        <v>52</v>
      </c>
      <c r="E69" s="37">
        <f>+'G&amp;A'!E69+'S&amp;M'!E69+Develop!E69+Factory!E69</f>
        <v>370</v>
      </c>
      <c r="F69" s="37">
        <f>+'G&amp;A'!F69+'S&amp;M'!F69+Develop!F69+Factory!F69</f>
        <v>370</v>
      </c>
      <c r="G69" s="37">
        <f>+'G&amp;A'!G69+'S&amp;M'!G69+Develop!G69+Factory!G69</f>
        <v>370</v>
      </c>
      <c r="H69" s="37">
        <f>+'G&amp;A'!H69+'S&amp;M'!H69+Develop!H69+Factory!H69</f>
        <v>370</v>
      </c>
      <c r="I69" s="37">
        <f>+'G&amp;A'!I69+'S&amp;M'!I69+Develop!I69+Factory!I69</f>
        <v>370</v>
      </c>
      <c r="J69" s="37">
        <f>+'G&amp;A'!J69+'S&amp;M'!J69+Develop!J69+Factory!J69</f>
        <v>370</v>
      </c>
      <c r="K69" s="37">
        <f>+'G&amp;A'!K69+'S&amp;M'!K69+Develop!K69+Factory!K69</f>
        <v>370</v>
      </c>
      <c r="L69" s="37">
        <f>+'G&amp;A'!L69+'S&amp;M'!L69+Develop!L69+Factory!L69</f>
        <v>370</v>
      </c>
      <c r="M69" s="37">
        <f>+'G&amp;A'!M69+'S&amp;M'!M69+Develop!M69+Factory!M69</f>
        <v>370</v>
      </c>
      <c r="N69" s="37">
        <f>+'G&amp;A'!N69+'S&amp;M'!N69+Develop!N69+Factory!N69</f>
        <v>370</v>
      </c>
      <c r="O69" s="37">
        <f>+'G&amp;A'!O69+'S&amp;M'!O69+Develop!O69+Factory!O69</f>
        <v>370</v>
      </c>
      <c r="P69" s="37">
        <f>+'G&amp;A'!P69+'S&amp;M'!P69+Develop!P69+Factory!P69</f>
        <v>370</v>
      </c>
      <c r="Q69" s="37"/>
      <c r="R69" s="37">
        <f>+'G&amp;A'!R69+'S&amp;M'!R69+Develop!R69+Factory!R69</f>
        <v>370</v>
      </c>
      <c r="S69" s="37">
        <f>+'G&amp;A'!S69+'S&amp;M'!S69+Develop!S69+Factory!S69</f>
        <v>370</v>
      </c>
      <c r="T69" s="37">
        <f>+'G&amp;A'!T69+'S&amp;M'!T69+Develop!T69+Factory!T69</f>
        <v>370</v>
      </c>
      <c r="U69" s="37">
        <f>+'G&amp;A'!U69+'S&amp;M'!U69+Develop!U69+Factory!U69</f>
        <v>370</v>
      </c>
      <c r="V69" s="37">
        <f>+'G&amp;A'!V69+'S&amp;M'!V69+Develop!V69+Factory!V69</f>
        <v>370</v>
      </c>
      <c r="W69" s="37">
        <f>+'G&amp;A'!W69+'S&amp;M'!W69+Develop!W69+Factory!W69</f>
        <v>370</v>
      </c>
      <c r="X69" s="37">
        <f>+'G&amp;A'!X69+'S&amp;M'!X69+Develop!X69+Factory!X69</f>
        <v>370</v>
      </c>
      <c r="Y69" s="37">
        <f>+'G&amp;A'!Y69+'S&amp;M'!Y69+Develop!Y69+Factory!Y69</f>
        <v>370</v>
      </c>
      <c r="Z69" s="37">
        <f>+'G&amp;A'!Z69+'S&amp;M'!Z69+Develop!Z69+Factory!Z69</f>
        <v>370</v>
      </c>
      <c r="AA69" s="37">
        <f>+'G&amp;A'!AA69+'S&amp;M'!AA69+Develop!AA69+Factory!AA69</f>
        <v>370</v>
      </c>
      <c r="AB69" s="37">
        <f>+'G&amp;A'!AB69+'S&amp;M'!AB69+Develop!AB69+Factory!AB69</f>
        <v>370</v>
      </c>
      <c r="AC69" s="37">
        <f>+'G&amp;A'!AC69+'S&amp;M'!AC69+Develop!AC69+Factory!AC69</f>
        <v>370</v>
      </c>
      <c r="AD69" s="37"/>
      <c r="AE69" s="37">
        <f>+'G&amp;A'!AE69+'S&amp;M'!AE69+Develop!AE69+Factory!AE69</f>
        <v>388.5</v>
      </c>
      <c r="AF69" s="37">
        <f>+'G&amp;A'!AF69+'S&amp;M'!AF69+Develop!AF69+Factory!AF69</f>
        <v>388.5</v>
      </c>
      <c r="AG69" s="37">
        <f>+'G&amp;A'!AG69+'S&amp;M'!AG69+Develop!AG69+Factory!AG69</f>
        <v>388.5</v>
      </c>
      <c r="AH69" s="37">
        <f>+'G&amp;A'!AH69+'S&amp;M'!AH69+Develop!AH69+Factory!AH69</f>
        <v>388.5</v>
      </c>
      <c r="AI69" s="37">
        <f>+'G&amp;A'!AI69+'S&amp;M'!AI69+Develop!AI69+Factory!AI69</f>
        <v>388.5</v>
      </c>
      <c r="AJ69" s="37">
        <f>+'G&amp;A'!AJ69+'S&amp;M'!AJ69+Develop!AJ69+Factory!AJ69</f>
        <v>388.5</v>
      </c>
      <c r="AK69" s="37">
        <f>+'G&amp;A'!AK69+'S&amp;M'!AK69+Develop!AK69+Factory!AK69</f>
        <v>388.5</v>
      </c>
      <c r="AL69" s="37">
        <f>+'G&amp;A'!AL69+'S&amp;M'!AL69+Develop!AL69+Factory!AL69</f>
        <v>388.5</v>
      </c>
      <c r="AM69" s="37">
        <f>+'G&amp;A'!AM69+'S&amp;M'!AM69+Develop!AM69+Factory!AM69</f>
        <v>388.5</v>
      </c>
      <c r="AN69" s="37">
        <f>+'G&amp;A'!AN69+'S&amp;M'!AN69+Develop!AN69+Factory!AN69</f>
        <v>388.5</v>
      </c>
      <c r="AO69" s="37">
        <f>+'G&amp;A'!AO69+'S&amp;M'!AO69+Develop!AO69+Factory!AO69</f>
        <v>388.5</v>
      </c>
      <c r="AP69" s="37">
        <f>+'G&amp;A'!AP69+'S&amp;M'!AP69+Develop!AP69+Factory!AP69</f>
        <v>388.5</v>
      </c>
      <c r="AQ69" s="37"/>
      <c r="AR69" s="37">
        <f t="shared" si="197"/>
        <v>4440</v>
      </c>
      <c r="AS69" s="37">
        <f t="shared" si="198"/>
        <v>1110</v>
      </c>
      <c r="AT69" s="37">
        <f t="shared" si="199"/>
        <v>1110</v>
      </c>
      <c r="AU69" s="37">
        <f t="shared" si="200"/>
        <v>1110</v>
      </c>
      <c r="AV69" s="37">
        <f t="shared" si="201"/>
        <v>1110</v>
      </c>
      <c r="AW69" s="37"/>
      <c r="AX69" s="37">
        <f t="shared" si="202"/>
        <v>4440</v>
      </c>
      <c r="AY69" s="37">
        <f t="shared" si="203"/>
        <v>1110</v>
      </c>
      <c r="AZ69" s="37">
        <f t="shared" si="204"/>
        <v>1110</v>
      </c>
      <c r="BA69" s="37">
        <f t="shared" si="205"/>
        <v>1110</v>
      </c>
      <c r="BB69" s="37">
        <f t="shared" si="206"/>
        <v>1110</v>
      </c>
      <c r="BC69" s="37"/>
      <c r="BD69" s="37">
        <f t="shared" si="207"/>
        <v>4662</v>
      </c>
      <c r="BE69" s="37">
        <f t="shared" si="208"/>
        <v>1165.5</v>
      </c>
      <c r="BF69" s="37">
        <f t="shared" si="209"/>
        <v>1165.5</v>
      </c>
      <c r="BG69" s="37">
        <f t="shared" si="210"/>
        <v>1165.5</v>
      </c>
      <c r="BH69" s="37">
        <f t="shared" si="211"/>
        <v>1165.5</v>
      </c>
    </row>
    <row r="70" spans="1:60" s="16" customFormat="1" x14ac:dyDescent="0.25">
      <c r="B70" s="16" t="s">
        <v>206</v>
      </c>
      <c r="E70" s="37">
        <f>+'G&amp;A'!E70+'S&amp;M'!E70+Develop!E70+Factory!E70</f>
        <v>1500</v>
      </c>
      <c r="F70" s="37">
        <f>+'G&amp;A'!F70+'S&amp;M'!F70+Develop!F70+Factory!F70</f>
        <v>1500</v>
      </c>
      <c r="G70" s="37">
        <f>+'G&amp;A'!G70+'S&amp;M'!G70+Develop!G70+Factory!G70</f>
        <v>1500</v>
      </c>
      <c r="H70" s="37">
        <f>+'G&amp;A'!H70+'S&amp;M'!H70+Develop!H70+Factory!H70</f>
        <v>1500</v>
      </c>
      <c r="I70" s="37">
        <f>+'G&amp;A'!I70+'S&amp;M'!I70+Develop!I70+Factory!I70</f>
        <v>1500</v>
      </c>
      <c r="J70" s="37">
        <f>+'G&amp;A'!J70+'S&amp;M'!J70+Develop!J70+Factory!J70</f>
        <v>1500</v>
      </c>
      <c r="K70" s="37">
        <f>+'G&amp;A'!K70+'S&amp;M'!K70+Develop!K70+Factory!K70</f>
        <v>1500</v>
      </c>
      <c r="L70" s="37">
        <f>+'G&amp;A'!L70+'S&amp;M'!L70+Develop!L70+Factory!L70</f>
        <v>1500</v>
      </c>
      <c r="M70" s="37">
        <f>+'G&amp;A'!M70+'S&amp;M'!M70+Develop!M70+Factory!M70</f>
        <v>1500</v>
      </c>
      <c r="N70" s="37">
        <f>+'G&amp;A'!N70+'S&amp;M'!N70+Develop!N70+Factory!N70</f>
        <v>1500</v>
      </c>
      <c r="O70" s="37">
        <f>+'G&amp;A'!O70+'S&amp;M'!O70+Develop!O70+Factory!O70</f>
        <v>1500</v>
      </c>
      <c r="P70" s="37">
        <f>+'G&amp;A'!P70+'S&amp;M'!P70+Develop!P70+Factory!P70</f>
        <v>1500</v>
      </c>
      <c r="Q70" s="37"/>
      <c r="R70" s="37">
        <f>+'G&amp;A'!R70+'S&amp;M'!R70+Develop!R70+Factory!R70</f>
        <v>1500</v>
      </c>
      <c r="S70" s="37">
        <f>+'G&amp;A'!S70+'S&amp;M'!S70+Develop!S70+Factory!S70</f>
        <v>1500</v>
      </c>
      <c r="T70" s="37">
        <f>+'G&amp;A'!T70+'S&amp;M'!T70+Develop!T70+Factory!T70</f>
        <v>1500</v>
      </c>
      <c r="U70" s="37">
        <f>+'G&amp;A'!U70+'S&amp;M'!U70+Develop!U70+Factory!U70</f>
        <v>1500</v>
      </c>
      <c r="V70" s="37">
        <f>+'G&amp;A'!V70+'S&amp;M'!V70+Develop!V70+Factory!V70</f>
        <v>1500</v>
      </c>
      <c r="W70" s="37">
        <f>+'G&amp;A'!W70+'S&amp;M'!W70+Develop!W70+Factory!W70</f>
        <v>1500</v>
      </c>
      <c r="X70" s="37">
        <f>+'G&amp;A'!X70+'S&amp;M'!X70+Develop!X70+Factory!X70</f>
        <v>1500</v>
      </c>
      <c r="Y70" s="37">
        <f>+'G&amp;A'!Y70+'S&amp;M'!Y70+Develop!Y70+Factory!Y70</f>
        <v>1500</v>
      </c>
      <c r="Z70" s="37">
        <f>+'G&amp;A'!Z70+'S&amp;M'!Z70+Develop!Z70+Factory!Z70</f>
        <v>1500</v>
      </c>
      <c r="AA70" s="37">
        <f>+'G&amp;A'!AA70+'S&amp;M'!AA70+Develop!AA70+Factory!AA70</f>
        <v>1500</v>
      </c>
      <c r="AB70" s="37">
        <f>+'G&amp;A'!AB70+'S&amp;M'!AB70+Develop!AB70+Factory!AB70</f>
        <v>1500</v>
      </c>
      <c r="AC70" s="37">
        <f>+'G&amp;A'!AC70+'S&amp;M'!AC70+Develop!AC70+Factory!AC70</f>
        <v>1500</v>
      </c>
      <c r="AD70" s="37"/>
      <c r="AE70" s="37">
        <f>+'G&amp;A'!AE70+'S&amp;M'!AE70+Develop!AE70+Factory!AE70</f>
        <v>1500</v>
      </c>
      <c r="AF70" s="37">
        <f>+'G&amp;A'!AF70+'S&amp;M'!AF70+Develop!AF70+Factory!AF70</f>
        <v>1500</v>
      </c>
      <c r="AG70" s="37">
        <f>+'G&amp;A'!AG70+'S&amp;M'!AG70+Develop!AG70+Factory!AG70</f>
        <v>1500</v>
      </c>
      <c r="AH70" s="37">
        <f>+'G&amp;A'!AH70+'S&amp;M'!AH70+Develop!AH70+Factory!AH70</f>
        <v>0</v>
      </c>
      <c r="AI70" s="37">
        <f>+'G&amp;A'!AI70+'S&amp;M'!AI70+Develop!AI70+Factory!AI70</f>
        <v>0</v>
      </c>
      <c r="AJ70" s="37">
        <f>+'G&amp;A'!AJ70+'S&amp;M'!AJ70+Develop!AJ70+Factory!AJ70</f>
        <v>0</v>
      </c>
      <c r="AK70" s="37">
        <f>+'G&amp;A'!AK70+'S&amp;M'!AK70+Develop!AK70+Factory!AK70</f>
        <v>0</v>
      </c>
      <c r="AL70" s="37">
        <f>+'G&amp;A'!AL70+'S&amp;M'!AL70+Develop!AL70+Factory!AL70</f>
        <v>0</v>
      </c>
      <c r="AM70" s="37">
        <f>+'G&amp;A'!AM70+'S&amp;M'!AM70+Develop!AM70+Factory!AM70</f>
        <v>0</v>
      </c>
      <c r="AN70" s="37">
        <f>+'G&amp;A'!AN70+'S&amp;M'!AN70+Develop!AN70+Factory!AN70</f>
        <v>0</v>
      </c>
      <c r="AO70" s="37">
        <f>+'G&amp;A'!AO70+'S&amp;M'!AO70+Develop!AO70+Factory!AO70</f>
        <v>0</v>
      </c>
      <c r="AP70" s="37">
        <f>+'G&amp;A'!AP70+'S&amp;M'!AP70+Develop!AP70+Factory!AP70</f>
        <v>0</v>
      </c>
      <c r="AQ70" s="37"/>
      <c r="AR70" s="37">
        <f t="shared" si="197"/>
        <v>18000</v>
      </c>
      <c r="AS70" s="37">
        <f t="shared" si="198"/>
        <v>4500</v>
      </c>
      <c r="AT70" s="37">
        <f t="shared" si="199"/>
        <v>4500</v>
      </c>
      <c r="AU70" s="37">
        <f t="shared" si="200"/>
        <v>4500</v>
      </c>
      <c r="AV70" s="37">
        <f t="shared" si="201"/>
        <v>4500</v>
      </c>
      <c r="AW70" s="37"/>
      <c r="AX70" s="37">
        <f t="shared" si="202"/>
        <v>18000</v>
      </c>
      <c r="AY70" s="37">
        <f t="shared" si="203"/>
        <v>4500</v>
      </c>
      <c r="AZ70" s="37">
        <f t="shared" si="204"/>
        <v>4500</v>
      </c>
      <c r="BA70" s="37">
        <f t="shared" si="205"/>
        <v>4500</v>
      </c>
      <c r="BB70" s="37">
        <f t="shared" si="206"/>
        <v>4500</v>
      </c>
      <c r="BC70" s="37"/>
      <c r="BD70" s="37">
        <f t="shared" si="207"/>
        <v>4500</v>
      </c>
      <c r="BE70" s="37">
        <f t="shared" si="208"/>
        <v>4500</v>
      </c>
      <c r="BF70" s="37">
        <f t="shared" si="209"/>
        <v>0</v>
      </c>
      <c r="BG70" s="37">
        <f t="shared" si="210"/>
        <v>0</v>
      </c>
      <c r="BH70" s="37">
        <f t="shared" si="211"/>
        <v>0</v>
      </c>
    </row>
    <row r="71" spans="1:60" s="16" customFormat="1" x14ac:dyDescent="0.25">
      <c r="B71" s="16" t="s">
        <v>53</v>
      </c>
      <c r="E71" s="37">
        <f>+'G&amp;A'!E71+'S&amp;M'!E71+Develop!E71+Factory!E71</f>
        <v>3799</v>
      </c>
      <c r="F71" s="37">
        <f>+'G&amp;A'!F71+'S&amp;M'!F71+Develop!F71+Factory!F71</f>
        <v>3799</v>
      </c>
      <c r="G71" s="37">
        <f>+'G&amp;A'!G71+'S&amp;M'!G71+Develop!G71+Factory!G71</f>
        <v>3799</v>
      </c>
      <c r="H71" s="37">
        <f>+'G&amp;A'!H71+'S&amp;M'!H71+Develop!H71+Factory!H71</f>
        <v>5298.0025252525256</v>
      </c>
      <c r="I71" s="37">
        <f>+'G&amp;A'!I71+'S&amp;M'!I71+Develop!I71+Factory!I71</f>
        <v>5298.0025252525256</v>
      </c>
      <c r="J71" s="37">
        <f>+'G&amp;A'!J71+'S&amp;M'!J71+Develop!J71+Factory!J71</f>
        <v>5298.0025252525256</v>
      </c>
      <c r="K71" s="37">
        <f>+'G&amp;A'!K71+'S&amp;M'!K71+Develop!K71+Factory!K71</f>
        <v>5298.0025252525256</v>
      </c>
      <c r="L71" s="37">
        <f>+'G&amp;A'!L71+'S&amp;M'!L71+Develop!L71+Factory!L71</f>
        <v>5298.0025252525256</v>
      </c>
      <c r="M71" s="37">
        <f>+'G&amp;A'!M71+'S&amp;M'!M71+Develop!M71+Factory!M71</f>
        <v>5298.0025252525256</v>
      </c>
      <c r="N71" s="37">
        <f>+'G&amp;A'!N71+'S&amp;M'!N71+Develop!N71+Factory!N71</f>
        <v>5298.0025252525256</v>
      </c>
      <c r="O71" s="37">
        <f>+'G&amp;A'!O71+'S&amp;M'!O71+Develop!O71+Factory!O71</f>
        <v>5298.0025252525256</v>
      </c>
      <c r="P71" s="37">
        <f>+'G&amp;A'!P71+'S&amp;M'!P71+Develop!P71+Factory!P71</f>
        <v>5298.0025252525256</v>
      </c>
      <c r="Q71" s="37"/>
      <c r="R71" s="37">
        <f>+'G&amp;A'!R71+'S&amp;M'!R71+Develop!R71+Factory!R71</f>
        <v>5459.1136363636369</v>
      </c>
      <c r="S71" s="37">
        <f>+'G&amp;A'!S71+'S&amp;M'!S71+Develop!S71+Factory!S71</f>
        <v>5459.1136363636369</v>
      </c>
      <c r="T71" s="37">
        <f>+'G&amp;A'!T71+'S&amp;M'!T71+Develop!T71+Factory!T71</f>
        <v>5459.1136363636369</v>
      </c>
      <c r="U71" s="37">
        <f>+'G&amp;A'!U71+'S&amp;M'!U71+Develop!U71+Factory!U71</f>
        <v>5459.1136363636369</v>
      </c>
      <c r="V71" s="37">
        <f>+'G&amp;A'!V71+'S&amp;M'!V71+Develop!V71+Factory!V71</f>
        <v>5459.1136363636369</v>
      </c>
      <c r="W71" s="37">
        <f>+'G&amp;A'!W71+'S&amp;M'!W71+Develop!W71+Factory!W71</f>
        <v>5459.1136363636369</v>
      </c>
      <c r="X71" s="37">
        <f>+'G&amp;A'!X71+'S&amp;M'!X71+Develop!X71+Factory!X71</f>
        <v>5459.1136363636369</v>
      </c>
      <c r="Y71" s="37">
        <f>+'G&amp;A'!Y71+'S&amp;M'!Y71+Develop!Y71+Factory!Y71</f>
        <v>5459.1136363636369</v>
      </c>
      <c r="Z71" s="37">
        <f>+'G&amp;A'!Z71+'S&amp;M'!Z71+Develop!Z71+Factory!Z71</f>
        <v>5459.1136363636369</v>
      </c>
      <c r="AA71" s="37">
        <f>+'G&amp;A'!AA71+'S&amp;M'!AA71+Develop!AA71+Factory!AA71</f>
        <v>5459.1136363636369</v>
      </c>
      <c r="AB71" s="37">
        <f>+'G&amp;A'!AB71+'S&amp;M'!AB71+Develop!AB71+Factory!AB71</f>
        <v>5459.1136363636369</v>
      </c>
      <c r="AC71" s="37">
        <f>+'G&amp;A'!AC71+'S&amp;M'!AC71+Develop!AC71+Factory!AC71</f>
        <v>5459.1136363636369</v>
      </c>
      <c r="AD71" s="37"/>
      <c r="AE71" s="37">
        <f>+'G&amp;A'!AE71+'S&amp;M'!AE71+Develop!AE71+Factory!AE71</f>
        <v>5459.1136363636369</v>
      </c>
      <c r="AF71" s="37">
        <f>+'G&amp;A'!AF71+'S&amp;M'!AF71+Develop!AF71+Factory!AF71</f>
        <v>5459.1136363636369</v>
      </c>
      <c r="AG71" s="37">
        <f>+'G&amp;A'!AG71+'S&amp;M'!AG71+Develop!AG71+Factory!AG71</f>
        <v>5459.1136363636369</v>
      </c>
      <c r="AH71" s="37">
        <f>+'G&amp;A'!AH71+'S&amp;M'!AH71+Develop!AH71+Factory!AH71</f>
        <v>5459.1136363636369</v>
      </c>
      <c r="AI71" s="37">
        <f>+'G&amp;A'!AI71+'S&amp;M'!AI71+Develop!AI71+Factory!AI71</f>
        <v>5459.1136363636369</v>
      </c>
      <c r="AJ71" s="37">
        <f>+'G&amp;A'!AJ71+'S&amp;M'!AJ71+Develop!AJ71+Factory!AJ71</f>
        <v>11292.44696969697</v>
      </c>
      <c r="AK71" s="37">
        <f>+'G&amp;A'!AK71+'S&amp;M'!AK71+Develop!AK71+Factory!AK71</f>
        <v>11292.44696969697</v>
      </c>
      <c r="AL71" s="37">
        <f>+'G&amp;A'!AL71+'S&amp;M'!AL71+Develop!AL71+Factory!AL71</f>
        <v>11292.44696969697</v>
      </c>
      <c r="AM71" s="37">
        <f>+'G&amp;A'!AM71+'S&amp;M'!AM71+Develop!AM71+Factory!AM71</f>
        <v>11292.44696969697</v>
      </c>
      <c r="AN71" s="37">
        <f>+'G&amp;A'!AN71+'S&amp;M'!AN71+Develop!AN71+Factory!AN71</f>
        <v>11292.44696969697</v>
      </c>
      <c r="AO71" s="37">
        <f>+'G&amp;A'!AO71+'S&amp;M'!AO71+Develop!AO71+Factory!AO71</f>
        <v>11292.44696969697</v>
      </c>
      <c r="AP71" s="37">
        <f>+'G&amp;A'!AP71+'S&amp;M'!AP71+Develop!AP71+Factory!AP71</f>
        <v>11292.44696969697</v>
      </c>
      <c r="AQ71" s="37"/>
      <c r="AR71" s="37">
        <f t="shared" si="197"/>
        <v>59079.022727272721</v>
      </c>
      <c r="AS71" s="37">
        <f t="shared" si="198"/>
        <v>11397</v>
      </c>
      <c r="AT71" s="37">
        <f t="shared" si="199"/>
        <v>15894.007575757576</v>
      </c>
      <c r="AU71" s="37">
        <f t="shared" si="200"/>
        <v>15894.007575757576</v>
      </c>
      <c r="AV71" s="37">
        <f t="shared" si="201"/>
        <v>15894.007575757576</v>
      </c>
      <c r="AW71" s="37"/>
      <c r="AX71" s="37">
        <f t="shared" si="202"/>
        <v>65509.363636363654</v>
      </c>
      <c r="AY71" s="37">
        <f t="shared" si="203"/>
        <v>16377.340909090912</v>
      </c>
      <c r="AZ71" s="37">
        <f t="shared" si="204"/>
        <v>16377.340909090912</v>
      </c>
      <c r="BA71" s="37">
        <f t="shared" si="205"/>
        <v>16377.340909090912</v>
      </c>
      <c r="BB71" s="37">
        <f t="shared" si="206"/>
        <v>16377.340909090912</v>
      </c>
      <c r="BC71" s="37"/>
      <c r="BD71" s="37">
        <f t="shared" si="207"/>
        <v>106342.69696969699</v>
      </c>
      <c r="BE71" s="37">
        <f t="shared" si="208"/>
        <v>16377.340909090912</v>
      </c>
      <c r="BF71" s="37">
        <f t="shared" si="209"/>
        <v>22210.674242424244</v>
      </c>
      <c r="BG71" s="37">
        <f t="shared" si="210"/>
        <v>33877.340909090912</v>
      </c>
      <c r="BH71" s="37">
        <f t="shared" si="211"/>
        <v>33877.340909090912</v>
      </c>
    </row>
    <row r="72" spans="1:60" s="16" customFormat="1" x14ac:dyDescent="0.25">
      <c r="E72" s="37"/>
      <c r="F72" s="37"/>
      <c r="G72" s="37"/>
      <c r="H72" s="37"/>
      <c r="I72" s="37"/>
      <c r="J72" s="37"/>
      <c r="K72" s="37"/>
      <c r="L72" s="37"/>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row>
    <row r="73" spans="1:60" s="16" customFormat="1" x14ac:dyDescent="0.25">
      <c r="B73" s="16" t="s">
        <v>54</v>
      </c>
      <c r="E73" s="38">
        <f>SUBTOTAL(9,E67:E72)</f>
        <v>18569</v>
      </c>
      <c r="F73" s="38">
        <f t="shared" ref="F73:P73" si="212">SUBTOTAL(9,F67:F72)</f>
        <v>18569</v>
      </c>
      <c r="G73" s="38">
        <f t="shared" si="212"/>
        <v>18569</v>
      </c>
      <c r="H73" s="38">
        <f t="shared" si="212"/>
        <v>20068.002525252527</v>
      </c>
      <c r="I73" s="38">
        <f t="shared" si="212"/>
        <v>20068.002525252527</v>
      </c>
      <c r="J73" s="38">
        <f t="shared" si="212"/>
        <v>20068.002525252527</v>
      </c>
      <c r="K73" s="38">
        <f t="shared" si="212"/>
        <v>20068.002525252527</v>
      </c>
      <c r="L73" s="38">
        <f t="shared" si="212"/>
        <v>20068.002525252527</v>
      </c>
      <c r="M73" s="38">
        <f t="shared" si="212"/>
        <v>20068.002525252527</v>
      </c>
      <c r="N73" s="38">
        <f t="shared" si="212"/>
        <v>20068.002525252527</v>
      </c>
      <c r="O73" s="38">
        <f t="shared" si="212"/>
        <v>20068.002525252527</v>
      </c>
      <c r="P73" s="38">
        <f t="shared" si="212"/>
        <v>20068.002525252527</v>
      </c>
      <c r="Q73" s="37"/>
      <c r="R73" s="38">
        <f>SUBTOTAL(9,R67:R72)</f>
        <v>33129.11363636364</v>
      </c>
      <c r="S73" s="38">
        <f t="shared" ref="S73:AC73" si="213">SUBTOTAL(9,S67:S72)</f>
        <v>33129.11363636364</v>
      </c>
      <c r="T73" s="38">
        <f t="shared" si="213"/>
        <v>33129.11363636364</v>
      </c>
      <c r="U73" s="38">
        <f t="shared" si="213"/>
        <v>33129.11363636364</v>
      </c>
      <c r="V73" s="38">
        <f t="shared" si="213"/>
        <v>33129.11363636364</v>
      </c>
      <c r="W73" s="38">
        <f t="shared" si="213"/>
        <v>33129.11363636364</v>
      </c>
      <c r="X73" s="38">
        <f t="shared" si="213"/>
        <v>33129.11363636364</v>
      </c>
      <c r="Y73" s="38">
        <f t="shared" si="213"/>
        <v>33129.11363636364</v>
      </c>
      <c r="Z73" s="38">
        <f t="shared" si="213"/>
        <v>33129.11363636364</v>
      </c>
      <c r="AA73" s="38">
        <f t="shared" si="213"/>
        <v>33129.11363636364</v>
      </c>
      <c r="AB73" s="38">
        <f t="shared" si="213"/>
        <v>33129.11363636364</v>
      </c>
      <c r="AC73" s="38">
        <f t="shared" si="213"/>
        <v>33129.11363636364</v>
      </c>
      <c r="AD73" s="37"/>
      <c r="AE73" s="38">
        <f>SUBTOTAL(9,AE67:AE72)</f>
        <v>33921.61363636364</v>
      </c>
      <c r="AF73" s="38">
        <f t="shared" ref="AF73:AP73" si="214">SUBTOTAL(9,AF67:AF72)</f>
        <v>33921.61363636364</v>
      </c>
      <c r="AG73" s="38">
        <f t="shared" si="214"/>
        <v>33921.61363636364</v>
      </c>
      <c r="AH73" s="38">
        <f t="shared" si="214"/>
        <v>32421.613636363636</v>
      </c>
      <c r="AI73" s="38">
        <f t="shared" si="214"/>
        <v>32421.613636363636</v>
      </c>
      <c r="AJ73" s="38">
        <f t="shared" si="214"/>
        <v>38254.946969696968</v>
      </c>
      <c r="AK73" s="38">
        <f t="shared" si="214"/>
        <v>38254.946969696968</v>
      </c>
      <c r="AL73" s="38">
        <f t="shared" si="214"/>
        <v>38254.946969696968</v>
      </c>
      <c r="AM73" s="38">
        <f t="shared" si="214"/>
        <v>38254.946969696968</v>
      </c>
      <c r="AN73" s="38">
        <f t="shared" si="214"/>
        <v>38254.946969696968</v>
      </c>
      <c r="AO73" s="38">
        <f t="shared" si="214"/>
        <v>38254.946969696968</v>
      </c>
      <c r="AP73" s="38">
        <f t="shared" si="214"/>
        <v>38254.946969696968</v>
      </c>
      <c r="AQ73" s="37"/>
      <c r="AR73" s="38">
        <f t="shared" ref="AR73:AV73" si="215">SUBTOTAL(9,AR67:AR72)</f>
        <v>236319.02272727271</v>
      </c>
      <c r="AS73" s="38">
        <f t="shared" si="215"/>
        <v>55707</v>
      </c>
      <c r="AT73" s="38">
        <f t="shared" si="215"/>
        <v>60204.007575757576</v>
      </c>
      <c r="AU73" s="38">
        <f t="shared" si="215"/>
        <v>60204.007575757576</v>
      </c>
      <c r="AV73" s="38">
        <f t="shared" si="215"/>
        <v>60204.007575757576</v>
      </c>
      <c r="AW73" s="37"/>
      <c r="AX73" s="38">
        <f t="shared" ref="AX73:BB73" si="216">SUBTOTAL(9,AX67:AX72)</f>
        <v>397549.36363636365</v>
      </c>
      <c r="AY73" s="38">
        <f t="shared" si="216"/>
        <v>99387.340909090912</v>
      </c>
      <c r="AZ73" s="38">
        <f t="shared" si="216"/>
        <v>99387.340909090912</v>
      </c>
      <c r="BA73" s="38">
        <f t="shared" si="216"/>
        <v>99387.340909090912</v>
      </c>
      <c r="BB73" s="38">
        <f t="shared" si="216"/>
        <v>99387.340909090912</v>
      </c>
      <c r="BC73" s="37"/>
      <c r="BD73" s="38">
        <f t="shared" ref="BD73:BH73" si="217">SUBTOTAL(9,BD67:BD72)</f>
        <v>434392.69696969702</v>
      </c>
      <c r="BE73" s="38">
        <f t="shared" si="217"/>
        <v>101764.84090909091</v>
      </c>
      <c r="BF73" s="38">
        <f t="shared" si="217"/>
        <v>103098.17424242424</v>
      </c>
      <c r="BG73" s="38">
        <f t="shared" si="217"/>
        <v>114764.84090909091</v>
      </c>
      <c r="BH73" s="38">
        <f t="shared" si="217"/>
        <v>114764.84090909091</v>
      </c>
    </row>
    <row r="74" spans="1:60" s="16" customFormat="1" x14ac:dyDescent="0.25">
      <c r="E74" s="37"/>
      <c r="F74" s="37"/>
      <c r="G74" s="37"/>
      <c r="H74" s="37"/>
      <c r="I74" s="37"/>
      <c r="J74" s="37"/>
      <c r="K74" s="37"/>
      <c r="L74" s="37"/>
      <c r="M74" s="37"/>
      <c r="N74" s="37"/>
      <c r="O74" s="37"/>
      <c r="P74" s="37"/>
      <c r="Q74" s="37"/>
      <c r="R74" s="37"/>
      <c r="S74" s="37"/>
      <c r="T74" s="37"/>
      <c r="U74" s="37"/>
      <c r="V74" s="37"/>
      <c r="W74" s="37"/>
      <c r="X74" s="37"/>
      <c r="Y74" s="37"/>
      <c r="Z74" s="37"/>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row>
    <row r="75" spans="1:60" s="16" customFormat="1" x14ac:dyDescent="0.25">
      <c r="B75" s="16" t="s">
        <v>55</v>
      </c>
      <c r="E75" s="38">
        <f>SUBTOTAL(9,E5:E74)</f>
        <v>326583.41666666669</v>
      </c>
      <c r="F75" s="38">
        <f t="shared" ref="F75:P75" si="218">SUBTOTAL(9,F5:F74)</f>
        <v>152612.41666666669</v>
      </c>
      <c r="G75" s="38">
        <f t="shared" si="218"/>
        <v>177612.41666666669</v>
      </c>
      <c r="H75" s="38">
        <f t="shared" si="218"/>
        <v>192925.25252525252</v>
      </c>
      <c r="I75" s="38">
        <f t="shared" si="218"/>
        <v>174537.25252525252</v>
      </c>
      <c r="J75" s="38">
        <f t="shared" si="218"/>
        <v>206139.25252525252</v>
      </c>
      <c r="K75" s="38">
        <f t="shared" si="218"/>
        <v>215238.00252525252</v>
      </c>
      <c r="L75" s="38">
        <f t="shared" si="218"/>
        <v>226320.50252525252</v>
      </c>
      <c r="M75" s="38">
        <f t="shared" si="218"/>
        <v>245928.00252525252</v>
      </c>
      <c r="N75" s="38">
        <f t="shared" si="218"/>
        <v>165438.00252525252</v>
      </c>
      <c r="O75" s="38">
        <f t="shared" si="218"/>
        <v>210728.00252525252</v>
      </c>
      <c r="P75" s="38">
        <f t="shared" si="218"/>
        <v>232628.00252525252</v>
      </c>
      <c r="Q75" s="37"/>
      <c r="R75" s="38">
        <f>SUBTOTAL(9,R5:R74)</f>
        <v>226283.69696969699</v>
      </c>
      <c r="S75" s="38">
        <f t="shared" ref="S75:AC75" si="219">SUBTOTAL(9,S5:S74)</f>
        <v>196373.69696969699</v>
      </c>
      <c r="T75" s="38">
        <f t="shared" si="219"/>
        <v>219657.86363636362</v>
      </c>
      <c r="U75" s="38">
        <f t="shared" si="219"/>
        <v>245844.94696969696</v>
      </c>
      <c r="V75" s="38">
        <f t="shared" si="219"/>
        <v>314401.61363636365</v>
      </c>
      <c r="W75" s="38">
        <f t="shared" si="219"/>
        <v>362747.44696969696</v>
      </c>
      <c r="X75" s="38">
        <f t="shared" si="219"/>
        <v>362954.11363636371</v>
      </c>
      <c r="Y75" s="38">
        <f t="shared" si="219"/>
        <v>374844.11363636371</v>
      </c>
      <c r="Z75" s="38">
        <f t="shared" si="219"/>
        <v>379944.11363636371</v>
      </c>
      <c r="AA75" s="38">
        <f t="shared" si="219"/>
        <v>360754.11363636371</v>
      </c>
      <c r="AB75" s="38">
        <f t="shared" si="219"/>
        <v>371144.11363636371</v>
      </c>
      <c r="AC75" s="38">
        <f t="shared" si="219"/>
        <v>362394.11363636371</v>
      </c>
      <c r="AD75" s="37"/>
      <c r="AE75" s="38">
        <f>SUBTOTAL(9,AE5:AE74)</f>
        <v>414248.28030303033</v>
      </c>
      <c r="AF75" s="38">
        <f t="shared" ref="AF75:AP75" si="220">SUBTOTAL(9,AF5:AF74)</f>
        <v>393038.28030303033</v>
      </c>
      <c r="AG75" s="38">
        <f t="shared" si="220"/>
        <v>399038.28030303033</v>
      </c>
      <c r="AH75" s="38">
        <f t="shared" si="220"/>
        <v>268445.78030303027</v>
      </c>
      <c r="AI75" s="38">
        <f t="shared" si="220"/>
        <v>272485.78030303027</v>
      </c>
      <c r="AJ75" s="38">
        <f t="shared" si="220"/>
        <v>289719.11363636359</v>
      </c>
      <c r="AK75" s="38">
        <f t="shared" si="220"/>
        <v>314469.11363636359</v>
      </c>
      <c r="AL75" s="38">
        <f t="shared" si="220"/>
        <v>309509.11363636359</v>
      </c>
      <c r="AM75" s="38">
        <f t="shared" si="220"/>
        <v>314509.11363636359</v>
      </c>
      <c r="AN75" s="38">
        <f t="shared" si="220"/>
        <v>310469.11363636359</v>
      </c>
      <c r="AO75" s="38">
        <f t="shared" si="220"/>
        <v>309509.11363636359</v>
      </c>
      <c r="AP75" s="38">
        <f t="shared" si="220"/>
        <v>330343.69696969696</v>
      </c>
      <c r="AQ75" s="37"/>
      <c r="AR75" s="38">
        <f t="shared" ref="AR75:AV75" si="221">SUBTOTAL(9,AR5:AR74)</f>
        <v>2526690.5227272729</v>
      </c>
      <c r="AS75" s="38">
        <f t="shared" si="221"/>
        <v>656808.25</v>
      </c>
      <c r="AT75" s="38">
        <f t="shared" si="221"/>
        <v>573601.75757575757</v>
      </c>
      <c r="AU75" s="38">
        <f t="shared" si="221"/>
        <v>687486.50757575757</v>
      </c>
      <c r="AV75" s="38">
        <f t="shared" si="221"/>
        <v>608794.00757575757</v>
      </c>
      <c r="AW75" s="37"/>
      <c r="AX75" s="38">
        <f t="shared" ref="AX75:BB75" si="222">SUBTOTAL(9,AX5:AX74)</f>
        <v>3777343.9469696977</v>
      </c>
      <c r="AY75" s="38">
        <f t="shared" si="222"/>
        <v>642315.25757575769</v>
      </c>
      <c r="AZ75" s="38">
        <f t="shared" si="222"/>
        <v>922994.00757575769</v>
      </c>
      <c r="BA75" s="38">
        <f t="shared" si="222"/>
        <v>1117742.3409090908</v>
      </c>
      <c r="BB75" s="38">
        <f t="shared" si="222"/>
        <v>1094292.3409090908</v>
      </c>
      <c r="BC75" s="37"/>
      <c r="BD75" s="38">
        <f t="shared" ref="BD75:BH75" si="223">SUBTOTAL(9,BD5:BD74)</f>
        <v>3925784.7803030303</v>
      </c>
      <c r="BE75" s="38">
        <f t="shared" si="223"/>
        <v>1206324.8409090908</v>
      </c>
      <c r="BF75" s="38">
        <f t="shared" si="223"/>
        <v>830650.6742424242</v>
      </c>
      <c r="BG75" s="38">
        <f t="shared" si="223"/>
        <v>938487.34090909094</v>
      </c>
      <c r="BH75" s="38">
        <f t="shared" si="223"/>
        <v>950321.9242424242</v>
      </c>
    </row>
    <row r="76" spans="1:60" s="16" customFormat="1" x14ac:dyDescent="0.25">
      <c r="E76" s="37"/>
      <c r="F76" s="37"/>
      <c r="G76" s="37"/>
      <c r="H76" s="37"/>
      <c r="I76" s="37"/>
      <c r="J76" s="37"/>
      <c r="K76" s="37"/>
      <c r="L76" s="37"/>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row>
    <row r="77" spans="1:60" s="16" customFormat="1" x14ac:dyDescent="0.25">
      <c r="A77" s="16" t="s">
        <v>198</v>
      </c>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row>
    <row r="78" spans="1:60" s="16" customFormat="1" x14ac:dyDescent="0.25">
      <c r="B78" s="16" t="s">
        <v>111</v>
      </c>
      <c r="E78" s="37">
        <f>+'G&amp;A'!E75</f>
        <v>153860</v>
      </c>
      <c r="F78" s="37">
        <f>+'G&amp;A'!F75</f>
        <v>92210</v>
      </c>
      <c r="G78" s="37">
        <f>+'G&amp;A'!G75</f>
        <v>117210</v>
      </c>
      <c r="H78" s="37">
        <f>+'G&amp;A'!H75</f>
        <v>92985</v>
      </c>
      <c r="I78" s="37">
        <f>+'G&amp;A'!I75</f>
        <v>102235</v>
      </c>
      <c r="J78" s="37">
        <f>+'G&amp;A'!J75</f>
        <v>118335</v>
      </c>
      <c r="K78" s="37">
        <f>+'G&amp;A'!K75</f>
        <v>92985</v>
      </c>
      <c r="L78" s="37">
        <f>+'G&amp;A'!L75</f>
        <v>92235</v>
      </c>
      <c r="M78" s="37">
        <f>+'G&amp;A'!M75</f>
        <v>102235</v>
      </c>
      <c r="N78" s="37">
        <f>+'G&amp;A'!N75</f>
        <v>92985</v>
      </c>
      <c r="O78" s="37">
        <f>+'G&amp;A'!O75</f>
        <v>92235</v>
      </c>
      <c r="P78" s="37">
        <f>+'G&amp;A'!P75</f>
        <v>112235</v>
      </c>
      <c r="Q78" s="37"/>
      <c r="R78" s="37">
        <f>+'G&amp;A'!R75</f>
        <v>124035</v>
      </c>
      <c r="S78" s="37">
        <f>+'G&amp;A'!S75</f>
        <v>108185</v>
      </c>
      <c r="T78" s="37">
        <f>+'G&amp;A'!T75</f>
        <v>118185</v>
      </c>
      <c r="U78" s="37">
        <f>+'G&amp;A'!U75</f>
        <v>108935</v>
      </c>
      <c r="V78" s="37">
        <f>+'G&amp;A'!V75</f>
        <v>123485</v>
      </c>
      <c r="W78" s="37">
        <f>+'G&amp;A'!W75</f>
        <v>134585</v>
      </c>
      <c r="X78" s="37">
        <f>+'G&amp;A'!X75</f>
        <v>121965</v>
      </c>
      <c r="Y78" s="37">
        <f>+'G&amp;A'!Y75</f>
        <v>121215</v>
      </c>
      <c r="Z78" s="37">
        <f>+'G&amp;A'!Z75</f>
        <v>131215</v>
      </c>
      <c r="AA78" s="37">
        <f>+'G&amp;A'!AA75</f>
        <v>121965</v>
      </c>
      <c r="AB78" s="37">
        <f>+'G&amp;A'!AB75</f>
        <v>121215</v>
      </c>
      <c r="AC78" s="37">
        <f>+'G&amp;A'!AC75</f>
        <v>121215</v>
      </c>
      <c r="AD78" s="37"/>
      <c r="AE78" s="37">
        <f>+'G&amp;A'!AE75</f>
        <v>123857.5</v>
      </c>
      <c r="AF78" s="37">
        <f>+'G&amp;A'!AF75</f>
        <v>123007.5</v>
      </c>
      <c r="AG78" s="37">
        <f>+'G&amp;A'!AG75</f>
        <v>133007.5</v>
      </c>
      <c r="AH78" s="37">
        <f>+'G&amp;A'!AH75</f>
        <v>123757.5</v>
      </c>
      <c r="AI78" s="37">
        <f>+'G&amp;A'!AI75</f>
        <v>128007.5</v>
      </c>
      <c r="AJ78" s="37">
        <f>+'G&amp;A'!AJ75</f>
        <v>129107.5</v>
      </c>
      <c r="AK78" s="37">
        <f>+'G&amp;A'!AK75</f>
        <v>159947.5</v>
      </c>
      <c r="AL78" s="37">
        <f>+'G&amp;A'!AL75</f>
        <v>159197.5</v>
      </c>
      <c r="AM78" s="37">
        <f>+'G&amp;A'!AM75</f>
        <v>164197.5</v>
      </c>
      <c r="AN78" s="37">
        <f>+'G&amp;A'!AN75</f>
        <v>159947.5</v>
      </c>
      <c r="AO78" s="37">
        <f>+'G&amp;A'!AO75</f>
        <v>159197.5</v>
      </c>
      <c r="AP78" s="37">
        <f>+'G&amp;A'!AP75</f>
        <v>164197.5</v>
      </c>
      <c r="AQ78" s="37"/>
      <c r="AR78" s="37">
        <f t="shared" ref="AR78:AR81" si="224">SUM(E78:P78)</f>
        <v>1261745</v>
      </c>
      <c r="AS78" s="37">
        <f t="shared" ref="AS78:AS81" si="225">SUM(E78:G78)</f>
        <v>363280</v>
      </c>
      <c r="AT78" s="37">
        <f t="shared" ref="AT78:AT81" si="226">SUM(H78:J78)</f>
        <v>313555</v>
      </c>
      <c r="AU78" s="37">
        <f t="shared" ref="AU78:AU81" si="227">SUM(K78:M78)</f>
        <v>287455</v>
      </c>
      <c r="AV78" s="37">
        <f t="shared" ref="AV78:AV81" si="228">SUM(N78:P78)</f>
        <v>297455</v>
      </c>
      <c r="AW78" s="37"/>
      <c r="AX78" s="37">
        <f t="shared" ref="AX78:AX81" si="229">SUM(R78:AC78)</f>
        <v>1456200</v>
      </c>
      <c r="AY78" s="37">
        <f t="shared" ref="AY78:AY81" si="230">SUM(R78:T78)</f>
        <v>350405</v>
      </c>
      <c r="AZ78" s="37">
        <f t="shared" ref="AZ78:AZ81" si="231">SUM(U78:W78)</f>
        <v>367005</v>
      </c>
      <c r="BA78" s="37">
        <f t="shared" ref="BA78:BA81" si="232">SUM(X78:Z78)</f>
        <v>374395</v>
      </c>
      <c r="BB78" s="37">
        <f t="shared" ref="BB78:BB81" si="233">SUM(AA78:AC78)</f>
        <v>364395</v>
      </c>
      <c r="BC78" s="37"/>
      <c r="BD78" s="37">
        <f t="shared" ref="BD78:BD81" si="234">SUM(AE78:AP78)</f>
        <v>1727430</v>
      </c>
      <c r="BE78" s="37">
        <f t="shared" ref="BE78:BE81" si="235">SUM(AE78:AG78)</f>
        <v>379872.5</v>
      </c>
      <c r="BF78" s="37">
        <f t="shared" ref="BF78:BF81" si="236">SUM(AH78:AJ78)</f>
        <v>380872.5</v>
      </c>
      <c r="BG78" s="37">
        <f t="shared" ref="BG78:BG81" si="237">SUM(AK78:AM78)</f>
        <v>483342.5</v>
      </c>
      <c r="BH78" s="37">
        <f t="shared" ref="BH78:BH81" si="238">SUM(AN78:AP78)</f>
        <v>483342.5</v>
      </c>
    </row>
    <row r="79" spans="1:60" s="16" customFormat="1" x14ac:dyDescent="0.25">
      <c r="B79" s="16" t="s">
        <v>199</v>
      </c>
      <c r="E79" s="37">
        <f>+'S&amp;M'!E75</f>
        <v>0</v>
      </c>
      <c r="F79" s="37">
        <f>+'S&amp;M'!F75</f>
        <v>0</v>
      </c>
      <c r="G79" s="37">
        <f>+'S&amp;M'!G75</f>
        <v>0</v>
      </c>
      <c r="H79" s="37">
        <f>+'S&amp;M'!H75</f>
        <v>0</v>
      </c>
      <c r="I79" s="37">
        <f>+'S&amp;M'!I75</f>
        <v>0</v>
      </c>
      <c r="J79" s="37">
        <f>+'S&amp;M'!J75</f>
        <v>0</v>
      </c>
      <c r="K79" s="37">
        <f>+'S&amp;M'!K75</f>
        <v>0</v>
      </c>
      <c r="L79" s="37">
        <f>+'S&amp;M'!L75</f>
        <v>0</v>
      </c>
      <c r="M79" s="37">
        <f>+'S&amp;M'!M75</f>
        <v>0</v>
      </c>
      <c r="N79" s="37">
        <f>+'S&amp;M'!N75</f>
        <v>0</v>
      </c>
      <c r="O79" s="37">
        <f>+'S&amp;M'!O75</f>
        <v>0</v>
      </c>
      <c r="P79" s="37">
        <f>+'S&amp;M'!P75</f>
        <v>0</v>
      </c>
      <c r="Q79" s="37"/>
      <c r="R79" s="37">
        <f>+'S&amp;M'!R75</f>
        <v>0</v>
      </c>
      <c r="S79" s="37">
        <f>+'S&amp;M'!S75</f>
        <v>0</v>
      </c>
      <c r="T79" s="37">
        <f>+'S&amp;M'!T75</f>
        <v>24034.166666666668</v>
      </c>
      <c r="U79" s="37">
        <f>+'S&amp;M'!U75</f>
        <v>24034.166666666668</v>
      </c>
      <c r="V79" s="37">
        <f>+'S&amp;M'!V75</f>
        <v>25034.166666666668</v>
      </c>
      <c r="W79" s="37">
        <f>+'S&amp;M'!W75</f>
        <v>30934.166666666668</v>
      </c>
      <c r="X79" s="37">
        <f>+'S&amp;M'!X75</f>
        <v>24034.166666666668</v>
      </c>
      <c r="Y79" s="37">
        <f>+'S&amp;M'!Y75</f>
        <v>28934.166666666668</v>
      </c>
      <c r="Z79" s="37">
        <f>+'S&amp;M'!Z75</f>
        <v>24034.166666666668</v>
      </c>
      <c r="AA79" s="37">
        <f>+'S&amp;M'!AA75</f>
        <v>25934.166666666668</v>
      </c>
      <c r="AB79" s="37">
        <f>+'S&amp;M'!AB75</f>
        <v>26034.166666666668</v>
      </c>
      <c r="AC79" s="37">
        <f>+'S&amp;M'!AC75</f>
        <v>31034.166666666668</v>
      </c>
      <c r="AD79" s="37"/>
      <c r="AE79" s="37">
        <f>+'S&amp;M'!AE75</f>
        <v>55885.833333333336</v>
      </c>
      <c r="AF79" s="37">
        <f>+'S&amp;M'!AF75</f>
        <v>59885.833333333336</v>
      </c>
      <c r="AG79" s="37">
        <f>+'S&amp;M'!AG75</f>
        <v>55885.833333333336</v>
      </c>
      <c r="AH79" s="37">
        <f>+'S&amp;M'!AH75</f>
        <v>55885.833333333336</v>
      </c>
      <c r="AI79" s="37">
        <f>+'S&amp;M'!AI75</f>
        <v>55885.833333333336</v>
      </c>
      <c r="AJ79" s="37">
        <f>+'S&amp;M'!AJ75</f>
        <v>65885.833333333343</v>
      </c>
      <c r="AK79" s="37">
        <f>+'S&amp;M'!AK75</f>
        <v>59885.833333333336</v>
      </c>
      <c r="AL79" s="37">
        <f>+'S&amp;M'!AL75</f>
        <v>55885.833333333336</v>
      </c>
      <c r="AM79" s="37">
        <f>+'S&amp;M'!AM75</f>
        <v>55885.833333333336</v>
      </c>
      <c r="AN79" s="37">
        <f>+'S&amp;M'!AN75</f>
        <v>55885.833333333336</v>
      </c>
      <c r="AO79" s="37">
        <f>+'S&amp;M'!AO75</f>
        <v>55885.833333333336</v>
      </c>
      <c r="AP79" s="37">
        <f>+'S&amp;M'!AP75</f>
        <v>65885.833333333343</v>
      </c>
      <c r="AQ79" s="37"/>
      <c r="AR79" s="37">
        <f t="shared" si="224"/>
        <v>0</v>
      </c>
      <c r="AS79" s="37">
        <f t="shared" si="225"/>
        <v>0</v>
      </c>
      <c r="AT79" s="37">
        <f t="shared" si="226"/>
        <v>0</v>
      </c>
      <c r="AU79" s="37">
        <f t="shared" si="227"/>
        <v>0</v>
      </c>
      <c r="AV79" s="37">
        <f t="shared" si="228"/>
        <v>0</v>
      </c>
      <c r="AW79" s="37"/>
      <c r="AX79" s="37">
        <f t="shared" si="229"/>
        <v>264041.66666666663</v>
      </c>
      <c r="AY79" s="37">
        <f t="shared" si="230"/>
        <v>24034.166666666668</v>
      </c>
      <c r="AZ79" s="37">
        <f t="shared" si="231"/>
        <v>80002.5</v>
      </c>
      <c r="BA79" s="37">
        <f t="shared" si="232"/>
        <v>77002.5</v>
      </c>
      <c r="BB79" s="37">
        <f t="shared" si="233"/>
        <v>83002.5</v>
      </c>
      <c r="BC79" s="37"/>
      <c r="BD79" s="37">
        <f t="shared" si="234"/>
        <v>698630</v>
      </c>
      <c r="BE79" s="37">
        <f t="shared" si="235"/>
        <v>171657.5</v>
      </c>
      <c r="BF79" s="37">
        <f t="shared" si="236"/>
        <v>177657.5</v>
      </c>
      <c r="BG79" s="37">
        <f t="shared" si="237"/>
        <v>171657.5</v>
      </c>
      <c r="BH79" s="37">
        <f t="shared" si="238"/>
        <v>177657.5</v>
      </c>
    </row>
    <row r="80" spans="1:60" s="16" customFormat="1" x14ac:dyDescent="0.25">
      <c r="B80" s="16" t="s">
        <v>200</v>
      </c>
      <c r="E80" s="37">
        <f>+Develop!E75</f>
        <v>171468.41666666669</v>
      </c>
      <c r="F80" s="37">
        <f>+Develop!F75</f>
        <v>59147.416666666672</v>
      </c>
      <c r="G80" s="37">
        <f>+Develop!G75</f>
        <v>59147.416666666672</v>
      </c>
      <c r="H80" s="37">
        <f>+Develop!H75</f>
        <v>97569.835858585866</v>
      </c>
      <c r="I80" s="37">
        <f>+Develop!I75</f>
        <v>69931.835858585866</v>
      </c>
      <c r="J80" s="37">
        <f>+Develop!J75</f>
        <v>84933.835858585866</v>
      </c>
      <c r="K80" s="37">
        <f>+Develop!K75</f>
        <v>119882.58585858587</v>
      </c>
      <c r="L80" s="37">
        <f>+Develop!L75</f>
        <v>131715.08585858587</v>
      </c>
      <c r="M80" s="37">
        <f>+Develop!M75</f>
        <v>141322.58585858587</v>
      </c>
      <c r="N80" s="37">
        <f>+Develop!N75</f>
        <v>70082.585858585866</v>
      </c>
      <c r="O80" s="37">
        <f>+Develop!O75</f>
        <v>116122.58585858587</v>
      </c>
      <c r="P80" s="37">
        <f>+Develop!P75</f>
        <v>117522.58585858587</v>
      </c>
      <c r="Q80" s="37"/>
      <c r="R80" s="37">
        <f>+Develop!R75</f>
        <v>89043.696969696975</v>
      </c>
      <c r="S80" s="37">
        <f>+Develop!S75</f>
        <v>66233.696969696975</v>
      </c>
      <c r="T80" s="37">
        <f>+Develop!T75</f>
        <v>69233.696969696975</v>
      </c>
      <c r="U80" s="37">
        <f>+Develop!U75</f>
        <v>70193.696969696975</v>
      </c>
      <c r="V80" s="37">
        <f>+Develop!V75</f>
        <v>74483.696969696975</v>
      </c>
      <c r="W80" s="37">
        <f>+Develop!W75</f>
        <v>74483.696969696975</v>
      </c>
      <c r="X80" s="37">
        <f>+Develop!X75</f>
        <v>73493.696969696975</v>
      </c>
      <c r="Y80" s="37">
        <f>+Develop!Y75</f>
        <v>67483.696969696975</v>
      </c>
      <c r="Z80" s="37">
        <f>+Develop!Z75</f>
        <v>67483.696969696975</v>
      </c>
      <c r="AA80" s="37">
        <f>+Develop!AA75</f>
        <v>69393.696969696975</v>
      </c>
      <c r="AB80" s="37">
        <f>+Develop!AB75</f>
        <v>66683.696969696975</v>
      </c>
      <c r="AC80" s="37">
        <f>+Develop!AC75</f>
        <v>66683.696969696975</v>
      </c>
      <c r="AD80" s="37"/>
      <c r="AE80" s="37">
        <f>+Develop!AE75</f>
        <v>86043.696969696975</v>
      </c>
      <c r="AF80" s="37">
        <f>+Develop!AF75</f>
        <v>66683.696969696975</v>
      </c>
      <c r="AG80" s="37">
        <f>+Develop!AG75</f>
        <v>66683.696969696975</v>
      </c>
      <c r="AH80" s="37">
        <f>+Develop!AH75</f>
        <v>63093.696969696975</v>
      </c>
      <c r="AI80" s="37">
        <f>+Develop!AI75</f>
        <v>62883.696969696975</v>
      </c>
      <c r="AJ80" s="37">
        <f>+Develop!AJ75</f>
        <v>63183.696969696975</v>
      </c>
      <c r="AK80" s="37">
        <f>+Develop!AK75</f>
        <v>63093.696969696975</v>
      </c>
      <c r="AL80" s="37">
        <f>+Develop!AL75</f>
        <v>62883.696969696975</v>
      </c>
      <c r="AM80" s="37">
        <f>+Develop!AM75</f>
        <v>62883.696969696975</v>
      </c>
      <c r="AN80" s="37">
        <f>+Develop!AN75</f>
        <v>63093.696969696975</v>
      </c>
      <c r="AO80" s="37">
        <f>+Develop!AO75</f>
        <v>62883.696969696975</v>
      </c>
      <c r="AP80" s="37">
        <f>+Develop!AP75</f>
        <v>62883.696969696975</v>
      </c>
      <c r="AQ80" s="37"/>
      <c r="AR80" s="37">
        <f t="shared" si="224"/>
        <v>1238846.7727272729</v>
      </c>
      <c r="AS80" s="37">
        <f t="shared" si="225"/>
        <v>289763.25000000006</v>
      </c>
      <c r="AT80" s="37">
        <f t="shared" si="226"/>
        <v>252435.5075757576</v>
      </c>
      <c r="AU80" s="37">
        <f t="shared" si="227"/>
        <v>392920.25757575757</v>
      </c>
      <c r="AV80" s="37">
        <f t="shared" si="228"/>
        <v>303727.75757575757</v>
      </c>
      <c r="AW80" s="37"/>
      <c r="AX80" s="37">
        <f t="shared" si="229"/>
        <v>854894.36363636388</v>
      </c>
      <c r="AY80" s="37">
        <f t="shared" si="230"/>
        <v>224511.09090909094</v>
      </c>
      <c r="AZ80" s="37">
        <f t="shared" si="231"/>
        <v>219161.09090909094</v>
      </c>
      <c r="BA80" s="37">
        <f t="shared" si="232"/>
        <v>208461.09090909094</v>
      </c>
      <c r="BB80" s="37">
        <f t="shared" si="233"/>
        <v>202761.09090909094</v>
      </c>
      <c r="BC80" s="37"/>
      <c r="BD80" s="37">
        <f t="shared" si="234"/>
        <v>786294.36363636388</v>
      </c>
      <c r="BE80" s="37">
        <f t="shared" si="235"/>
        <v>219411.09090909094</v>
      </c>
      <c r="BF80" s="37">
        <f t="shared" si="236"/>
        <v>189161.09090909094</v>
      </c>
      <c r="BG80" s="37">
        <f t="shared" si="237"/>
        <v>188861.09090909094</v>
      </c>
      <c r="BH80" s="37">
        <f t="shared" si="238"/>
        <v>188861.09090909094</v>
      </c>
    </row>
    <row r="81" spans="2:60" s="16" customFormat="1" x14ac:dyDescent="0.25">
      <c r="B81" s="16" t="s">
        <v>201</v>
      </c>
      <c r="E81" s="37">
        <f>+Factory!E75</f>
        <v>1255</v>
      </c>
      <c r="F81" s="37">
        <f>+Factory!F75</f>
        <v>1255</v>
      </c>
      <c r="G81" s="37">
        <f>+Factory!G75</f>
        <v>1255</v>
      </c>
      <c r="H81" s="37">
        <f>+Factory!H75</f>
        <v>2370.416666666667</v>
      </c>
      <c r="I81" s="37">
        <f>+Factory!I75</f>
        <v>2370.416666666667</v>
      </c>
      <c r="J81" s="37">
        <f>+Factory!J75</f>
        <v>2870.416666666667</v>
      </c>
      <c r="K81" s="37">
        <f>+Factory!K75</f>
        <v>2370.416666666667</v>
      </c>
      <c r="L81" s="37">
        <f>+Factory!L75</f>
        <v>2370.416666666667</v>
      </c>
      <c r="M81" s="37">
        <f>+Factory!M75</f>
        <v>2370.416666666667</v>
      </c>
      <c r="N81" s="37">
        <f>+Factory!N75</f>
        <v>2370.416666666667</v>
      </c>
      <c r="O81" s="37">
        <f>+Factory!O75</f>
        <v>2370.416666666667</v>
      </c>
      <c r="P81" s="37">
        <f>+Factory!P75</f>
        <v>2870.416666666667</v>
      </c>
      <c r="Q81" s="37"/>
      <c r="R81" s="37">
        <f>+Factory!R75</f>
        <v>13205</v>
      </c>
      <c r="S81" s="37">
        <f>+Factory!S75</f>
        <v>21955</v>
      </c>
      <c r="T81" s="37">
        <f>+Factory!T75</f>
        <v>8205</v>
      </c>
      <c r="U81" s="37">
        <f>+Factory!U75</f>
        <v>42682.083333333328</v>
      </c>
      <c r="V81" s="37">
        <f>+Factory!V75</f>
        <v>91398.749999999985</v>
      </c>
      <c r="W81" s="37">
        <f>+Factory!W75</f>
        <v>122744.58333333334</v>
      </c>
      <c r="X81" s="37">
        <f>+Factory!X75</f>
        <v>143461.25</v>
      </c>
      <c r="Y81" s="37">
        <f>+Factory!Y75</f>
        <v>157211.25</v>
      </c>
      <c r="Z81" s="37">
        <f>+Factory!Z75</f>
        <v>157211.25</v>
      </c>
      <c r="AA81" s="37">
        <f>+Factory!AA75</f>
        <v>143461.25</v>
      </c>
      <c r="AB81" s="37">
        <f>+Factory!AB75</f>
        <v>157211.25</v>
      </c>
      <c r="AC81" s="37">
        <f>+Factory!AC75</f>
        <v>143461.25</v>
      </c>
      <c r="AD81" s="37"/>
      <c r="AE81" s="37">
        <f>+Factory!AE75</f>
        <v>148461.25</v>
      </c>
      <c r="AF81" s="37">
        <f>+Factory!AF75</f>
        <v>143461.25</v>
      </c>
      <c r="AG81" s="37">
        <f>+Factory!AG75</f>
        <v>143461.25</v>
      </c>
      <c r="AH81" s="37">
        <f>+Factory!AH75</f>
        <v>25708.75</v>
      </c>
      <c r="AI81" s="37">
        <f>+Factory!AI75</f>
        <v>25708.75</v>
      </c>
      <c r="AJ81" s="37">
        <f>+Factory!AJ75</f>
        <v>31542.083333333332</v>
      </c>
      <c r="AK81" s="37">
        <f>+Factory!AK75</f>
        <v>31542.083333333332</v>
      </c>
      <c r="AL81" s="37">
        <f>+Factory!AL75</f>
        <v>31542.083333333332</v>
      </c>
      <c r="AM81" s="37">
        <f>+Factory!AM75</f>
        <v>31542.083333333332</v>
      </c>
      <c r="AN81" s="37">
        <f>+Factory!AN75</f>
        <v>31542.083333333332</v>
      </c>
      <c r="AO81" s="37">
        <f>+Factory!AO75</f>
        <v>31542.083333333332</v>
      </c>
      <c r="AP81" s="37">
        <f>+Factory!AP75</f>
        <v>37376.666666666664</v>
      </c>
      <c r="AQ81" s="37"/>
      <c r="AR81" s="37">
        <f t="shared" si="224"/>
        <v>26098.750000000007</v>
      </c>
      <c r="AS81" s="37">
        <f t="shared" si="225"/>
        <v>3765</v>
      </c>
      <c r="AT81" s="37">
        <f t="shared" si="226"/>
        <v>7611.2500000000009</v>
      </c>
      <c r="AU81" s="37">
        <f t="shared" si="227"/>
        <v>7111.2500000000009</v>
      </c>
      <c r="AV81" s="37">
        <f t="shared" si="228"/>
        <v>7611.2500000000009</v>
      </c>
      <c r="AW81" s="37"/>
      <c r="AX81" s="37">
        <f t="shared" si="229"/>
        <v>1202207.9166666665</v>
      </c>
      <c r="AY81" s="37">
        <f t="shared" si="230"/>
        <v>43365</v>
      </c>
      <c r="AZ81" s="37">
        <f t="shared" si="231"/>
        <v>256825.41666666666</v>
      </c>
      <c r="BA81" s="37">
        <f t="shared" si="232"/>
        <v>457883.75</v>
      </c>
      <c r="BB81" s="37">
        <f t="shared" si="233"/>
        <v>444133.75</v>
      </c>
      <c r="BC81" s="37"/>
      <c r="BD81" s="37">
        <f t="shared" si="234"/>
        <v>713430.41666666674</v>
      </c>
      <c r="BE81" s="37">
        <f t="shared" si="235"/>
        <v>435383.75</v>
      </c>
      <c r="BF81" s="37">
        <f t="shared" si="236"/>
        <v>82959.583333333328</v>
      </c>
      <c r="BG81" s="37">
        <f t="shared" si="237"/>
        <v>94626.25</v>
      </c>
      <c r="BH81" s="37">
        <f t="shared" si="238"/>
        <v>100460.83333333333</v>
      </c>
    </row>
    <row r="82" spans="2:60" s="16" customFormat="1" x14ac:dyDescent="0.25">
      <c r="B82" s="16" t="s">
        <v>167</v>
      </c>
      <c r="E82" s="40">
        <f>SUM(E78:E81)</f>
        <v>326583.41666666669</v>
      </c>
      <c r="F82" s="40">
        <f t="shared" ref="F82:P82" si="239">SUM(F78:F81)</f>
        <v>152612.41666666669</v>
      </c>
      <c r="G82" s="40">
        <f t="shared" si="239"/>
        <v>177612.41666666669</v>
      </c>
      <c r="H82" s="40">
        <f t="shared" si="239"/>
        <v>192925.25252525252</v>
      </c>
      <c r="I82" s="40">
        <f t="shared" si="239"/>
        <v>174537.25252525252</v>
      </c>
      <c r="J82" s="40">
        <f t="shared" si="239"/>
        <v>206139.25252525252</v>
      </c>
      <c r="K82" s="40">
        <f t="shared" si="239"/>
        <v>215238.00252525252</v>
      </c>
      <c r="L82" s="40">
        <f t="shared" si="239"/>
        <v>226320.50252525252</v>
      </c>
      <c r="M82" s="40">
        <f t="shared" si="239"/>
        <v>245928.00252525252</v>
      </c>
      <c r="N82" s="40">
        <f t="shared" si="239"/>
        <v>165438.00252525252</v>
      </c>
      <c r="O82" s="40">
        <f t="shared" si="239"/>
        <v>210728.00252525252</v>
      </c>
      <c r="P82" s="40">
        <f t="shared" si="239"/>
        <v>232628.00252525252</v>
      </c>
      <c r="Q82" s="37"/>
      <c r="R82" s="40">
        <f t="shared" ref="R82:AC82" si="240">SUM(R78:R81)</f>
        <v>226283.69696969696</v>
      </c>
      <c r="S82" s="40">
        <f t="shared" si="240"/>
        <v>196373.69696969696</v>
      </c>
      <c r="T82" s="40">
        <f t="shared" si="240"/>
        <v>219657.86363636365</v>
      </c>
      <c r="U82" s="40">
        <f t="shared" si="240"/>
        <v>245844.94696969696</v>
      </c>
      <c r="V82" s="40">
        <f t="shared" si="240"/>
        <v>314401.61363636365</v>
      </c>
      <c r="W82" s="40">
        <f t="shared" si="240"/>
        <v>362747.44696969702</v>
      </c>
      <c r="X82" s="40">
        <f t="shared" si="240"/>
        <v>362954.11363636365</v>
      </c>
      <c r="Y82" s="40">
        <f t="shared" si="240"/>
        <v>374844.11363636365</v>
      </c>
      <c r="Z82" s="40">
        <f t="shared" si="240"/>
        <v>379944.11363636365</v>
      </c>
      <c r="AA82" s="40">
        <f t="shared" si="240"/>
        <v>360754.11363636365</v>
      </c>
      <c r="AB82" s="40">
        <f t="shared" si="240"/>
        <v>371144.11363636365</v>
      </c>
      <c r="AC82" s="40">
        <f t="shared" si="240"/>
        <v>362394.11363636365</v>
      </c>
      <c r="AD82" s="37"/>
      <c r="AE82" s="40">
        <f t="shared" ref="AE82:AP82" si="241">SUM(AE78:AE81)</f>
        <v>414248.28030303033</v>
      </c>
      <c r="AF82" s="40">
        <f t="shared" si="241"/>
        <v>393038.28030303033</v>
      </c>
      <c r="AG82" s="40">
        <f t="shared" si="241"/>
        <v>399038.28030303033</v>
      </c>
      <c r="AH82" s="40">
        <f t="shared" si="241"/>
        <v>268445.78030303033</v>
      </c>
      <c r="AI82" s="40">
        <f t="shared" si="241"/>
        <v>272485.78030303033</v>
      </c>
      <c r="AJ82" s="40">
        <f t="shared" si="241"/>
        <v>289719.11363636365</v>
      </c>
      <c r="AK82" s="40">
        <f t="shared" si="241"/>
        <v>314469.11363636365</v>
      </c>
      <c r="AL82" s="40">
        <f t="shared" si="241"/>
        <v>309509.11363636365</v>
      </c>
      <c r="AM82" s="40">
        <f t="shared" si="241"/>
        <v>314509.11363636365</v>
      </c>
      <c r="AN82" s="40">
        <f t="shared" si="241"/>
        <v>310469.11363636365</v>
      </c>
      <c r="AO82" s="40">
        <f t="shared" si="241"/>
        <v>309509.11363636365</v>
      </c>
      <c r="AP82" s="40">
        <f t="shared" si="241"/>
        <v>330343.69696969702</v>
      </c>
      <c r="AQ82" s="37"/>
      <c r="AR82" s="40">
        <f t="shared" ref="AR82" si="242">SUM(AR78:AR81)</f>
        <v>2526690.5227272729</v>
      </c>
      <c r="AS82" s="40">
        <f t="shared" ref="AS82" si="243">SUM(AS78:AS81)</f>
        <v>656808.25</v>
      </c>
      <c r="AT82" s="40">
        <f t="shared" ref="AT82" si="244">SUM(AT78:AT81)</f>
        <v>573601.75757575757</v>
      </c>
      <c r="AU82" s="40">
        <f t="shared" ref="AU82" si="245">SUM(AU78:AU81)</f>
        <v>687486.50757575757</v>
      </c>
      <c r="AV82" s="40">
        <f t="shared" ref="AV82" si="246">SUM(AV78:AV81)</f>
        <v>608794.00757575757</v>
      </c>
      <c r="AW82" s="37"/>
      <c r="AX82" s="40">
        <f t="shared" ref="AX82" si="247">SUM(AX78:AX81)</f>
        <v>3777343.9469696968</v>
      </c>
      <c r="AY82" s="40">
        <f t="shared" ref="AY82" si="248">SUM(AY78:AY81)</f>
        <v>642315.25757575757</v>
      </c>
      <c r="AZ82" s="40">
        <f t="shared" ref="AZ82" si="249">SUM(AZ78:AZ81)</f>
        <v>922994.00757575757</v>
      </c>
      <c r="BA82" s="40">
        <f t="shared" ref="BA82" si="250">SUM(BA78:BA81)</f>
        <v>1117742.3409090908</v>
      </c>
      <c r="BB82" s="40">
        <f t="shared" ref="BB82" si="251">SUM(BB78:BB81)</f>
        <v>1094292.3409090908</v>
      </c>
      <c r="BC82" s="37"/>
      <c r="BD82" s="40">
        <f t="shared" ref="BD82" si="252">SUM(BD78:BD81)</f>
        <v>3925784.7803030303</v>
      </c>
      <c r="BE82" s="40">
        <f t="shared" ref="BE82" si="253">SUM(BE78:BE81)</f>
        <v>1206324.8409090908</v>
      </c>
      <c r="BF82" s="40">
        <f t="shared" ref="BF82" si="254">SUM(BF78:BF81)</f>
        <v>830650.67424242431</v>
      </c>
      <c r="BG82" s="40">
        <f t="shared" ref="BG82" si="255">SUM(BG78:BG81)</f>
        <v>938487.34090909094</v>
      </c>
      <c r="BH82" s="40">
        <f t="shared" ref="BH82" si="256">SUM(BH78:BH81)</f>
        <v>950321.92424242431</v>
      </c>
    </row>
    <row r="83" spans="2:60" s="16" customFormat="1" x14ac:dyDescent="0.25">
      <c r="B83" s="16" t="s">
        <v>202</v>
      </c>
      <c r="E83" s="38">
        <f>+E82-E75</f>
        <v>0</v>
      </c>
      <c r="F83" s="38">
        <f t="shared" ref="F83:P83" si="257">+F82-F75</f>
        <v>0</v>
      </c>
      <c r="G83" s="38">
        <f t="shared" si="257"/>
        <v>0</v>
      </c>
      <c r="H83" s="38">
        <f t="shared" si="257"/>
        <v>0</v>
      </c>
      <c r="I83" s="38">
        <f t="shared" si="257"/>
        <v>0</v>
      </c>
      <c r="J83" s="38">
        <f t="shared" si="257"/>
        <v>0</v>
      </c>
      <c r="K83" s="38">
        <f t="shared" si="257"/>
        <v>0</v>
      </c>
      <c r="L83" s="38">
        <f t="shared" si="257"/>
        <v>0</v>
      </c>
      <c r="M83" s="38">
        <f t="shared" si="257"/>
        <v>0</v>
      </c>
      <c r="N83" s="38">
        <f t="shared" si="257"/>
        <v>0</v>
      </c>
      <c r="O83" s="38">
        <f t="shared" si="257"/>
        <v>0</v>
      </c>
      <c r="P83" s="38">
        <f t="shared" si="257"/>
        <v>0</v>
      </c>
      <c r="Q83" s="37"/>
      <c r="R83" s="38">
        <f t="shared" ref="R83:AC83" si="258">+R82-R75</f>
        <v>0</v>
      </c>
      <c r="S83" s="38">
        <f t="shared" si="258"/>
        <v>0</v>
      </c>
      <c r="T83" s="38">
        <f t="shared" si="258"/>
        <v>0</v>
      </c>
      <c r="U83" s="38">
        <f t="shared" si="258"/>
        <v>0</v>
      </c>
      <c r="V83" s="38">
        <f t="shared" si="258"/>
        <v>0</v>
      </c>
      <c r="W83" s="38">
        <f t="shared" si="258"/>
        <v>0</v>
      </c>
      <c r="X83" s="38">
        <f t="shared" si="258"/>
        <v>0</v>
      </c>
      <c r="Y83" s="38">
        <f t="shared" si="258"/>
        <v>0</v>
      </c>
      <c r="Z83" s="38">
        <f t="shared" si="258"/>
        <v>0</v>
      </c>
      <c r="AA83" s="38">
        <f t="shared" si="258"/>
        <v>0</v>
      </c>
      <c r="AB83" s="38">
        <f t="shared" si="258"/>
        <v>0</v>
      </c>
      <c r="AC83" s="38">
        <f t="shared" si="258"/>
        <v>0</v>
      </c>
      <c r="AD83" s="37"/>
      <c r="AE83" s="38">
        <f t="shared" ref="AE83:AP83" si="259">+AE82-AE75</f>
        <v>0</v>
      </c>
      <c r="AF83" s="38">
        <f t="shared" si="259"/>
        <v>0</v>
      </c>
      <c r="AG83" s="38">
        <f t="shared" si="259"/>
        <v>0</v>
      </c>
      <c r="AH83" s="38">
        <f t="shared" si="259"/>
        <v>0</v>
      </c>
      <c r="AI83" s="38">
        <f t="shared" si="259"/>
        <v>0</v>
      </c>
      <c r="AJ83" s="38">
        <f t="shared" si="259"/>
        <v>0</v>
      </c>
      <c r="AK83" s="38">
        <f t="shared" si="259"/>
        <v>0</v>
      </c>
      <c r="AL83" s="38">
        <f t="shared" si="259"/>
        <v>0</v>
      </c>
      <c r="AM83" s="38">
        <f t="shared" si="259"/>
        <v>0</v>
      </c>
      <c r="AN83" s="38">
        <f t="shared" si="259"/>
        <v>0</v>
      </c>
      <c r="AO83" s="38">
        <f t="shared" si="259"/>
        <v>0</v>
      </c>
      <c r="AP83" s="38">
        <f t="shared" si="259"/>
        <v>0</v>
      </c>
      <c r="AQ83" s="37"/>
      <c r="AR83" s="38">
        <f t="shared" ref="AR83" si="260">+AR82-AR75</f>
        <v>0</v>
      </c>
      <c r="AS83" s="38">
        <f t="shared" ref="AS83" si="261">+AS82-AS75</f>
        <v>0</v>
      </c>
      <c r="AT83" s="38">
        <f t="shared" ref="AT83" si="262">+AT82-AT75</f>
        <v>0</v>
      </c>
      <c r="AU83" s="38">
        <f t="shared" ref="AU83" si="263">+AU82-AU75</f>
        <v>0</v>
      </c>
      <c r="AV83" s="38">
        <f t="shared" ref="AV83" si="264">+AV82-AV75</f>
        <v>0</v>
      </c>
      <c r="AW83" s="37"/>
      <c r="AX83" s="38">
        <f t="shared" ref="AX83" si="265">+AX82-AX75</f>
        <v>0</v>
      </c>
      <c r="AY83" s="38">
        <f t="shared" ref="AY83" si="266">+AY82-AY75</f>
        <v>0</v>
      </c>
      <c r="AZ83" s="38">
        <f t="shared" ref="AZ83" si="267">+AZ82-AZ75</f>
        <v>0</v>
      </c>
      <c r="BA83" s="38">
        <f t="shared" ref="BA83" si="268">+BA82-BA75</f>
        <v>0</v>
      </c>
      <c r="BB83" s="38">
        <f t="shared" ref="BB83" si="269">+BB82-BB75</f>
        <v>0</v>
      </c>
      <c r="BC83" s="37"/>
      <c r="BD83" s="38">
        <f t="shared" ref="BD83" si="270">+BD82-BD75</f>
        <v>0</v>
      </c>
      <c r="BE83" s="38">
        <f t="shared" ref="BE83" si="271">+BE82-BE75</f>
        <v>0</v>
      </c>
      <c r="BF83" s="38">
        <f t="shared" ref="BF83" si="272">+BF82-BF75</f>
        <v>0</v>
      </c>
      <c r="BG83" s="38">
        <f t="shared" ref="BG83" si="273">+BG82-BG75</f>
        <v>0</v>
      </c>
      <c r="BH83" s="38">
        <f t="shared" ref="BH83" si="274">+BH82-BH75</f>
        <v>0</v>
      </c>
    </row>
    <row r="84" spans="2:60" s="16" customFormat="1" x14ac:dyDescent="0.25"/>
    <row r="85" spans="2:60" s="16" customFormat="1" x14ac:dyDescent="0.25"/>
    <row r="86" spans="2:60" s="16" customFormat="1" x14ac:dyDescent="0.25"/>
    <row r="87" spans="2:60" s="16" customFormat="1" x14ac:dyDescent="0.25"/>
    <row r="88" spans="2:60" s="16" customFormat="1" x14ac:dyDescent="0.25"/>
    <row r="89" spans="2:60" s="16" customFormat="1" x14ac:dyDescent="0.25"/>
    <row r="90" spans="2:60" s="16" customFormat="1" x14ac:dyDescent="0.25"/>
    <row r="91" spans="2:60" s="16" customFormat="1" x14ac:dyDescent="0.25">
      <c r="AR91" s="17"/>
      <c r="AS91" s="17"/>
      <c r="AT91" s="17"/>
      <c r="AU91" s="17"/>
      <c r="AV91" s="17"/>
      <c r="AX91" s="17"/>
      <c r="AY91" s="17"/>
      <c r="AZ91" s="17"/>
      <c r="BA91" s="17"/>
      <c r="BB91" s="17"/>
      <c r="BD91" s="17"/>
      <c r="BE91" s="17"/>
      <c r="BF91" s="17"/>
      <c r="BG91" s="17"/>
      <c r="BH91" s="17"/>
    </row>
    <row r="92" spans="2:60" s="16" customFormat="1" x14ac:dyDescent="0.25"/>
    <row r="93" spans="2:60" s="16" customFormat="1" x14ac:dyDescent="0.25"/>
    <row r="94" spans="2:60" s="16" customFormat="1" x14ac:dyDescent="0.25"/>
    <row r="95" spans="2:60" s="16" customFormat="1" x14ac:dyDescent="0.25"/>
    <row r="96" spans="2:60" s="16" customFormat="1" x14ac:dyDescent="0.25"/>
    <row r="97" spans="44:60" s="16" customFormat="1" x14ac:dyDescent="0.25"/>
    <row r="98" spans="44:60" s="16" customFormat="1" x14ac:dyDescent="0.25"/>
    <row r="99" spans="44:60" s="16" customFormat="1" x14ac:dyDescent="0.25"/>
    <row r="100" spans="44:60" s="16" customFormat="1" x14ac:dyDescent="0.25"/>
    <row r="101" spans="44:60" s="16" customFormat="1" x14ac:dyDescent="0.25"/>
    <row r="102" spans="44:60" s="16" customFormat="1" x14ac:dyDescent="0.25"/>
    <row r="103" spans="44:60" s="16" customFormat="1" x14ac:dyDescent="0.25"/>
    <row r="104" spans="44:60" s="16" customFormat="1" x14ac:dyDescent="0.25"/>
    <row r="105" spans="44:60" s="16" customFormat="1" x14ac:dyDescent="0.25"/>
    <row r="106" spans="44:60" s="16" customFormat="1" x14ac:dyDescent="0.25"/>
    <row r="107" spans="44:60" s="16" customFormat="1" x14ac:dyDescent="0.25"/>
    <row r="108" spans="44:60" s="16" customFormat="1" x14ac:dyDescent="0.25"/>
    <row r="109" spans="44:60" s="16" customFormat="1" x14ac:dyDescent="0.25"/>
    <row r="110" spans="44:60" s="16" customFormat="1" x14ac:dyDescent="0.25">
      <c r="AR110" s="17"/>
      <c r="AS110" s="17"/>
      <c r="AT110" s="17"/>
      <c r="AU110" s="17"/>
      <c r="AV110" s="17"/>
      <c r="AX110" s="17"/>
      <c r="AY110" s="17"/>
      <c r="AZ110" s="17"/>
      <c r="BA110" s="17"/>
      <c r="BB110" s="17"/>
      <c r="BD110" s="17"/>
      <c r="BE110" s="17"/>
      <c r="BF110" s="17"/>
      <c r="BG110" s="17"/>
      <c r="BH110" s="17"/>
    </row>
    <row r="111" spans="44:60" s="16" customFormat="1" x14ac:dyDescent="0.25"/>
    <row r="112" spans="44:60"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row r="150" s="16" customFormat="1" x14ac:dyDescent="0.25"/>
    <row r="151" s="16" customFormat="1" x14ac:dyDescent="0.25"/>
    <row r="152" s="16" customFormat="1" x14ac:dyDescent="0.25"/>
    <row r="153" s="16" customFormat="1" x14ac:dyDescent="0.25"/>
    <row r="154" s="16" customFormat="1" x14ac:dyDescent="0.25"/>
    <row r="155" s="16" customFormat="1" x14ac:dyDescent="0.25"/>
    <row r="156" s="16" customFormat="1" x14ac:dyDescent="0.25"/>
    <row r="157" s="16" customFormat="1" x14ac:dyDescent="0.25"/>
    <row r="158" s="16" customFormat="1" x14ac:dyDescent="0.25"/>
    <row r="159" s="16" customFormat="1" x14ac:dyDescent="0.25"/>
    <row r="160" s="16" customFormat="1" x14ac:dyDescent="0.25"/>
    <row r="161" s="16" customFormat="1" x14ac:dyDescent="0.25"/>
    <row r="162" s="16" customFormat="1" x14ac:dyDescent="0.25"/>
    <row r="163" s="16" customFormat="1" x14ac:dyDescent="0.25"/>
    <row r="164" s="16" customFormat="1" x14ac:dyDescent="0.25"/>
    <row r="165" s="16" customFormat="1" x14ac:dyDescent="0.25"/>
    <row r="166" s="16" customFormat="1" x14ac:dyDescent="0.25"/>
    <row r="167" s="16" customFormat="1" x14ac:dyDescent="0.25"/>
    <row r="168" s="16" customFormat="1" x14ac:dyDescent="0.25"/>
    <row r="169" s="16" customFormat="1" x14ac:dyDescent="0.25"/>
    <row r="170" s="16" customFormat="1" x14ac:dyDescent="0.25"/>
    <row r="171" s="16" customFormat="1" x14ac:dyDescent="0.25"/>
    <row r="172" s="16" customFormat="1" x14ac:dyDescent="0.25"/>
    <row r="173" s="16" customFormat="1" x14ac:dyDescent="0.25"/>
    <row r="174" s="16" customFormat="1" x14ac:dyDescent="0.25"/>
    <row r="175" s="16" customFormat="1" x14ac:dyDescent="0.25"/>
    <row r="176" s="16" customFormat="1" x14ac:dyDescent="0.25"/>
    <row r="177" s="16" customFormat="1" x14ac:dyDescent="0.25"/>
    <row r="178" s="16" customFormat="1" x14ac:dyDescent="0.25"/>
    <row r="179" s="16" customFormat="1" x14ac:dyDescent="0.25"/>
    <row r="180" s="16" customFormat="1" x14ac:dyDescent="0.25"/>
    <row r="181" s="16" customFormat="1" x14ac:dyDescent="0.25"/>
    <row r="182" s="16" customFormat="1" x14ac:dyDescent="0.25"/>
    <row r="183" s="16" customFormat="1" x14ac:dyDescent="0.25"/>
    <row r="184" s="16" customFormat="1" x14ac:dyDescent="0.25"/>
    <row r="185" s="16" customFormat="1" x14ac:dyDescent="0.25"/>
    <row r="186" s="16" customFormat="1" x14ac:dyDescent="0.25"/>
    <row r="187" s="16" customFormat="1" x14ac:dyDescent="0.25"/>
    <row r="188" s="16" customFormat="1" x14ac:dyDescent="0.25"/>
    <row r="189" s="16" customFormat="1" x14ac:dyDescent="0.25"/>
    <row r="190" s="16" customFormat="1" x14ac:dyDescent="0.25"/>
    <row r="191" s="16" customFormat="1" x14ac:dyDescent="0.25"/>
    <row r="19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row r="363" s="16" customFormat="1" x14ac:dyDescent="0.25"/>
  </sheetData>
  <mergeCells count="6">
    <mergeCell ref="BD3:BH3"/>
    <mergeCell ref="E3:P3"/>
    <mergeCell ref="R3:AC3"/>
    <mergeCell ref="AE3:AP3"/>
    <mergeCell ref="AR3:AV3"/>
    <mergeCell ref="AX3:BB3"/>
  </mergeCells>
  <phoneticPr fontId="0" type="noConversion"/>
  <printOptions horizontalCentered="1"/>
  <pageMargins left="0.25" right="0.25" top="0.5" bottom="0.5" header="0.25" footer="0"/>
  <pageSetup scale="79" orientation="landscape" r:id="rId1"/>
  <headerFooter alignWithMargins="0">
    <oddHeader>&amp;L&amp;9&amp;F&amp;C&amp;9&amp;A&amp;R&amp;9&amp;D  &amp;T</oddHeader>
    <oddFooter>&amp;C&amp;P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Z363"/>
  <sheetViews>
    <sheetView workbookViewId="0">
      <pane xSplit="2" ySplit="4" topLeftCell="C67" activePane="bottomRight" state="frozen"/>
      <selection activeCell="A5" sqref="A5:XFD363"/>
      <selection pane="topRight" activeCell="A5" sqref="A5:XFD363"/>
      <selection pane="bottomLeft" activeCell="A5" sqref="A5:XFD363"/>
      <selection pane="bottomRight" activeCell="E70" sqref="E70"/>
    </sheetView>
  </sheetViews>
  <sheetFormatPr defaultColWidth="10.25" defaultRowHeight="15.75" outlineLevelCol="1" x14ac:dyDescent="0.25"/>
  <cols>
    <col min="1" max="1" width="3.375" style="7" customWidth="1"/>
    <col min="2" max="2" width="20.625" style="7" customWidth="1"/>
    <col min="3" max="3" width="10.25" style="7"/>
    <col min="4" max="4" width="11.375" style="7" customWidth="1"/>
    <col min="5" max="16" width="10.25" style="7" customWidth="1" outlineLevel="1"/>
    <col min="17" max="17" width="2" style="7" customWidth="1"/>
    <col min="18" max="29" width="10.25" style="7" customWidth="1" outlineLevel="1"/>
    <col min="30" max="30" width="1.625" style="7" customWidth="1"/>
    <col min="31" max="42" width="10.25" style="7" customWidth="1" outlineLevel="1"/>
    <col min="43" max="43" width="1.625" style="7" customWidth="1"/>
    <col min="44" max="48" width="10.25" style="7" customWidth="1" outlineLevel="1"/>
    <col min="49" max="49" width="1.625" style="7" customWidth="1"/>
    <col min="50" max="54" width="10.25" style="7" customWidth="1" outlineLevel="1"/>
    <col min="55" max="55" width="1.625" style="7" customWidth="1"/>
    <col min="56" max="60" width="10.25" style="7" customWidth="1" outlineLevel="1"/>
    <col min="61" max="16384" width="10.25" style="7"/>
  </cols>
  <sheetData>
    <row r="1" spans="1:78" customFormat="1" x14ac:dyDescent="0.25">
      <c r="B1" s="4" t="s">
        <v>36</v>
      </c>
      <c r="BI1" t="s">
        <v>848</v>
      </c>
      <c r="BO1" s="265" t="s">
        <v>848</v>
      </c>
      <c r="BU1" s="265" t="s">
        <v>848</v>
      </c>
    </row>
    <row r="2" spans="1:78" customFormat="1" x14ac:dyDescent="0.25">
      <c r="B2" s="4" t="s">
        <v>96</v>
      </c>
      <c r="BI2" s="7"/>
      <c r="BK2" s="268">
        <v>0.1</v>
      </c>
      <c r="BL2" s="268">
        <v>0.2</v>
      </c>
      <c r="BM2" s="268">
        <v>0.2</v>
      </c>
      <c r="BN2" s="268">
        <v>0.2</v>
      </c>
      <c r="BQ2" s="268">
        <v>0.2</v>
      </c>
      <c r="BR2" s="268">
        <v>0.2</v>
      </c>
      <c r="BS2" s="268">
        <v>0.15</v>
      </c>
      <c r="BT2" s="268">
        <v>0.15</v>
      </c>
      <c r="BW2" s="268">
        <v>0.05</v>
      </c>
      <c r="BX2" s="268">
        <v>0.1</v>
      </c>
      <c r="BY2" s="268">
        <v>0.05</v>
      </c>
      <c r="BZ2" s="268">
        <v>0.05</v>
      </c>
    </row>
    <row r="3" spans="1:78"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32" t="s">
        <v>12</v>
      </c>
      <c r="AS3" s="432"/>
      <c r="AT3" s="432"/>
      <c r="AU3" s="432"/>
      <c r="AV3" s="432"/>
      <c r="AX3" s="433" t="s">
        <v>13</v>
      </c>
      <c r="AY3" s="433"/>
      <c r="AZ3" s="433"/>
      <c r="BA3" s="433"/>
      <c r="BB3" s="433"/>
      <c r="BD3" s="431" t="s">
        <v>166</v>
      </c>
      <c r="BE3" s="431"/>
      <c r="BF3" s="431"/>
      <c r="BG3" s="431"/>
      <c r="BH3" s="431"/>
      <c r="BJ3" s="435" t="s">
        <v>383</v>
      </c>
      <c r="BK3" s="435"/>
      <c r="BL3" s="435"/>
      <c r="BM3" s="435"/>
      <c r="BN3" s="435"/>
      <c r="BO3" s="265"/>
      <c r="BP3" s="436" t="s">
        <v>388</v>
      </c>
      <c r="BQ3" s="436"/>
      <c r="BR3" s="436"/>
      <c r="BS3" s="436"/>
      <c r="BT3" s="436"/>
      <c r="BU3" s="265"/>
      <c r="BV3" s="434" t="s">
        <v>389</v>
      </c>
      <c r="BW3" s="434"/>
      <c r="BX3" s="434"/>
      <c r="BY3" s="434"/>
      <c r="BZ3" s="434"/>
    </row>
    <row r="4" spans="1:78" customFormat="1" ht="16.5" thickBot="1" x14ac:dyDescent="0.3">
      <c r="A4" s="1"/>
      <c r="B4" s="3"/>
      <c r="C4" s="6"/>
      <c r="D4" s="6"/>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c r="AR4" s="10" t="s">
        <v>167</v>
      </c>
      <c r="AS4" s="10" t="s">
        <v>168</v>
      </c>
      <c r="AT4" s="10" t="s">
        <v>169</v>
      </c>
      <c r="AU4" s="10" t="s">
        <v>170</v>
      </c>
      <c r="AV4" s="10" t="s">
        <v>171</v>
      </c>
      <c r="AX4" s="10" t="s">
        <v>167</v>
      </c>
      <c r="AY4" s="10" t="s">
        <v>168</v>
      </c>
      <c r="AZ4" s="10" t="s">
        <v>169</v>
      </c>
      <c r="BA4" s="10" t="s">
        <v>170</v>
      </c>
      <c r="BB4" s="10" t="s">
        <v>171</v>
      </c>
      <c r="BD4" s="10" t="s">
        <v>167</v>
      </c>
      <c r="BE4" s="10" t="s">
        <v>168</v>
      </c>
      <c r="BF4" s="10" t="s">
        <v>169</v>
      </c>
      <c r="BG4" s="10" t="s">
        <v>170</v>
      </c>
      <c r="BH4" s="10" t="s">
        <v>171</v>
      </c>
      <c r="BJ4" s="10" t="s">
        <v>167</v>
      </c>
      <c r="BK4" s="10" t="s">
        <v>168</v>
      </c>
      <c r="BL4" s="10" t="s">
        <v>169</v>
      </c>
      <c r="BM4" s="10" t="s">
        <v>170</v>
      </c>
      <c r="BN4" s="10" t="s">
        <v>171</v>
      </c>
      <c r="BO4" s="265"/>
      <c r="BP4" s="10" t="s">
        <v>167</v>
      </c>
      <c r="BQ4" s="10" t="s">
        <v>168</v>
      </c>
      <c r="BR4" s="10" t="s">
        <v>169</v>
      </c>
      <c r="BS4" s="10" t="s">
        <v>170</v>
      </c>
      <c r="BT4" s="10" t="s">
        <v>171</v>
      </c>
      <c r="BU4" s="265"/>
      <c r="BV4" s="10" t="s">
        <v>167</v>
      </c>
      <c r="BW4" s="10" t="s">
        <v>168</v>
      </c>
      <c r="BX4" s="10" t="s">
        <v>169</v>
      </c>
      <c r="BY4" s="10" t="s">
        <v>170</v>
      </c>
      <c r="BZ4" s="10" t="s">
        <v>171</v>
      </c>
    </row>
    <row r="5" spans="1:78" s="16" customFormat="1" x14ac:dyDescent="0.25">
      <c r="B5" s="16" t="s">
        <v>14</v>
      </c>
      <c r="AR5" s="16">
        <f t="shared" ref="AR5" si="0">SUM(E5:P5)</f>
        <v>0</v>
      </c>
      <c r="AS5" s="16">
        <f t="shared" ref="AS5" si="1">SUM(E5:G5)</f>
        <v>0</v>
      </c>
      <c r="AT5" s="16">
        <f t="shared" ref="AT5" si="2">SUM(H5:J5)</f>
        <v>0</v>
      </c>
      <c r="AU5" s="16">
        <f t="shared" ref="AU5" si="3">SUM(K5:M5)</f>
        <v>0</v>
      </c>
      <c r="AV5" s="16">
        <f t="shared" ref="AV5" si="4">SUM(N5:P5)</f>
        <v>0</v>
      </c>
      <c r="AX5" s="16">
        <f t="shared" ref="AX5" si="5">SUM(R5:AC5)</f>
        <v>0</v>
      </c>
      <c r="AY5" s="16">
        <f t="shared" ref="AY5" si="6">SUM(R5:T5)</f>
        <v>0</v>
      </c>
      <c r="AZ5" s="16">
        <f t="shared" ref="AZ5" si="7">SUM(U5:W5)</f>
        <v>0</v>
      </c>
      <c r="BA5" s="16">
        <f t="shared" ref="BA5" si="8">SUM(X5:Z5)</f>
        <v>0</v>
      </c>
      <c r="BB5" s="16">
        <f t="shared" ref="BB5" si="9">SUM(AA5:AC5)</f>
        <v>0</v>
      </c>
      <c r="BD5" s="16">
        <f t="shared" ref="BD5" si="10">SUM(AE5:AP5)</f>
        <v>0</v>
      </c>
      <c r="BE5" s="16">
        <f t="shared" ref="BE5" si="11">SUM(AE5:AG5)</f>
        <v>0</v>
      </c>
      <c r="BF5" s="16">
        <f t="shared" ref="BF5" si="12">SUM(AH5:AJ5)</f>
        <v>0</v>
      </c>
      <c r="BG5" s="16">
        <f t="shared" ref="BG5" si="13">SUM(AK5:AM5)</f>
        <v>0</v>
      </c>
      <c r="BH5" s="16">
        <f t="shared" ref="BH5" si="14">SUM(AN5:AP5)</f>
        <v>0</v>
      </c>
      <c r="BJ5" s="16">
        <f>SUM(BK5:BN5)</f>
        <v>0</v>
      </c>
      <c r="BK5" s="16">
        <f>BH5*(1+BK$2)</f>
        <v>0</v>
      </c>
      <c r="BL5" s="16">
        <f>BK5*(1+BL$2)</f>
        <v>0</v>
      </c>
      <c r="BM5" s="16">
        <f>BL5*(1+BM$2)</f>
        <v>0</v>
      </c>
      <c r="BN5" s="16">
        <f>BM5*(1+BN$2)</f>
        <v>0</v>
      </c>
      <c r="BP5" s="16">
        <f>SUM(BQ5:BT5)</f>
        <v>0</v>
      </c>
      <c r="BQ5" s="16">
        <f>BN5*(1+BQ$2)</f>
        <v>0</v>
      </c>
      <c r="BR5" s="16">
        <f>BQ5*(1+BR$2)</f>
        <v>0</v>
      </c>
      <c r="BS5" s="16">
        <f>BR5*(1+BS$2)</f>
        <v>0</v>
      </c>
      <c r="BT5" s="16">
        <f>BS5*(1+BT$2)</f>
        <v>0</v>
      </c>
      <c r="BV5" s="16">
        <f>SUM(BW5:BZ5)</f>
        <v>0</v>
      </c>
      <c r="BW5" s="16">
        <f>BT5*(1+BW$2)</f>
        <v>0</v>
      </c>
      <c r="BX5" s="16">
        <f>BW5*(1+BX$2)</f>
        <v>0</v>
      </c>
      <c r="BY5" s="16">
        <f>BX5*(1+BY$2)</f>
        <v>0</v>
      </c>
      <c r="BZ5" s="16">
        <f>BY5*(1+BZ$2)</f>
        <v>0</v>
      </c>
    </row>
    <row r="6" spans="1:78" s="16" customFormat="1" x14ac:dyDescent="0.25">
      <c r="B6" s="16" t="s">
        <v>15</v>
      </c>
      <c r="E6" s="16">
        <f>+E91</f>
        <v>50833.333333333328</v>
      </c>
      <c r="F6" s="16">
        <f t="shared" ref="F6:P6" si="15">+F91</f>
        <v>50833.333333333328</v>
      </c>
      <c r="G6" s="16">
        <f t="shared" si="15"/>
        <v>50833.333333333328</v>
      </c>
      <c r="H6" s="16">
        <f t="shared" si="15"/>
        <v>50833.333333333328</v>
      </c>
      <c r="I6" s="16">
        <f t="shared" si="15"/>
        <v>50833.333333333328</v>
      </c>
      <c r="J6" s="16">
        <f t="shared" si="15"/>
        <v>50833.333333333328</v>
      </c>
      <c r="K6" s="16">
        <f t="shared" si="15"/>
        <v>50833.333333333328</v>
      </c>
      <c r="L6" s="16">
        <f t="shared" si="15"/>
        <v>50833.333333333328</v>
      </c>
      <c r="M6" s="16">
        <f t="shared" si="15"/>
        <v>50833.333333333328</v>
      </c>
      <c r="N6" s="16">
        <f t="shared" si="15"/>
        <v>50833.333333333328</v>
      </c>
      <c r="O6" s="16">
        <f t="shared" si="15"/>
        <v>50833.333333333328</v>
      </c>
      <c r="P6" s="16">
        <f t="shared" si="15"/>
        <v>50833.333333333328</v>
      </c>
      <c r="R6" s="16">
        <f>+R91</f>
        <v>50833.333333333328</v>
      </c>
      <c r="S6" s="16">
        <f t="shared" ref="S6:AC6" si="16">+S91</f>
        <v>50833.333333333328</v>
      </c>
      <c r="T6" s="16">
        <f t="shared" si="16"/>
        <v>50833.333333333328</v>
      </c>
      <c r="U6" s="16">
        <f t="shared" si="16"/>
        <v>50833.333333333328</v>
      </c>
      <c r="V6" s="16">
        <f t="shared" si="16"/>
        <v>50833.333333333328</v>
      </c>
      <c r="W6" s="16">
        <f t="shared" si="16"/>
        <v>50833.333333333328</v>
      </c>
      <c r="X6" s="16">
        <f t="shared" si="16"/>
        <v>60833.333333333328</v>
      </c>
      <c r="Y6" s="16">
        <f t="shared" si="16"/>
        <v>60833.333333333328</v>
      </c>
      <c r="Z6" s="16">
        <f t="shared" si="16"/>
        <v>60833.333333333328</v>
      </c>
      <c r="AA6" s="16">
        <f t="shared" si="16"/>
        <v>60833.333333333328</v>
      </c>
      <c r="AB6" s="16">
        <f t="shared" si="16"/>
        <v>60833.333333333328</v>
      </c>
      <c r="AC6" s="16">
        <f t="shared" si="16"/>
        <v>60833.333333333328</v>
      </c>
      <c r="AE6" s="16">
        <f t="shared" ref="AE6:AP6" si="17">+AE91</f>
        <v>60833.333333333328</v>
      </c>
      <c r="AF6" s="16">
        <f t="shared" si="17"/>
        <v>60833.333333333328</v>
      </c>
      <c r="AG6" s="16">
        <f t="shared" si="17"/>
        <v>60833.333333333328</v>
      </c>
      <c r="AH6" s="16">
        <f t="shared" si="17"/>
        <v>60833.333333333328</v>
      </c>
      <c r="AI6" s="16">
        <f t="shared" si="17"/>
        <v>60833.333333333328</v>
      </c>
      <c r="AJ6" s="16">
        <f t="shared" si="17"/>
        <v>60833.333333333328</v>
      </c>
      <c r="AK6" s="16">
        <f t="shared" si="17"/>
        <v>90833.333333333328</v>
      </c>
      <c r="AL6" s="16">
        <f t="shared" si="17"/>
        <v>90833.333333333328</v>
      </c>
      <c r="AM6" s="16">
        <f t="shared" si="17"/>
        <v>90833.333333333328</v>
      </c>
      <c r="AN6" s="16">
        <f t="shared" si="17"/>
        <v>90833.333333333328</v>
      </c>
      <c r="AO6" s="16">
        <f t="shared" si="17"/>
        <v>90833.333333333328</v>
      </c>
      <c r="AP6" s="16">
        <f t="shared" si="17"/>
        <v>90833.333333333328</v>
      </c>
      <c r="AR6" s="16">
        <f>SUM(E6:P6)</f>
        <v>609999.99999999988</v>
      </c>
      <c r="AS6" s="16">
        <f>SUM(E6:G6)</f>
        <v>152500</v>
      </c>
      <c r="AT6" s="16">
        <f>SUM(H6:J6)</f>
        <v>152500</v>
      </c>
      <c r="AU6" s="16">
        <f>SUM(K6:M6)</f>
        <v>152500</v>
      </c>
      <c r="AV6" s="16">
        <f>SUM(N6:P6)</f>
        <v>152500</v>
      </c>
      <c r="AX6" s="16">
        <f>SUM(R6:AC6)</f>
        <v>670000</v>
      </c>
      <c r="AY6" s="16">
        <f>SUM(R6:T6)</f>
        <v>152500</v>
      </c>
      <c r="AZ6" s="16">
        <f>SUM(U6:W6)</f>
        <v>152500</v>
      </c>
      <c r="BA6" s="16">
        <f>SUM(X6:Z6)</f>
        <v>182500</v>
      </c>
      <c r="BB6" s="16">
        <f>SUM(AA6:AC6)</f>
        <v>182500</v>
      </c>
      <c r="BD6" s="16">
        <f>SUM(AE6:AP6)</f>
        <v>910000.00000000012</v>
      </c>
      <c r="BE6" s="16">
        <f>SUM(AE6:AG6)</f>
        <v>182500</v>
      </c>
      <c r="BF6" s="16">
        <f>SUM(AH6:AJ6)</f>
        <v>182500</v>
      </c>
      <c r="BG6" s="16">
        <f>SUM(AK6:AM6)</f>
        <v>272500</v>
      </c>
      <c r="BH6" s="16">
        <f>SUM(AN6:AP6)</f>
        <v>272500</v>
      </c>
      <c r="BJ6" s="16">
        <f>BJ91</f>
        <v>957500</v>
      </c>
      <c r="BK6" s="16">
        <f t="shared" ref="BK6:BN6" si="18">BK91</f>
        <v>230000</v>
      </c>
      <c r="BL6" s="16">
        <f t="shared" si="18"/>
        <v>230000</v>
      </c>
      <c r="BM6" s="16">
        <f t="shared" si="18"/>
        <v>230000</v>
      </c>
      <c r="BN6" s="16">
        <f t="shared" si="18"/>
        <v>267500</v>
      </c>
      <c r="BP6" s="16">
        <f>BP91</f>
        <v>1207500</v>
      </c>
      <c r="BQ6" s="16">
        <f t="shared" ref="BQ6:BT6" si="19">BQ91</f>
        <v>292500</v>
      </c>
      <c r="BR6" s="16">
        <f t="shared" si="19"/>
        <v>305000</v>
      </c>
      <c r="BS6" s="16">
        <f t="shared" si="19"/>
        <v>305000</v>
      </c>
      <c r="BT6" s="16">
        <f t="shared" si="19"/>
        <v>305000</v>
      </c>
      <c r="BV6" s="16">
        <f>BV91</f>
        <v>1220000</v>
      </c>
      <c r="BW6" s="16">
        <f t="shared" ref="BW6:BZ6" si="20">BW91</f>
        <v>305000</v>
      </c>
      <c r="BX6" s="16">
        <f t="shared" si="20"/>
        <v>305000</v>
      </c>
      <c r="BY6" s="16">
        <f t="shared" si="20"/>
        <v>305000</v>
      </c>
      <c r="BZ6" s="16">
        <f t="shared" si="20"/>
        <v>305000</v>
      </c>
    </row>
    <row r="7" spans="1:78" s="16" customFormat="1" x14ac:dyDescent="0.25">
      <c r="B7" s="16" t="s">
        <v>16</v>
      </c>
      <c r="E7" s="16">
        <f>$C$88*0.5/12</f>
        <v>12916.666666666666</v>
      </c>
      <c r="F7" s="16">
        <f t="shared" ref="F7:P7" si="21">$C$88*0.5/12</f>
        <v>12916.666666666666</v>
      </c>
      <c r="G7" s="16">
        <f t="shared" si="21"/>
        <v>12916.666666666666</v>
      </c>
      <c r="H7" s="16">
        <f t="shared" si="21"/>
        <v>12916.666666666666</v>
      </c>
      <c r="I7" s="16">
        <f t="shared" si="21"/>
        <v>12916.666666666666</v>
      </c>
      <c r="J7" s="16">
        <f t="shared" si="21"/>
        <v>12916.666666666666</v>
      </c>
      <c r="K7" s="16">
        <f t="shared" si="21"/>
        <v>12916.666666666666</v>
      </c>
      <c r="L7" s="16">
        <f t="shared" si="21"/>
        <v>12916.666666666666</v>
      </c>
      <c r="M7" s="16">
        <f t="shared" si="21"/>
        <v>12916.666666666666</v>
      </c>
      <c r="N7" s="16">
        <f t="shared" si="21"/>
        <v>12916.666666666666</v>
      </c>
      <c r="O7" s="16">
        <f t="shared" si="21"/>
        <v>12916.666666666666</v>
      </c>
      <c r="P7" s="16">
        <f t="shared" si="21"/>
        <v>12916.666666666666</v>
      </c>
      <c r="R7" s="16">
        <f>$C$88*0.5/12</f>
        <v>12916.666666666666</v>
      </c>
      <c r="S7" s="16">
        <f t="shared" ref="S7:AC7" si="22">$C$88*0.5/12</f>
        <v>12916.666666666666</v>
      </c>
      <c r="T7" s="16">
        <f t="shared" si="22"/>
        <v>12916.666666666666</v>
      </c>
      <c r="U7" s="16">
        <f t="shared" si="22"/>
        <v>12916.666666666666</v>
      </c>
      <c r="V7" s="16">
        <f t="shared" si="22"/>
        <v>12916.666666666666</v>
      </c>
      <c r="W7" s="16">
        <f t="shared" si="22"/>
        <v>12916.666666666666</v>
      </c>
      <c r="X7" s="16">
        <f t="shared" si="22"/>
        <v>12916.666666666666</v>
      </c>
      <c r="Y7" s="16">
        <f t="shared" si="22"/>
        <v>12916.666666666666</v>
      </c>
      <c r="Z7" s="16">
        <f t="shared" si="22"/>
        <v>12916.666666666666</v>
      </c>
      <c r="AA7" s="16">
        <f t="shared" si="22"/>
        <v>12916.666666666666</v>
      </c>
      <c r="AB7" s="16">
        <f t="shared" si="22"/>
        <v>12916.666666666666</v>
      </c>
      <c r="AC7" s="16">
        <f t="shared" si="22"/>
        <v>12916.666666666666</v>
      </c>
      <c r="AE7" s="16">
        <f>$C$88*0.5/12</f>
        <v>12916.666666666666</v>
      </c>
      <c r="AF7" s="16">
        <f t="shared" ref="AF7:AP7" si="23">$C$88*0.5/12</f>
        <v>12916.666666666666</v>
      </c>
      <c r="AG7" s="16">
        <f t="shared" si="23"/>
        <v>12916.666666666666</v>
      </c>
      <c r="AH7" s="16">
        <f t="shared" si="23"/>
        <v>12916.666666666666</v>
      </c>
      <c r="AI7" s="16">
        <f t="shared" si="23"/>
        <v>12916.666666666666</v>
      </c>
      <c r="AJ7" s="16">
        <f t="shared" si="23"/>
        <v>12916.666666666666</v>
      </c>
      <c r="AK7" s="16">
        <f t="shared" si="23"/>
        <v>12916.666666666666</v>
      </c>
      <c r="AL7" s="16">
        <f t="shared" si="23"/>
        <v>12916.666666666666</v>
      </c>
      <c r="AM7" s="16">
        <f t="shared" si="23"/>
        <v>12916.666666666666</v>
      </c>
      <c r="AN7" s="16">
        <f t="shared" si="23"/>
        <v>12916.666666666666</v>
      </c>
      <c r="AO7" s="16">
        <f t="shared" si="23"/>
        <v>12916.666666666666</v>
      </c>
      <c r="AP7" s="16">
        <f t="shared" si="23"/>
        <v>12916.666666666666</v>
      </c>
      <c r="AR7" s="16">
        <f t="shared" ref="AR7" si="24">SUM(E7:P7)</f>
        <v>155000</v>
      </c>
      <c r="AS7" s="16">
        <f t="shared" ref="AS7" si="25">SUM(E7:G7)</f>
        <v>38750</v>
      </c>
      <c r="AT7" s="16">
        <f t="shared" ref="AT7" si="26">SUM(H7:J7)</f>
        <v>38750</v>
      </c>
      <c r="AU7" s="16">
        <f t="shared" ref="AU7" si="27">SUM(K7:M7)</f>
        <v>38750</v>
      </c>
      <c r="AV7" s="16">
        <f t="shared" ref="AV7" si="28">SUM(N7:P7)</f>
        <v>38750</v>
      </c>
      <c r="AX7" s="16">
        <f t="shared" ref="AX7" si="29">SUM(R7:AC7)</f>
        <v>155000</v>
      </c>
      <c r="AY7" s="16">
        <f t="shared" ref="AY7" si="30">SUM(R7:T7)</f>
        <v>38750</v>
      </c>
      <c r="AZ7" s="16">
        <f t="shared" ref="AZ7" si="31">SUM(U7:W7)</f>
        <v>38750</v>
      </c>
      <c r="BA7" s="16">
        <f t="shared" ref="BA7" si="32">SUM(X7:Z7)</f>
        <v>38750</v>
      </c>
      <c r="BB7" s="16">
        <f t="shared" ref="BB7" si="33">SUM(AA7:AC7)</f>
        <v>38750</v>
      </c>
      <c r="BD7" s="16">
        <f t="shared" ref="BD7" si="34">SUM(AE7:AP7)</f>
        <v>155000</v>
      </c>
      <c r="BE7" s="16">
        <f t="shared" ref="BE7" si="35">SUM(AE7:AG7)</f>
        <v>38750</v>
      </c>
      <c r="BF7" s="16">
        <f t="shared" ref="BF7" si="36">SUM(AH7:AJ7)</f>
        <v>38750</v>
      </c>
      <c r="BG7" s="16">
        <f t="shared" ref="BG7" si="37">SUM(AK7:AM7)</f>
        <v>38750</v>
      </c>
      <c r="BH7" s="16">
        <f t="shared" ref="BH7" si="38">SUM(AN7:AP7)</f>
        <v>38750</v>
      </c>
      <c r="BJ7" s="16">
        <f t="shared" ref="BJ7" si="39">SUM(BK7:BN7)</f>
        <v>228811</v>
      </c>
      <c r="BK7" s="16">
        <f t="shared" ref="BK7" si="40">BH7*(1+BK$2)</f>
        <v>42625</v>
      </c>
      <c r="BL7" s="16">
        <f t="shared" ref="BL7:BN7" si="41">BK7*(1+BL$2)</f>
        <v>51150</v>
      </c>
      <c r="BM7" s="16">
        <f t="shared" si="41"/>
        <v>61380</v>
      </c>
      <c r="BN7" s="16">
        <f t="shared" si="41"/>
        <v>73656</v>
      </c>
      <c r="BP7" s="16">
        <f t="shared" ref="BP7" si="42">SUM(BQ7:BT7)</f>
        <v>456696.66239999997</v>
      </c>
      <c r="BQ7" s="16">
        <f>BN7*(1+BQ$2)</f>
        <v>88387.199999999997</v>
      </c>
      <c r="BR7" s="16">
        <f t="shared" ref="BR7:BT7" si="43">BQ7*(1+BR$2)</f>
        <v>106064.64</v>
      </c>
      <c r="BS7" s="16">
        <f t="shared" si="43"/>
        <v>121974.336</v>
      </c>
      <c r="BT7" s="16">
        <f t="shared" si="43"/>
        <v>140270.48639999999</v>
      </c>
      <c r="BV7" s="16">
        <f t="shared" ref="BV7" si="44">SUM(BW7:BZ7)</f>
        <v>658028.13889427995</v>
      </c>
      <c r="BW7" s="16">
        <f t="shared" ref="BW7" si="45">BT7*(1+BW$2)</f>
        <v>147284.01071999999</v>
      </c>
      <c r="BX7" s="16">
        <f t="shared" ref="BX7:BZ7" si="46">BW7*(1+BX$2)</f>
        <v>162012.411792</v>
      </c>
      <c r="BY7" s="16">
        <f t="shared" si="46"/>
        <v>170113.0323816</v>
      </c>
      <c r="BZ7" s="16">
        <f t="shared" si="46"/>
        <v>178618.68400068002</v>
      </c>
    </row>
    <row r="8" spans="1:78" s="16" customFormat="1" x14ac:dyDescent="0.25"/>
    <row r="9" spans="1:78" s="16" customFormat="1" x14ac:dyDescent="0.25">
      <c r="B9" s="16" t="s">
        <v>17</v>
      </c>
      <c r="E9" s="17">
        <f>SUBTOTAL(9,E5:E8)</f>
        <v>63749.999999999993</v>
      </c>
      <c r="F9" s="17">
        <f t="shared" ref="F9:P9" si="47">SUBTOTAL(9,F5:F8)</f>
        <v>63749.999999999993</v>
      </c>
      <c r="G9" s="17">
        <f t="shared" si="47"/>
        <v>63749.999999999993</v>
      </c>
      <c r="H9" s="17">
        <f t="shared" si="47"/>
        <v>63749.999999999993</v>
      </c>
      <c r="I9" s="17">
        <f t="shared" si="47"/>
        <v>63749.999999999993</v>
      </c>
      <c r="J9" s="17">
        <f t="shared" si="47"/>
        <v>63749.999999999993</v>
      </c>
      <c r="K9" s="17">
        <f t="shared" si="47"/>
        <v>63749.999999999993</v>
      </c>
      <c r="L9" s="17">
        <f t="shared" si="47"/>
        <v>63749.999999999993</v>
      </c>
      <c r="M9" s="17">
        <f t="shared" si="47"/>
        <v>63749.999999999993</v>
      </c>
      <c r="N9" s="17">
        <f t="shared" si="47"/>
        <v>63749.999999999993</v>
      </c>
      <c r="O9" s="17">
        <f t="shared" si="47"/>
        <v>63749.999999999993</v>
      </c>
      <c r="P9" s="17">
        <f t="shared" si="47"/>
        <v>63749.999999999993</v>
      </c>
      <c r="R9" s="17">
        <f>SUBTOTAL(9,R5:R8)</f>
        <v>63749.999999999993</v>
      </c>
      <c r="S9" s="17">
        <f t="shared" ref="S9" si="48">SUBTOTAL(9,S5:S8)</f>
        <v>63749.999999999993</v>
      </c>
      <c r="T9" s="17">
        <f t="shared" ref="T9" si="49">SUBTOTAL(9,T5:T8)</f>
        <v>63749.999999999993</v>
      </c>
      <c r="U9" s="17">
        <f t="shared" ref="U9" si="50">SUBTOTAL(9,U5:U8)</f>
        <v>63749.999999999993</v>
      </c>
      <c r="V9" s="17">
        <f t="shared" ref="V9" si="51">SUBTOTAL(9,V5:V8)</f>
        <v>63749.999999999993</v>
      </c>
      <c r="W9" s="17">
        <f t="shared" ref="W9" si="52">SUBTOTAL(9,W5:W8)</f>
        <v>63749.999999999993</v>
      </c>
      <c r="X9" s="17">
        <f t="shared" ref="X9" si="53">SUBTOTAL(9,X5:X8)</f>
        <v>73750</v>
      </c>
      <c r="Y9" s="17">
        <f t="shared" ref="Y9" si="54">SUBTOTAL(9,Y5:Y8)</f>
        <v>73750</v>
      </c>
      <c r="Z9" s="17">
        <f t="shared" ref="Z9" si="55">SUBTOTAL(9,Z5:Z8)</f>
        <v>73750</v>
      </c>
      <c r="AA9" s="17">
        <f t="shared" ref="AA9" si="56">SUBTOTAL(9,AA5:AA8)</f>
        <v>73750</v>
      </c>
      <c r="AB9" s="17">
        <f t="shared" ref="AB9" si="57">SUBTOTAL(9,AB5:AB8)</f>
        <v>73750</v>
      </c>
      <c r="AC9" s="17">
        <f t="shared" ref="AC9:AP9" si="58">SUBTOTAL(9,AC5:AC8)</f>
        <v>73750</v>
      </c>
      <c r="AE9" s="17">
        <f t="shared" si="58"/>
        <v>73750</v>
      </c>
      <c r="AF9" s="17">
        <f t="shared" si="58"/>
        <v>73750</v>
      </c>
      <c r="AG9" s="17">
        <f t="shared" si="58"/>
        <v>73750</v>
      </c>
      <c r="AH9" s="17">
        <f t="shared" si="58"/>
        <v>73750</v>
      </c>
      <c r="AI9" s="17">
        <f t="shared" si="58"/>
        <v>73750</v>
      </c>
      <c r="AJ9" s="17">
        <f t="shared" si="58"/>
        <v>73750</v>
      </c>
      <c r="AK9" s="17">
        <f t="shared" si="58"/>
        <v>103750</v>
      </c>
      <c r="AL9" s="17">
        <f t="shared" si="58"/>
        <v>103750</v>
      </c>
      <c r="AM9" s="17">
        <f t="shared" si="58"/>
        <v>103750</v>
      </c>
      <c r="AN9" s="17">
        <f t="shared" si="58"/>
        <v>103750</v>
      </c>
      <c r="AO9" s="17">
        <f t="shared" si="58"/>
        <v>103750</v>
      </c>
      <c r="AP9" s="17">
        <f t="shared" si="58"/>
        <v>103750</v>
      </c>
      <c r="AR9" s="17">
        <f t="shared" ref="AR9:AV9" si="59">SUBTOTAL(9,AR5:AR8)</f>
        <v>764999.99999999988</v>
      </c>
      <c r="AS9" s="17">
        <f t="shared" si="59"/>
        <v>191250</v>
      </c>
      <c r="AT9" s="17">
        <f t="shared" si="59"/>
        <v>191250</v>
      </c>
      <c r="AU9" s="17">
        <f t="shared" si="59"/>
        <v>191250</v>
      </c>
      <c r="AV9" s="17">
        <f t="shared" si="59"/>
        <v>191250</v>
      </c>
      <c r="AX9" s="17">
        <f t="shared" ref="AX9:BB9" si="60">SUBTOTAL(9,AX5:AX8)</f>
        <v>825000</v>
      </c>
      <c r="AY9" s="17">
        <f t="shared" si="60"/>
        <v>191250</v>
      </c>
      <c r="AZ9" s="17">
        <f t="shared" si="60"/>
        <v>191250</v>
      </c>
      <c r="BA9" s="17">
        <f t="shared" si="60"/>
        <v>221250</v>
      </c>
      <c r="BB9" s="17">
        <f t="shared" si="60"/>
        <v>221250</v>
      </c>
      <c r="BD9" s="17">
        <f t="shared" ref="BD9:BH9" si="61">SUBTOTAL(9,BD5:BD8)</f>
        <v>1065000</v>
      </c>
      <c r="BE9" s="17">
        <f t="shared" si="61"/>
        <v>221250</v>
      </c>
      <c r="BF9" s="17">
        <f t="shared" si="61"/>
        <v>221250</v>
      </c>
      <c r="BG9" s="17">
        <f t="shared" si="61"/>
        <v>311250</v>
      </c>
      <c r="BH9" s="17">
        <f t="shared" si="61"/>
        <v>311250</v>
      </c>
      <c r="BJ9" s="17">
        <f>SUBTOTAL(9,BJ5:BJ7)</f>
        <v>1186311</v>
      </c>
      <c r="BK9" s="17">
        <f t="shared" ref="BK9:BN9" si="62">SUBTOTAL(9,BK5:BK7)</f>
        <v>272625</v>
      </c>
      <c r="BL9" s="17">
        <f t="shared" si="62"/>
        <v>281150</v>
      </c>
      <c r="BM9" s="17">
        <f t="shared" si="62"/>
        <v>291380</v>
      </c>
      <c r="BN9" s="17">
        <f t="shared" si="62"/>
        <v>341156</v>
      </c>
      <c r="BP9" s="17">
        <f>SUBTOTAL(9,BP5:BP7)</f>
        <v>1664196.6624</v>
      </c>
      <c r="BQ9" s="17">
        <f t="shared" ref="BQ9:BT9" si="63">SUBTOTAL(9,BQ5:BQ7)</f>
        <v>380887.2</v>
      </c>
      <c r="BR9" s="17">
        <f t="shared" si="63"/>
        <v>411064.64</v>
      </c>
      <c r="BS9" s="17">
        <f t="shared" si="63"/>
        <v>426974.33600000001</v>
      </c>
      <c r="BT9" s="17">
        <f t="shared" si="63"/>
        <v>445270.48639999999</v>
      </c>
      <c r="BV9" s="17">
        <f>SUM(BV5:BV7)</f>
        <v>1878028.13889428</v>
      </c>
      <c r="BW9" s="17">
        <f t="shared" ref="BW9:BY9" si="64">SUM(BW5:BW7)</f>
        <v>452284.01072000002</v>
      </c>
      <c r="BX9" s="17">
        <f t="shared" si="64"/>
        <v>467012.411792</v>
      </c>
      <c r="BY9" s="17">
        <f t="shared" si="64"/>
        <v>475113.0323816</v>
      </c>
      <c r="BZ9" s="17">
        <f>SUM(BZ5:BZ7)</f>
        <v>483618.68400067999</v>
      </c>
    </row>
    <row r="10" spans="1:78" s="16" customFormat="1" x14ac:dyDescent="0.25"/>
    <row r="11" spans="1:78" s="16" customFormat="1" x14ac:dyDescent="0.25">
      <c r="B11" s="16" t="s">
        <v>19</v>
      </c>
      <c r="C11" s="20">
        <v>0.04</v>
      </c>
      <c r="E11" s="16">
        <f>(E$5+E$6)*$C11</f>
        <v>2033.3333333333333</v>
      </c>
      <c r="F11" s="16">
        <f t="shared" ref="F11:P15" si="65">(F$5+F$6)*$C11</f>
        <v>2033.3333333333333</v>
      </c>
      <c r="G11" s="16">
        <f t="shared" si="65"/>
        <v>2033.3333333333333</v>
      </c>
      <c r="H11" s="16">
        <f t="shared" si="65"/>
        <v>2033.3333333333333</v>
      </c>
      <c r="I11" s="16">
        <f t="shared" si="65"/>
        <v>2033.3333333333333</v>
      </c>
      <c r="J11" s="16">
        <f t="shared" si="65"/>
        <v>2033.3333333333333</v>
      </c>
      <c r="K11" s="16">
        <f t="shared" si="65"/>
        <v>2033.3333333333333</v>
      </c>
      <c r="L11" s="16">
        <f t="shared" si="65"/>
        <v>2033.3333333333333</v>
      </c>
      <c r="M11" s="16">
        <f t="shared" si="65"/>
        <v>2033.3333333333333</v>
      </c>
      <c r="N11" s="16">
        <f t="shared" si="65"/>
        <v>2033.3333333333333</v>
      </c>
      <c r="O11" s="16">
        <f t="shared" si="65"/>
        <v>2033.3333333333333</v>
      </c>
      <c r="P11" s="16">
        <f t="shared" si="65"/>
        <v>2033.3333333333333</v>
      </c>
      <c r="R11" s="16">
        <f>(R$5+R$6)*$C11</f>
        <v>2033.3333333333333</v>
      </c>
      <c r="S11" s="16">
        <f t="shared" ref="S11:AH15" si="66">(S$5+S$6)*$C11</f>
        <v>2033.3333333333333</v>
      </c>
      <c r="T11" s="16">
        <f t="shared" si="66"/>
        <v>2033.3333333333333</v>
      </c>
      <c r="U11" s="16">
        <f t="shared" si="66"/>
        <v>2033.3333333333333</v>
      </c>
      <c r="V11" s="16">
        <f t="shared" si="66"/>
        <v>2033.3333333333333</v>
      </c>
      <c r="W11" s="16">
        <f t="shared" si="66"/>
        <v>2033.3333333333333</v>
      </c>
      <c r="X11" s="16">
        <f t="shared" si="66"/>
        <v>2433.333333333333</v>
      </c>
      <c r="Y11" s="16">
        <f t="shared" si="66"/>
        <v>2433.333333333333</v>
      </c>
      <c r="Z11" s="16">
        <f t="shared" si="66"/>
        <v>2433.333333333333</v>
      </c>
      <c r="AA11" s="16">
        <f t="shared" si="66"/>
        <v>2433.333333333333</v>
      </c>
      <c r="AB11" s="16">
        <f t="shared" si="66"/>
        <v>2433.333333333333</v>
      </c>
      <c r="AC11" s="16">
        <f t="shared" si="66"/>
        <v>2433.333333333333</v>
      </c>
      <c r="AE11" s="16">
        <f t="shared" si="66"/>
        <v>2433.333333333333</v>
      </c>
      <c r="AF11" s="16">
        <f t="shared" si="66"/>
        <v>2433.333333333333</v>
      </c>
      <c r="AG11" s="16">
        <f t="shared" si="66"/>
        <v>2433.333333333333</v>
      </c>
      <c r="AH11" s="16">
        <f t="shared" si="66"/>
        <v>2433.333333333333</v>
      </c>
      <c r="AI11" s="16">
        <f t="shared" ref="AE11:AP15" si="67">(AI$5+AI$6)*$C11</f>
        <v>2433.333333333333</v>
      </c>
      <c r="AJ11" s="16">
        <f t="shared" si="67"/>
        <v>2433.333333333333</v>
      </c>
      <c r="AK11" s="16">
        <f t="shared" si="67"/>
        <v>3633.333333333333</v>
      </c>
      <c r="AL11" s="16">
        <f t="shared" si="67"/>
        <v>3633.333333333333</v>
      </c>
      <c r="AM11" s="16">
        <f t="shared" si="67"/>
        <v>3633.333333333333</v>
      </c>
      <c r="AN11" s="16">
        <f t="shared" si="67"/>
        <v>3633.333333333333</v>
      </c>
      <c r="AO11" s="16">
        <f t="shared" si="67"/>
        <v>3633.333333333333</v>
      </c>
      <c r="AP11" s="16">
        <f t="shared" si="67"/>
        <v>3633.333333333333</v>
      </c>
      <c r="AR11" s="16">
        <f t="shared" ref="AR11:AR15" si="68">SUM(E11:P11)</f>
        <v>24399.999999999996</v>
      </c>
      <c r="AS11" s="16">
        <f t="shared" ref="AS11:AS15" si="69">SUM(E11:G11)</f>
        <v>6100</v>
      </c>
      <c r="AT11" s="16">
        <f t="shared" ref="AT11:AT15" si="70">SUM(H11:J11)</f>
        <v>6100</v>
      </c>
      <c r="AU11" s="16">
        <f t="shared" ref="AU11:AU15" si="71">SUM(K11:M11)</f>
        <v>6100</v>
      </c>
      <c r="AV11" s="16">
        <f t="shared" ref="AV11:AV15" si="72">SUM(N11:P11)</f>
        <v>6100</v>
      </c>
      <c r="AX11" s="16">
        <f t="shared" ref="AX11:AX15" si="73">SUM(R11:AC11)</f>
        <v>26799.999999999993</v>
      </c>
      <c r="AY11" s="16">
        <f t="shared" ref="AY11:AY15" si="74">SUM(R11:T11)</f>
        <v>6100</v>
      </c>
      <c r="AZ11" s="16">
        <f t="shared" ref="AZ11:AZ15" si="75">SUM(U11:W11)</f>
        <v>6100</v>
      </c>
      <c r="BA11" s="16">
        <f t="shared" ref="BA11:BA15" si="76">SUM(X11:Z11)</f>
        <v>7299.9999999999991</v>
      </c>
      <c r="BB11" s="16">
        <f t="shared" ref="BB11:BB15" si="77">SUM(AA11:AC11)</f>
        <v>7299.9999999999991</v>
      </c>
      <c r="BD11" s="16">
        <f t="shared" ref="BD11:BD15" si="78">SUM(AE11:AP11)</f>
        <v>36399.999999999993</v>
      </c>
      <c r="BE11" s="16">
        <f t="shared" ref="BE11:BE15" si="79">SUM(AE11:AG11)</f>
        <v>7299.9999999999991</v>
      </c>
      <c r="BF11" s="16">
        <f t="shared" ref="BF11:BF15" si="80">SUM(AH11:AJ11)</f>
        <v>7299.9999999999991</v>
      </c>
      <c r="BG11" s="16">
        <f t="shared" ref="BG11:BG15" si="81">SUM(AK11:AM11)</f>
        <v>10900</v>
      </c>
      <c r="BH11" s="16">
        <f t="shared" ref="BH11:BH15" si="82">SUM(AN11:AP11)</f>
        <v>10900</v>
      </c>
      <c r="BJ11" s="16">
        <f>SUM(BK11:BN11)</f>
        <v>38300</v>
      </c>
      <c r="BK11" s="16">
        <f t="shared" ref="BK11:BN15" si="83">(BK$5+BK$6)*$C11</f>
        <v>9200</v>
      </c>
      <c r="BL11" s="16">
        <f t="shared" si="83"/>
        <v>9200</v>
      </c>
      <c r="BM11" s="16">
        <f t="shared" si="83"/>
        <v>9200</v>
      </c>
      <c r="BN11" s="16">
        <f t="shared" si="83"/>
        <v>10700</v>
      </c>
      <c r="BP11" s="16">
        <f>SUM(BQ11:BT11)</f>
        <v>48300</v>
      </c>
      <c r="BQ11" s="16">
        <f t="shared" ref="BQ11:BT15" si="84">(BQ$5+BQ$6)*$C11</f>
        <v>11700</v>
      </c>
      <c r="BR11" s="16">
        <f t="shared" si="84"/>
        <v>12200</v>
      </c>
      <c r="BS11" s="16">
        <f t="shared" si="84"/>
        <v>12200</v>
      </c>
      <c r="BT11" s="16">
        <f t="shared" si="84"/>
        <v>12200</v>
      </c>
      <c r="BV11" s="16">
        <f>SUM(BW11:BZ11)</f>
        <v>48800</v>
      </c>
      <c r="BW11" s="16">
        <f t="shared" ref="BW11:BZ15" si="85">(BW$5+BW$6)*$C11</f>
        <v>12200</v>
      </c>
      <c r="BX11" s="16">
        <f t="shared" si="85"/>
        <v>12200</v>
      </c>
      <c r="BY11" s="16">
        <f t="shared" si="85"/>
        <v>12200</v>
      </c>
      <c r="BZ11" s="16">
        <f t="shared" si="85"/>
        <v>12200</v>
      </c>
    </row>
    <row r="12" spans="1:78" s="16" customFormat="1" x14ac:dyDescent="0.25">
      <c r="B12" s="16" t="s">
        <v>18</v>
      </c>
      <c r="C12" s="20">
        <v>7.8E-2</v>
      </c>
      <c r="E12" s="16">
        <f t="shared" ref="E12:R15" si="86">(E$5+E$6)*$C12</f>
        <v>3964.9999999999995</v>
      </c>
      <c r="F12" s="16">
        <f t="shared" si="65"/>
        <v>3964.9999999999995</v>
      </c>
      <c r="G12" s="16">
        <f t="shared" si="65"/>
        <v>3964.9999999999995</v>
      </c>
      <c r="H12" s="16">
        <f t="shared" si="65"/>
        <v>3964.9999999999995</v>
      </c>
      <c r="I12" s="16">
        <f t="shared" si="65"/>
        <v>3964.9999999999995</v>
      </c>
      <c r="J12" s="16">
        <f t="shared" si="65"/>
        <v>3964.9999999999995</v>
      </c>
      <c r="K12" s="16">
        <f t="shared" si="65"/>
        <v>3964.9999999999995</v>
      </c>
      <c r="L12" s="16">
        <f t="shared" si="65"/>
        <v>3964.9999999999995</v>
      </c>
      <c r="M12" s="16">
        <f t="shared" si="65"/>
        <v>3964.9999999999995</v>
      </c>
      <c r="N12" s="16">
        <f t="shared" si="65"/>
        <v>3964.9999999999995</v>
      </c>
      <c r="O12" s="16">
        <f t="shared" si="65"/>
        <v>3964.9999999999995</v>
      </c>
      <c r="P12" s="16">
        <f t="shared" si="65"/>
        <v>3964.9999999999995</v>
      </c>
      <c r="R12" s="16">
        <f t="shared" si="86"/>
        <v>3964.9999999999995</v>
      </c>
      <c r="S12" s="16">
        <f t="shared" si="66"/>
        <v>3964.9999999999995</v>
      </c>
      <c r="T12" s="16">
        <f t="shared" si="66"/>
        <v>3964.9999999999995</v>
      </c>
      <c r="U12" s="16">
        <f t="shared" si="66"/>
        <v>3964.9999999999995</v>
      </c>
      <c r="V12" s="16">
        <f t="shared" si="66"/>
        <v>3964.9999999999995</v>
      </c>
      <c r="W12" s="16">
        <f t="shared" si="66"/>
        <v>3964.9999999999995</v>
      </c>
      <c r="X12" s="16">
        <f t="shared" si="66"/>
        <v>4745</v>
      </c>
      <c r="Y12" s="16">
        <f t="shared" si="66"/>
        <v>4745</v>
      </c>
      <c r="Z12" s="16">
        <f t="shared" si="66"/>
        <v>4745</v>
      </c>
      <c r="AA12" s="16">
        <f t="shared" si="66"/>
        <v>4745</v>
      </c>
      <c r="AB12" s="16">
        <f t="shared" si="66"/>
        <v>4745</v>
      </c>
      <c r="AC12" s="16">
        <f t="shared" si="66"/>
        <v>4745</v>
      </c>
      <c r="AE12" s="16">
        <f t="shared" si="67"/>
        <v>4745</v>
      </c>
      <c r="AF12" s="16">
        <f t="shared" si="67"/>
        <v>4745</v>
      </c>
      <c r="AG12" s="16">
        <f t="shared" si="67"/>
        <v>4745</v>
      </c>
      <c r="AH12" s="16">
        <f t="shared" si="67"/>
        <v>4745</v>
      </c>
      <c r="AI12" s="16">
        <f t="shared" si="67"/>
        <v>4745</v>
      </c>
      <c r="AJ12" s="16">
        <f t="shared" si="67"/>
        <v>4745</v>
      </c>
      <c r="AK12" s="16">
        <f t="shared" si="67"/>
        <v>7085</v>
      </c>
      <c r="AL12" s="16">
        <f t="shared" si="67"/>
        <v>7085</v>
      </c>
      <c r="AM12" s="16">
        <f t="shared" si="67"/>
        <v>7085</v>
      </c>
      <c r="AN12" s="16">
        <f t="shared" si="67"/>
        <v>7085</v>
      </c>
      <c r="AO12" s="16">
        <f t="shared" si="67"/>
        <v>7085</v>
      </c>
      <c r="AP12" s="16">
        <f t="shared" si="67"/>
        <v>7085</v>
      </c>
      <c r="AR12" s="16">
        <f t="shared" si="68"/>
        <v>47579.999999999993</v>
      </c>
      <c r="AS12" s="16">
        <f t="shared" si="69"/>
        <v>11894.999999999998</v>
      </c>
      <c r="AT12" s="16">
        <f t="shared" si="70"/>
        <v>11894.999999999998</v>
      </c>
      <c r="AU12" s="16">
        <f t="shared" si="71"/>
        <v>11894.999999999998</v>
      </c>
      <c r="AV12" s="16">
        <f t="shared" si="72"/>
        <v>11894.999999999998</v>
      </c>
      <c r="AX12" s="16">
        <f t="shared" si="73"/>
        <v>52260</v>
      </c>
      <c r="AY12" s="16">
        <f t="shared" si="74"/>
        <v>11894.999999999998</v>
      </c>
      <c r="AZ12" s="16">
        <f t="shared" si="75"/>
        <v>11894.999999999998</v>
      </c>
      <c r="BA12" s="16">
        <f t="shared" si="76"/>
        <v>14235</v>
      </c>
      <c r="BB12" s="16">
        <f t="shared" si="77"/>
        <v>14235</v>
      </c>
      <c r="BD12" s="16">
        <f t="shared" si="78"/>
        <v>70980</v>
      </c>
      <c r="BE12" s="16">
        <f t="shared" si="79"/>
        <v>14235</v>
      </c>
      <c r="BF12" s="16">
        <f t="shared" si="80"/>
        <v>14235</v>
      </c>
      <c r="BG12" s="16">
        <f t="shared" si="81"/>
        <v>21255</v>
      </c>
      <c r="BH12" s="16">
        <f t="shared" si="82"/>
        <v>21255</v>
      </c>
      <c r="BJ12" s="16">
        <f t="shared" ref="BJ12:BJ15" si="87">SUM(BK12:BN12)</f>
        <v>74685</v>
      </c>
      <c r="BK12" s="16">
        <f t="shared" si="83"/>
        <v>17940</v>
      </c>
      <c r="BL12" s="16">
        <f t="shared" si="83"/>
        <v>17940</v>
      </c>
      <c r="BM12" s="16">
        <f t="shared" si="83"/>
        <v>17940</v>
      </c>
      <c r="BN12" s="16">
        <f t="shared" si="83"/>
        <v>20865</v>
      </c>
      <c r="BP12" s="16">
        <f t="shared" ref="BP12:BP15" si="88">SUM(BQ12:BT12)</f>
        <v>94185</v>
      </c>
      <c r="BQ12" s="16">
        <f t="shared" si="84"/>
        <v>22815</v>
      </c>
      <c r="BR12" s="16">
        <f t="shared" si="84"/>
        <v>23790</v>
      </c>
      <c r="BS12" s="16">
        <f t="shared" si="84"/>
        <v>23790</v>
      </c>
      <c r="BT12" s="16">
        <f t="shared" si="84"/>
        <v>23790</v>
      </c>
      <c r="BV12" s="16">
        <f t="shared" ref="BV12:BV15" si="89">SUM(BW12:BZ12)</f>
        <v>95160</v>
      </c>
      <c r="BW12" s="16">
        <f t="shared" si="85"/>
        <v>23790</v>
      </c>
      <c r="BX12" s="16">
        <f t="shared" si="85"/>
        <v>23790</v>
      </c>
      <c r="BY12" s="16">
        <f t="shared" si="85"/>
        <v>23790</v>
      </c>
      <c r="BZ12" s="16">
        <f t="shared" si="85"/>
        <v>23790</v>
      </c>
    </row>
    <row r="13" spans="1:78" s="16" customFormat="1" x14ac:dyDescent="0.25">
      <c r="B13" s="16" t="s">
        <v>20</v>
      </c>
      <c r="C13" s="20">
        <v>0.12</v>
      </c>
      <c r="E13" s="16">
        <f t="shared" si="86"/>
        <v>6099.9999999999991</v>
      </c>
      <c r="F13" s="16">
        <f t="shared" si="65"/>
        <v>6099.9999999999991</v>
      </c>
      <c r="G13" s="16">
        <f t="shared" si="65"/>
        <v>6099.9999999999991</v>
      </c>
      <c r="H13" s="16">
        <f t="shared" si="65"/>
        <v>6099.9999999999991</v>
      </c>
      <c r="I13" s="16">
        <f t="shared" si="65"/>
        <v>6099.9999999999991</v>
      </c>
      <c r="J13" s="16">
        <f t="shared" si="65"/>
        <v>6099.9999999999991</v>
      </c>
      <c r="K13" s="16">
        <f t="shared" si="65"/>
        <v>6099.9999999999991</v>
      </c>
      <c r="L13" s="16">
        <f t="shared" si="65"/>
        <v>6099.9999999999991</v>
      </c>
      <c r="M13" s="16">
        <f t="shared" si="65"/>
        <v>6099.9999999999991</v>
      </c>
      <c r="N13" s="16">
        <f t="shared" si="65"/>
        <v>6099.9999999999991</v>
      </c>
      <c r="O13" s="16">
        <f t="shared" si="65"/>
        <v>6099.9999999999991</v>
      </c>
      <c r="P13" s="16">
        <f t="shared" si="65"/>
        <v>6099.9999999999991</v>
      </c>
      <c r="R13" s="16">
        <f t="shared" si="86"/>
        <v>6099.9999999999991</v>
      </c>
      <c r="S13" s="16">
        <f t="shared" si="66"/>
        <v>6099.9999999999991</v>
      </c>
      <c r="T13" s="16">
        <f t="shared" si="66"/>
        <v>6099.9999999999991</v>
      </c>
      <c r="U13" s="16">
        <f t="shared" si="66"/>
        <v>6099.9999999999991</v>
      </c>
      <c r="V13" s="16">
        <f t="shared" si="66"/>
        <v>6099.9999999999991</v>
      </c>
      <c r="W13" s="16">
        <f t="shared" si="66"/>
        <v>6099.9999999999991</v>
      </c>
      <c r="X13" s="16">
        <f t="shared" si="66"/>
        <v>7299.9999999999991</v>
      </c>
      <c r="Y13" s="16">
        <f t="shared" si="66"/>
        <v>7299.9999999999991</v>
      </c>
      <c r="Z13" s="16">
        <f t="shared" si="66"/>
        <v>7299.9999999999991</v>
      </c>
      <c r="AA13" s="16">
        <f t="shared" si="66"/>
        <v>7299.9999999999991</v>
      </c>
      <c r="AB13" s="16">
        <f t="shared" si="66"/>
        <v>7299.9999999999991</v>
      </c>
      <c r="AC13" s="16">
        <f t="shared" si="66"/>
        <v>7299.9999999999991</v>
      </c>
      <c r="AE13" s="16">
        <f t="shared" si="67"/>
        <v>7299.9999999999991</v>
      </c>
      <c r="AF13" s="16">
        <f t="shared" si="67"/>
        <v>7299.9999999999991</v>
      </c>
      <c r="AG13" s="16">
        <f t="shared" si="67"/>
        <v>7299.9999999999991</v>
      </c>
      <c r="AH13" s="16">
        <f t="shared" si="67"/>
        <v>7299.9999999999991</v>
      </c>
      <c r="AI13" s="16">
        <f t="shared" si="67"/>
        <v>7299.9999999999991</v>
      </c>
      <c r="AJ13" s="16">
        <f t="shared" si="67"/>
        <v>7299.9999999999991</v>
      </c>
      <c r="AK13" s="16">
        <f t="shared" si="67"/>
        <v>10899.999999999998</v>
      </c>
      <c r="AL13" s="16">
        <f t="shared" si="67"/>
        <v>10899.999999999998</v>
      </c>
      <c r="AM13" s="16">
        <f t="shared" si="67"/>
        <v>10899.999999999998</v>
      </c>
      <c r="AN13" s="16">
        <f t="shared" si="67"/>
        <v>10899.999999999998</v>
      </c>
      <c r="AO13" s="16">
        <f t="shared" si="67"/>
        <v>10899.999999999998</v>
      </c>
      <c r="AP13" s="16">
        <f t="shared" si="67"/>
        <v>10899.999999999998</v>
      </c>
      <c r="AR13" s="16">
        <f t="shared" si="68"/>
        <v>73199.999999999985</v>
      </c>
      <c r="AS13" s="16">
        <f t="shared" si="69"/>
        <v>18299.999999999996</v>
      </c>
      <c r="AT13" s="16">
        <f t="shared" si="70"/>
        <v>18299.999999999996</v>
      </c>
      <c r="AU13" s="16">
        <f t="shared" si="71"/>
        <v>18299.999999999996</v>
      </c>
      <c r="AV13" s="16">
        <f t="shared" si="72"/>
        <v>18299.999999999996</v>
      </c>
      <c r="AX13" s="16">
        <f t="shared" si="73"/>
        <v>80399.999999999985</v>
      </c>
      <c r="AY13" s="16">
        <f t="shared" si="74"/>
        <v>18299.999999999996</v>
      </c>
      <c r="AZ13" s="16">
        <f t="shared" si="75"/>
        <v>18299.999999999996</v>
      </c>
      <c r="BA13" s="16">
        <f t="shared" si="76"/>
        <v>21899.999999999996</v>
      </c>
      <c r="BB13" s="16">
        <f t="shared" si="77"/>
        <v>21899.999999999996</v>
      </c>
      <c r="BD13" s="16">
        <f t="shared" si="78"/>
        <v>109199.99999999999</v>
      </c>
      <c r="BE13" s="16">
        <f t="shared" si="79"/>
        <v>21899.999999999996</v>
      </c>
      <c r="BF13" s="16">
        <f t="shared" si="80"/>
        <v>21899.999999999996</v>
      </c>
      <c r="BG13" s="16">
        <f t="shared" si="81"/>
        <v>32699.999999999993</v>
      </c>
      <c r="BH13" s="16">
        <f t="shared" si="82"/>
        <v>32699.999999999993</v>
      </c>
      <c r="BJ13" s="16">
        <f t="shared" si="87"/>
        <v>114900</v>
      </c>
      <c r="BK13" s="16">
        <f t="shared" si="83"/>
        <v>27600</v>
      </c>
      <c r="BL13" s="16">
        <f t="shared" si="83"/>
        <v>27600</v>
      </c>
      <c r="BM13" s="16">
        <f t="shared" si="83"/>
        <v>27600</v>
      </c>
      <c r="BN13" s="16">
        <f t="shared" si="83"/>
        <v>32100</v>
      </c>
      <c r="BP13" s="16">
        <f t="shared" si="88"/>
        <v>144900</v>
      </c>
      <c r="BQ13" s="16">
        <f t="shared" si="84"/>
        <v>35100</v>
      </c>
      <c r="BR13" s="16">
        <f t="shared" si="84"/>
        <v>36600</v>
      </c>
      <c r="BS13" s="16">
        <f t="shared" si="84"/>
        <v>36600</v>
      </c>
      <c r="BT13" s="16">
        <f t="shared" si="84"/>
        <v>36600</v>
      </c>
      <c r="BV13" s="16">
        <f t="shared" si="89"/>
        <v>146400</v>
      </c>
      <c r="BW13" s="16">
        <f t="shared" si="85"/>
        <v>36600</v>
      </c>
      <c r="BX13" s="16">
        <f t="shared" si="85"/>
        <v>36600</v>
      </c>
      <c r="BY13" s="16">
        <f t="shared" si="85"/>
        <v>36600</v>
      </c>
      <c r="BZ13" s="16">
        <f t="shared" si="85"/>
        <v>36600</v>
      </c>
    </row>
    <row r="14" spans="1:78" s="16" customFormat="1" x14ac:dyDescent="0.25">
      <c r="B14" s="16" t="s">
        <v>21</v>
      </c>
      <c r="C14" s="20">
        <v>3.5000000000000003E-2</v>
      </c>
      <c r="E14" s="16">
        <f t="shared" si="86"/>
        <v>1779.1666666666667</v>
      </c>
      <c r="F14" s="16">
        <f t="shared" si="65"/>
        <v>1779.1666666666667</v>
      </c>
      <c r="G14" s="16">
        <f t="shared" si="65"/>
        <v>1779.1666666666667</v>
      </c>
      <c r="H14" s="16">
        <f t="shared" si="65"/>
        <v>1779.1666666666667</v>
      </c>
      <c r="I14" s="16">
        <f t="shared" si="65"/>
        <v>1779.1666666666667</v>
      </c>
      <c r="J14" s="16">
        <f t="shared" si="65"/>
        <v>1779.1666666666667</v>
      </c>
      <c r="K14" s="16">
        <f t="shared" si="65"/>
        <v>1779.1666666666667</v>
      </c>
      <c r="L14" s="16">
        <f t="shared" si="65"/>
        <v>1779.1666666666667</v>
      </c>
      <c r="M14" s="16">
        <f t="shared" si="65"/>
        <v>1779.1666666666667</v>
      </c>
      <c r="N14" s="16">
        <f t="shared" si="65"/>
        <v>1779.1666666666667</v>
      </c>
      <c r="O14" s="16">
        <f t="shared" si="65"/>
        <v>1779.1666666666667</v>
      </c>
      <c r="P14" s="16">
        <f t="shared" si="65"/>
        <v>1779.1666666666667</v>
      </c>
      <c r="R14" s="16">
        <f t="shared" si="86"/>
        <v>1779.1666666666667</v>
      </c>
      <c r="S14" s="16">
        <f t="shared" si="66"/>
        <v>1779.1666666666667</v>
      </c>
      <c r="T14" s="16">
        <f t="shared" si="66"/>
        <v>1779.1666666666667</v>
      </c>
      <c r="U14" s="16">
        <f t="shared" si="66"/>
        <v>1779.1666666666667</v>
      </c>
      <c r="V14" s="16">
        <f t="shared" si="66"/>
        <v>1779.1666666666667</v>
      </c>
      <c r="W14" s="16">
        <f t="shared" si="66"/>
        <v>1779.1666666666667</v>
      </c>
      <c r="X14" s="16">
        <f t="shared" si="66"/>
        <v>2129.1666666666665</v>
      </c>
      <c r="Y14" s="16">
        <f t="shared" si="66"/>
        <v>2129.1666666666665</v>
      </c>
      <c r="Z14" s="16">
        <f t="shared" si="66"/>
        <v>2129.1666666666665</v>
      </c>
      <c r="AA14" s="16">
        <f t="shared" si="66"/>
        <v>2129.1666666666665</v>
      </c>
      <c r="AB14" s="16">
        <f t="shared" si="66"/>
        <v>2129.1666666666665</v>
      </c>
      <c r="AC14" s="16">
        <f t="shared" si="66"/>
        <v>2129.1666666666665</v>
      </c>
      <c r="AE14" s="16">
        <f t="shared" si="67"/>
        <v>2129.1666666666665</v>
      </c>
      <c r="AF14" s="16">
        <f t="shared" si="67"/>
        <v>2129.1666666666665</v>
      </c>
      <c r="AG14" s="16">
        <f t="shared" si="67"/>
        <v>2129.1666666666665</v>
      </c>
      <c r="AH14" s="16">
        <f t="shared" si="67"/>
        <v>2129.1666666666665</v>
      </c>
      <c r="AI14" s="16">
        <f t="shared" si="67"/>
        <v>2129.1666666666665</v>
      </c>
      <c r="AJ14" s="16">
        <f t="shared" si="67"/>
        <v>2129.1666666666665</v>
      </c>
      <c r="AK14" s="16">
        <f t="shared" si="67"/>
        <v>3179.166666666667</v>
      </c>
      <c r="AL14" s="16">
        <f t="shared" si="67"/>
        <v>3179.166666666667</v>
      </c>
      <c r="AM14" s="16">
        <f t="shared" si="67"/>
        <v>3179.166666666667</v>
      </c>
      <c r="AN14" s="16">
        <f t="shared" si="67"/>
        <v>3179.166666666667</v>
      </c>
      <c r="AO14" s="16">
        <f t="shared" si="67"/>
        <v>3179.166666666667</v>
      </c>
      <c r="AP14" s="16">
        <f t="shared" si="67"/>
        <v>3179.166666666667</v>
      </c>
      <c r="AR14" s="16">
        <f t="shared" si="68"/>
        <v>21350</v>
      </c>
      <c r="AS14" s="16">
        <f t="shared" si="69"/>
        <v>5337.5</v>
      </c>
      <c r="AT14" s="16">
        <f t="shared" si="70"/>
        <v>5337.5</v>
      </c>
      <c r="AU14" s="16">
        <f t="shared" si="71"/>
        <v>5337.5</v>
      </c>
      <c r="AV14" s="16">
        <f t="shared" si="72"/>
        <v>5337.5</v>
      </c>
      <c r="AX14" s="16">
        <f t="shared" si="73"/>
        <v>23450.000000000004</v>
      </c>
      <c r="AY14" s="16">
        <f t="shared" si="74"/>
        <v>5337.5</v>
      </c>
      <c r="AZ14" s="16">
        <f t="shared" si="75"/>
        <v>5337.5</v>
      </c>
      <c r="BA14" s="16">
        <f t="shared" si="76"/>
        <v>6387.5</v>
      </c>
      <c r="BB14" s="16">
        <f t="shared" si="77"/>
        <v>6387.5</v>
      </c>
      <c r="BD14" s="16">
        <f t="shared" si="78"/>
        <v>31850.000000000004</v>
      </c>
      <c r="BE14" s="16">
        <f t="shared" si="79"/>
        <v>6387.5</v>
      </c>
      <c r="BF14" s="16">
        <f t="shared" si="80"/>
        <v>6387.5</v>
      </c>
      <c r="BG14" s="16">
        <f t="shared" si="81"/>
        <v>9537.5</v>
      </c>
      <c r="BH14" s="16">
        <f>SUM(AN14:AP14)</f>
        <v>9537.5</v>
      </c>
      <c r="BJ14" s="16">
        <f t="shared" si="87"/>
        <v>33512.5</v>
      </c>
      <c r="BK14" s="16">
        <f t="shared" si="83"/>
        <v>8050.0000000000009</v>
      </c>
      <c r="BL14" s="16">
        <f t="shared" si="83"/>
        <v>8050.0000000000009</v>
      </c>
      <c r="BM14" s="16">
        <f t="shared" si="83"/>
        <v>8050.0000000000009</v>
      </c>
      <c r="BN14" s="16">
        <f t="shared" si="83"/>
        <v>9362.5</v>
      </c>
      <c r="BP14" s="16">
        <f t="shared" si="88"/>
        <v>42262.500000000007</v>
      </c>
      <c r="BQ14" s="16">
        <f t="shared" si="84"/>
        <v>10237.500000000002</v>
      </c>
      <c r="BR14" s="16">
        <f t="shared" si="84"/>
        <v>10675.000000000002</v>
      </c>
      <c r="BS14" s="16">
        <f t="shared" si="84"/>
        <v>10675.000000000002</v>
      </c>
      <c r="BT14" s="16">
        <f t="shared" si="84"/>
        <v>10675.000000000002</v>
      </c>
      <c r="BV14" s="16">
        <f t="shared" si="89"/>
        <v>42700.000000000007</v>
      </c>
      <c r="BW14" s="16">
        <f t="shared" si="85"/>
        <v>10675.000000000002</v>
      </c>
      <c r="BX14" s="16">
        <f t="shared" si="85"/>
        <v>10675.000000000002</v>
      </c>
      <c r="BY14" s="16">
        <f t="shared" si="85"/>
        <v>10675.000000000002</v>
      </c>
      <c r="BZ14" s="16">
        <f t="shared" si="85"/>
        <v>10675.000000000002</v>
      </c>
    </row>
    <row r="15" spans="1:78" s="16" customFormat="1" x14ac:dyDescent="0.25">
      <c r="B15" s="16" t="s">
        <v>22</v>
      </c>
      <c r="C15" s="20"/>
      <c r="E15" s="16">
        <f t="shared" si="86"/>
        <v>0</v>
      </c>
      <c r="F15" s="16">
        <f t="shared" si="65"/>
        <v>0</v>
      </c>
      <c r="G15" s="16">
        <f t="shared" si="65"/>
        <v>0</v>
      </c>
      <c r="H15" s="16">
        <f t="shared" si="65"/>
        <v>0</v>
      </c>
      <c r="I15" s="16">
        <f t="shared" si="65"/>
        <v>0</v>
      </c>
      <c r="J15" s="16">
        <f t="shared" si="65"/>
        <v>0</v>
      </c>
      <c r="K15" s="16">
        <f t="shared" si="65"/>
        <v>0</v>
      </c>
      <c r="L15" s="16">
        <f t="shared" si="65"/>
        <v>0</v>
      </c>
      <c r="M15" s="16">
        <f t="shared" si="65"/>
        <v>0</v>
      </c>
      <c r="N15" s="16">
        <f t="shared" si="65"/>
        <v>0</v>
      </c>
      <c r="O15" s="16">
        <f t="shared" si="65"/>
        <v>0</v>
      </c>
      <c r="P15" s="16">
        <f t="shared" si="65"/>
        <v>0</v>
      </c>
      <c r="R15" s="16">
        <f t="shared" si="86"/>
        <v>0</v>
      </c>
      <c r="S15" s="16">
        <f t="shared" si="66"/>
        <v>0</v>
      </c>
      <c r="T15" s="16">
        <f t="shared" si="66"/>
        <v>0</v>
      </c>
      <c r="U15" s="16">
        <f t="shared" si="66"/>
        <v>0</v>
      </c>
      <c r="V15" s="16">
        <f t="shared" si="66"/>
        <v>0</v>
      </c>
      <c r="W15" s="16">
        <f t="shared" si="66"/>
        <v>0</v>
      </c>
      <c r="X15" s="16">
        <f t="shared" si="66"/>
        <v>0</v>
      </c>
      <c r="Y15" s="16">
        <f t="shared" si="66"/>
        <v>0</v>
      </c>
      <c r="Z15" s="16">
        <f t="shared" si="66"/>
        <v>0</v>
      </c>
      <c r="AA15" s="16">
        <f t="shared" si="66"/>
        <v>0</v>
      </c>
      <c r="AB15" s="16">
        <f t="shared" si="66"/>
        <v>0</v>
      </c>
      <c r="AC15" s="16">
        <f t="shared" si="66"/>
        <v>0</v>
      </c>
      <c r="AE15" s="16">
        <f t="shared" si="67"/>
        <v>0</v>
      </c>
      <c r="AF15" s="16">
        <f t="shared" si="67"/>
        <v>0</v>
      </c>
      <c r="AG15" s="16">
        <f t="shared" si="67"/>
        <v>0</v>
      </c>
      <c r="AH15" s="16">
        <f t="shared" si="67"/>
        <v>0</v>
      </c>
      <c r="AI15" s="16">
        <f t="shared" si="67"/>
        <v>0</v>
      </c>
      <c r="AJ15" s="16">
        <f t="shared" si="67"/>
        <v>0</v>
      </c>
      <c r="AK15" s="16">
        <f t="shared" si="67"/>
        <v>0</v>
      </c>
      <c r="AL15" s="16">
        <f t="shared" si="67"/>
        <v>0</v>
      </c>
      <c r="AM15" s="16">
        <f t="shared" si="67"/>
        <v>0</v>
      </c>
      <c r="AN15" s="16">
        <f t="shared" si="67"/>
        <v>0</v>
      </c>
      <c r="AO15" s="16">
        <f t="shared" si="67"/>
        <v>0</v>
      </c>
      <c r="AP15" s="16">
        <f t="shared" si="67"/>
        <v>0</v>
      </c>
      <c r="AR15" s="16">
        <f t="shared" si="68"/>
        <v>0</v>
      </c>
      <c r="AS15" s="16">
        <f t="shared" si="69"/>
        <v>0</v>
      </c>
      <c r="AT15" s="16">
        <f t="shared" si="70"/>
        <v>0</v>
      </c>
      <c r="AU15" s="16">
        <f t="shared" si="71"/>
        <v>0</v>
      </c>
      <c r="AV15" s="16">
        <f t="shared" si="72"/>
        <v>0</v>
      </c>
      <c r="AX15" s="16">
        <f t="shared" si="73"/>
        <v>0</v>
      </c>
      <c r="AY15" s="16">
        <f t="shared" si="74"/>
        <v>0</v>
      </c>
      <c r="AZ15" s="16">
        <f t="shared" si="75"/>
        <v>0</v>
      </c>
      <c r="BA15" s="16">
        <f t="shared" si="76"/>
        <v>0</v>
      </c>
      <c r="BB15" s="16">
        <f t="shared" si="77"/>
        <v>0</v>
      </c>
      <c r="BD15" s="16">
        <f t="shared" si="78"/>
        <v>0</v>
      </c>
      <c r="BE15" s="16">
        <f t="shared" si="79"/>
        <v>0</v>
      </c>
      <c r="BF15" s="16">
        <f t="shared" si="80"/>
        <v>0</v>
      </c>
      <c r="BG15" s="16">
        <f t="shared" si="81"/>
        <v>0</v>
      </c>
      <c r="BH15" s="16">
        <f t="shared" si="82"/>
        <v>0</v>
      </c>
      <c r="BJ15" s="16">
        <f t="shared" si="87"/>
        <v>0</v>
      </c>
      <c r="BK15" s="16">
        <f t="shared" si="83"/>
        <v>0</v>
      </c>
      <c r="BL15" s="16">
        <f t="shared" si="83"/>
        <v>0</v>
      </c>
      <c r="BM15" s="16">
        <f t="shared" si="83"/>
        <v>0</v>
      </c>
      <c r="BN15" s="16">
        <f t="shared" si="83"/>
        <v>0</v>
      </c>
      <c r="BP15" s="16">
        <f t="shared" si="88"/>
        <v>0</v>
      </c>
      <c r="BQ15" s="16">
        <f t="shared" si="84"/>
        <v>0</v>
      </c>
      <c r="BR15" s="16">
        <f t="shared" si="84"/>
        <v>0</v>
      </c>
      <c r="BS15" s="16">
        <f t="shared" si="84"/>
        <v>0</v>
      </c>
      <c r="BT15" s="16">
        <f t="shared" si="84"/>
        <v>0</v>
      </c>
      <c r="BV15" s="16">
        <f t="shared" si="89"/>
        <v>0</v>
      </c>
      <c r="BW15" s="16">
        <f t="shared" si="85"/>
        <v>0</v>
      </c>
      <c r="BX15" s="16">
        <f t="shared" si="85"/>
        <v>0</v>
      </c>
      <c r="BY15" s="16">
        <f t="shared" si="85"/>
        <v>0</v>
      </c>
      <c r="BZ15" s="16">
        <f t="shared" si="85"/>
        <v>0</v>
      </c>
    </row>
    <row r="16" spans="1:78" s="16" customFormat="1" x14ac:dyDescent="0.25"/>
    <row r="17" spans="2:78" s="16" customFormat="1" x14ac:dyDescent="0.25">
      <c r="B17" s="16" t="s">
        <v>23</v>
      </c>
      <c r="C17" s="21">
        <f>SUM(C11:C16)</f>
        <v>0.27300000000000002</v>
      </c>
      <c r="E17" s="17">
        <f>SUBTOTAL(9,E11:E16)</f>
        <v>13877.499999999998</v>
      </c>
      <c r="F17" s="17">
        <f t="shared" ref="F17:O17" si="90">SUBTOTAL(9,F11:F16)</f>
        <v>13877.499999999998</v>
      </c>
      <c r="G17" s="17">
        <f t="shared" si="90"/>
        <v>13877.499999999998</v>
      </c>
      <c r="H17" s="17">
        <f t="shared" si="90"/>
        <v>13877.499999999998</v>
      </c>
      <c r="I17" s="17">
        <f t="shared" si="90"/>
        <v>13877.499999999998</v>
      </c>
      <c r="J17" s="17">
        <f t="shared" si="90"/>
        <v>13877.499999999998</v>
      </c>
      <c r="K17" s="17">
        <f t="shared" si="90"/>
        <v>13877.499999999998</v>
      </c>
      <c r="L17" s="17">
        <f t="shared" si="90"/>
        <v>13877.499999999998</v>
      </c>
      <c r="M17" s="17">
        <f t="shared" si="90"/>
        <v>13877.499999999998</v>
      </c>
      <c r="N17" s="17">
        <f t="shared" si="90"/>
        <v>13877.499999999998</v>
      </c>
      <c r="O17" s="17">
        <f t="shared" si="90"/>
        <v>13877.499999999998</v>
      </c>
      <c r="P17" s="17">
        <f t="shared" ref="P17" si="91">SUBTOTAL(9,P13:P16)</f>
        <v>7879.1666666666661</v>
      </c>
      <c r="R17" s="17">
        <f>SUBTOTAL(9,R11:R16)</f>
        <v>13877.499999999998</v>
      </c>
      <c r="S17" s="17">
        <f t="shared" ref="S17" si="92">SUBTOTAL(9,S11:S16)</f>
        <v>13877.499999999998</v>
      </c>
      <c r="T17" s="17">
        <f t="shared" ref="T17" si="93">SUBTOTAL(9,T11:T16)</f>
        <v>13877.499999999998</v>
      </c>
      <c r="U17" s="17">
        <f t="shared" ref="U17" si="94">SUBTOTAL(9,U11:U16)</f>
        <v>13877.499999999998</v>
      </c>
      <c r="V17" s="17">
        <f t="shared" ref="V17" si="95">SUBTOTAL(9,V11:V16)</f>
        <v>13877.499999999998</v>
      </c>
      <c r="W17" s="17">
        <f t="shared" ref="W17" si="96">SUBTOTAL(9,W11:W16)</f>
        <v>13877.499999999998</v>
      </c>
      <c r="X17" s="17">
        <f t="shared" ref="X17" si="97">SUBTOTAL(9,X11:X16)</f>
        <v>16607.5</v>
      </c>
      <c r="Y17" s="17">
        <f t="shared" ref="Y17" si="98">SUBTOTAL(9,Y11:Y16)</f>
        <v>16607.5</v>
      </c>
      <c r="Z17" s="17">
        <f t="shared" ref="Z17" si="99">SUBTOTAL(9,Z11:Z16)</f>
        <v>16607.5</v>
      </c>
      <c r="AA17" s="17">
        <f t="shared" ref="AA17" si="100">SUBTOTAL(9,AA11:AA16)</f>
        <v>16607.5</v>
      </c>
      <c r="AB17" s="17">
        <f t="shared" ref="AB17" si="101">SUBTOTAL(9,AB11:AB16)</f>
        <v>16607.5</v>
      </c>
      <c r="AC17" s="17">
        <f t="shared" ref="AC17:AP17" si="102">SUBTOTAL(9,AC11:AC16)</f>
        <v>16607.5</v>
      </c>
      <c r="AE17" s="17">
        <f t="shared" si="102"/>
        <v>16607.5</v>
      </c>
      <c r="AF17" s="17">
        <f t="shared" si="102"/>
        <v>16607.5</v>
      </c>
      <c r="AG17" s="17">
        <f t="shared" si="102"/>
        <v>16607.5</v>
      </c>
      <c r="AH17" s="17">
        <f t="shared" si="102"/>
        <v>16607.5</v>
      </c>
      <c r="AI17" s="17">
        <f t="shared" si="102"/>
        <v>16607.5</v>
      </c>
      <c r="AJ17" s="17">
        <f t="shared" si="102"/>
        <v>16607.5</v>
      </c>
      <c r="AK17" s="17">
        <f t="shared" si="102"/>
        <v>24797.499999999996</v>
      </c>
      <c r="AL17" s="17">
        <f t="shared" si="102"/>
        <v>24797.499999999996</v>
      </c>
      <c r="AM17" s="17">
        <f t="shared" si="102"/>
        <v>24797.499999999996</v>
      </c>
      <c r="AN17" s="17">
        <f t="shared" si="102"/>
        <v>24797.499999999996</v>
      </c>
      <c r="AO17" s="17">
        <f t="shared" si="102"/>
        <v>24797.499999999996</v>
      </c>
      <c r="AP17" s="17">
        <f t="shared" si="102"/>
        <v>24797.499999999996</v>
      </c>
      <c r="AR17" s="17">
        <f t="shared" ref="AR17:AV18" si="103">SUBTOTAL(9,AR13:AR16)</f>
        <v>94549.999999999985</v>
      </c>
      <c r="AS17" s="17">
        <f t="shared" si="103"/>
        <v>23637.499999999996</v>
      </c>
      <c r="AT17" s="17">
        <f t="shared" si="103"/>
        <v>23637.499999999996</v>
      </c>
      <c r="AU17" s="17">
        <f t="shared" si="103"/>
        <v>23637.499999999996</v>
      </c>
      <c r="AV17" s="17">
        <f t="shared" si="103"/>
        <v>23637.499999999996</v>
      </c>
      <c r="AX17" s="17">
        <f t="shared" ref="AX17:BB18" si="104">SUBTOTAL(9,AX13:AX16)</f>
        <v>103849.99999999999</v>
      </c>
      <c r="AY17" s="17">
        <f t="shared" si="104"/>
        <v>23637.499999999996</v>
      </c>
      <c r="AZ17" s="17">
        <f t="shared" si="104"/>
        <v>23637.499999999996</v>
      </c>
      <c r="BA17" s="17">
        <f t="shared" si="104"/>
        <v>28287.499999999996</v>
      </c>
      <c r="BB17" s="17">
        <f t="shared" si="104"/>
        <v>28287.499999999996</v>
      </c>
      <c r="BD17" s="17">
        <f t="shared" ref="BD17:BH18" si="105">SUBTOTAL(9,BD13:BD16)</f>
        <v>141050</v>
      </c>
      <c r="BE17" s="17">
        <f t="shared" si="105"/>
        <v>28287.499999999996</v>
      </c>
      <c r="BF17" s="17">
        <f t="shared" si="105"/>
        <v>28287.499999999996</v>
      </c>
      <c r="BG17" s="17">
        <f t="shared" si="105"/>
        <v>42237.499999999993</v>
      </c>
      <c r="BH17" s="17">
        <f t="shared" si="105"/>
        <v>42237.499999999993</v>
      </c>
      <c r="BJ17" s="17">
        <f>SUBTOTAL(9,BJ13:BJ15)</f>
        <v>148412.5</v>
      </c>
      <c r="BK17" s="17">
        <f t="shared" ref="BK17:BN17" si="106">SUBTOTAL(9,BK13:BK15)</f>
        <v>35650</v>
      </c>
      <c r="BL17" s="17">
        <f t="shared" si="106"/>
        <v>35650</v>
      </c>
      <c r="BM17" s="17">
        <f t="shared" si="106"/>
        <v>35650</v>
      </c>
      <c r="BN17" s="17">
        <f t="shared" si="106"/>
        <v>41462.5</v>
      </c>
      <c r="BP17" s="17">
        <f>SUBTOTAL(9,BP13:BP15)</f>
        <v>187162.5</v>
      </c>
      <c r="BQ17" s="17">
        <f t="shared" ref="BQ17:BT17" si="107">SUBTOTAL(9,BQ13:BQ15)</f>
        <v>45337.5</v>
      </c>
      <c r="BR17" s="17">
        <f t="shared" si="107"/>
        <v>47275</v>
      </c>
      <c r="BS17" s="17">
        <f t="shared" si="107"/>
        <v>47275</v>
      </c>
      <c r="BT17" s="17">
        <f t="shared" si="107"/>
        <v>47275</v>
      </c>
      <c r="BV17" s="17">
        <f>SUBTOTAL(9,BV13:BV15)</f>
        <v>189100</v>
      </c>
      <c r="BW17" s="17">
        <f t="shared" ref="BW17:BZ17" si="108">SUBTOTAL(9,BW13:BW15)</f>
        <v>47275</v>
      </c>
      <c r="BX17" s="17">
        <f t="shared" si="108"/>
        <v>47275</v>
      </c>
      <c r="BY17" s="17">
        <f t="shared" si="108"/>
        <v>47275</v>
      </c>
      <c r="BZ17" s="17">
        <f t="shared" si="108"/>
        <v>47275</v>
      </c>
    </row>
    <row r="18" spans="2:78" s="16" customFormat="1" x14ac:dyDescent="0.25">
      <c r="B18" s="16" t="s">
        <v>24</v>
      </c>
      <c r="C18" s="20"/>
      <c r="E18" s="17">
        <f>SUBTOTAL(9,E5:E16)</f>
        <v>77627.5</v>
      </c>
      <c r="F18" s="17">
        <f t="shared" ref="F18:O18" si="109">SUBTOTAL(9,F5:F16)</f>
        <v>77627.5</v>
      </c>
      <c r="G18" s="17">
        <f t="shared" si="109"/>
        <v>77627.5</v>
      </c>
      <c r="H18" s="17">
        <f t="shared" si="109"/>
        <v>77627.5</v>
      </c>
      <c r="I18" s="17">
        <f t="shared" si="109"/>
        <v>77627.5</v>
      </c>
      <c r="J18" s="17">
        <f t="shared" si="109"/>
        <v>77627.5</v>
      </c>
      <c r="K18" s="17">
        <f t="shared" si="109"/>
        <v>77627.5</v>
      </c>
      <c r="L18" s="17">
        <f t="shared" si="109"/>
        <v>77627.5</v>
      </c>
      <c r="M18" s="17">
        <f t="shared" si="109"/>
        <v>77627.5</v>
      </c>
      <c r="N18" s="17">
        <f t="shared" si="109"/>
        <v>77627.5</v>
      </c>
      <c r="O18" s="17">
        <f t="shared" si="109"/>
        <v>77627.5</v>
      </c>
      <c r="P18" s="17">
        <f t="shared" ref="P18" si="110">SUBTOTAL(9,P14:P17)</f>
        <v>1779.1666666666667</v>
      </c>
      <c r="R18" s="17">
        <f>SUBTOTAL(9,R5:R16)</f>
        <v>77627.5</v>
      </c>
      <c r="S18" s="17">
        <f t="shared" ref="S18:AC18" si="111">SUBTOTAL(9,S5:S16)</f>
        <v>77627.5</v>
      </c>
      <c r="T18" s="17">
        <f t="shared" si="111"/>
        <v>77627.5</v>
      </c>
      <c r="U18" s="17">
        <f t="shared" si="111"/>
        <v>77627.5</v>
      </c>
      <c r="V18" s="17">
        <f t="shared" si="111"/>
        <v>77627.5</v>
      </c>
      <c r="W18" s="17">
        <f t="shared" si="111"/>
        <v>77627.5</v>
      </c>
      <c r="X18" s="17">
        <f t="shared" si="111"/>
        <v>90357.5</v>
      </c>
      <c r="Y18" s="17">
        <f t="shared" si="111"/>
        <v>90357.5</v>
      </c>
      <c r="Z18" s="17">
        <f t="shared" si="111"/>
        <v>90357.5</v>
      </c>
      <c r="AA18" s="17">
        <f t="shared" si="111"/>
        <v>90357.5</v>
      </c>
      <c r="AB18" s="17">
        <f t="shared" si="111"/>
        <v>90357.5</v>
      </c>
      <c r="AC18" s="17">
        <f t="shared" si="111"/>
        <v>90357.5</v>
      </c>
      <c r="AE18" s="17">
        <f t="shared" ref="AE18:AP18" si="112">SUBTOTAL(9,AE5:AE16)</f>
        <v>90357.5</v>
      </c>
      <c r="AF18" s="17">
        <f t="shared" si="112"/>
        <v>90357.5</v>
      </c>
      <c r="AG18" s="17">
        <f t="shared" si="112"/>
        <v>90357.5</v>
      </c>
      <c r="AH18" s="17">
        <f t="shared" si="112"/>
        <v>90357.5</v>
      </c>
      <c r="AI18" s="17">
        <f t="shared" si="112"/>
        <v>90357.5</v>
      </c>
      <c r="AJ18" s="17">
        <f t="shared" si="112"/>
        <v>90357.5</v>
      </c>
      <c r="AK18" s="17">
        <f t="shared" si="112"/>
        <v>128547.5</v>
      </c>
      <c r="AL18" s="17">
        <f t="shared" si="112"/>
        <v>128547.5</v>
      </c>
      <c r="AM18" s="17">
        <f t="shared" si="112"/>
        <v>128547.5</v>
      </c>
      <c r="AN18" s="17">
        <f t="shared" si="112"/>
        <v>128547.5</v>
      </c>
      <c r="AO18" s="17">
        <f t="shared" si="112"/>
        <v>128547.5</v>
      </c>
      <c r="AP18" s="17">
        <f t="shared" si="112"/>
        <v>128547.5</v>
      </c>
      <c r="AR18" s="17">
        <f t="shared" si="103"/>
        <v>21350</v>
      </c>
      <c r="AS18" s="17">
        <f t="shared" si="103"/>
        <v>5337.5</v>
      </c>
      <c r="AT18" s="17">
        <f t="shared" si="103"/>
        <v>5337.5</v>
      </c>
      <c r="AU18" s="17">
        <f t="shared" si="103"/>
        <v>5337.5</v>
      </c>
      <c r="AV18" s="17">
        <f t="shared" si="103"/>
        <v>5337.5</v>
      </c>
      <c r="AX18" s="17">
        <f t="shared" si="104"/>
        <v>23450.000000000004</v>
      </c>
      <c r="AY18" s="17">
        <f t="shared" si="104"/>
        <v>5337.5</v>
      </c>
      <c r="AZ18" s="17">
        <f t="shared" si="104"/>
        <v>5337.5</v>
      </c>
      <c r="BA18" s="17">
        <f t="shared" si="104"/>
        <v>6387.5</v>
      </c>
      <c r="BB18" s="17">
        <f t="shared" si="104"/>
        <v>6387.5</v>
      </c>
      <c r="BD18" s="17">
        <f t="shared" si="105"/>
        <v>31850.000000000004</v>
      </c>
      <c r="BE18" s="17">
        <f t="shared" si="105"/>
        <v>6387.5</v>
      </c>
      <c r="BF18" s="17">
        <f t="shared" si="105"/>
        <v>6387.5</v>
      </c>
      <c r="BG18" s="17">
        <f t="shared" si="105"/>
        <v>9537.5</v>
      </c>
      <c r="BH18" s="17">
        <f t="shared" si="105"/>
        <v>9537.5</v>
      </c>
      <c r="BJ18" s="31">
        <f>SUBTOTAL(9,BJ14:BJ16)</f>
        <v>33512.5</v>
      </c>
      <c r="BK18" s="31">
        <f t="shared" ref="BK18:BN18" si="113">SUBTOTAL(9,BK14:BK16)</f>
        <v>8050.0000000000009</v>
      </c>
      <c r="BL18" s="31">
        <f t="shared" si="113"/>
        <v>8050.0000000000009</v>
      </c>
      <c r="BM18" s="31">
        <f t="shared" si="113"/>
        <v>8050.0000000000009</v>
      </c>
      <c r="BN18" s="31">
        <f t="shared" si="113"/>
        <v>9362.5</v>
      </c>
      <c r="BP18" s="31">
        <f>SUBTOTAL(9,BP14:BP16)</f>
        <v>42262.500000000007</v>
      </c>
      <c r="BQ18" s="31">
        <f t="shared" ref="BQ18:BT18" si="114">SUBTOTAL(9,BQ14:BQ16)</f>
        <v>10237.500000000002</v>
      </c>
      <c r="BR18" s="31">
        <f t="shared" si="114"/>
        <v>10675.000000000002</v>
      </c>
      <c r="BS18" s="31">
        <f t="shared" si="114"/>
        <v>10675.000000000002</v>
      </c>
      <c r="BT18" s="31">
        <f t="shared" si="114"/>
        <v>10675.000000000002</v>
      </c>
      <c r="BV18" s="31">
        <f>SUBTOTAL(9,BV14:BV16)</f>
        <v>42700.000000000007</v>
      </c>
      <c r="BW18" s="31">
        <f t="shared" ref="BW18:BZ18" si="115">SUBTOTAL(9,BW14:BW16)</f>
        <v>10675.000000000002</v>
      </c>
      <c r="BX18" s="31">
        <f t="shared" si="115"/>
        <v>10675.000000000002</v>
      </c>
      <c r="BY18" s="31">
        <f t="shared" si="115"/>
        <v>10675.000000000002</v>
      </c>
      <c r="BZ18" s="31">
        <f t="shared" si="115"/>
        <v>10675.000000000002</v>
      </c>
    </row>
    <row r="19" spans="2:78" s="16" customFormat="1" x14ac:dyDescent="0.25">
      <c r="C19" s="20"/>
    </row>
    <row r="20" spans="2:78" s="16" customFormat="1" x14ac:dyDescent="0.25">
      <c r="B20" s="16" t="s">
        <v>25</v>
      </c>
      <c r="AR20" s="16">
        <f t="shared" ref="AR20" si="116">SUM(E20:P20)</f>
        <v>0</v>
      </c>
      <c r="AS20" s="16">
        <f t="shared" ref="AS20" si="117">SUM(E20:G20)</f>
        <v>0</v>
      </c>
      <c r="AT20" s="16">
        <f t="shared" ref="AT20" si="118">SUM(H20:J20)</f>
        <v>0</v>
      </c>
      <c r="AU20" s="16">
        <f t="shared" ref="AU20" si="119">SUM(K20:M20)</f>
        <v>0</v>
      </c>
      <c r="AV20" s="16">
        <f t="shared" ref="AV20" si="120">SUM(N20:P20)</f>
        <v>0</v>
      </c>
      <c r="AX20" s="16">
        <f t="shared" ref="AX20" si="121">SUM(R20:AC20)</f>
        <v>0</v>
      </c>
      <c r="AY20" s="16">
        <f t="shared" ref="AY20" si="122">SUM(R20:T20)</f>
        <v>0</v>
      </c>
      <c r="AZ20" s="16">
        <f t="shared" ref="AZ20" si="123">SUM(U20:W20)</f>
        <v>0</v>
      </c>
      <c r="BA20" s="16">
        <f t="shared" ref="BA20" si="124">SUM(X20:Z20)</f>
        <v>0</v>
      </c>
      <c r="BB20" s="16">
        <f t="shared" ref="BB20" si="125">SUM(AA20:AC20)</f>
        <v>0</v>
      </c>
      <c r="BD20" s="16">
        <f t="shared" ref="BD20" si="126">SUM(AE20:AP20)</f>
        <v>0</v>
      </c>
      <c r="BE20" s="16">
        <f t="shared" ref="BE20" si="127">SUM(AE20:AG20)</f>
        <v>0</v>
      </c>
      <c r="BF20" s="16">
        <f t="shared" ref="BF20" si="128">SUM(AH20:AJ20)</f>
        <v>0</v>
      </c>
      <c r="BG20" s="16">
        <f t="shared" ref="BG20" si="129">SUM(AK20:AM20)</f>
        <v>0</v>
      </c>
      <c r="BH20" s="16">
        <f t="shared" ref="BH20" si="130">SUM(AN20:AP20)</f>
        <v>0</v>
      </c>
      <c r="BJ20" s="16">
        <f>SUM(BK20:BN20)</f>
        <v>0</v>
      </c>
      <c r="BK20" s="16">
        <f>BH20*(1+BK$2)</f>
        <v>0</v>
      </c>
      <c r="BL20" s="16">
        <f>BK20*(1+BL$2)</f>
        <v>0</v>
      </c>
      <c r="BM20" s="16">
        <f t="shared" ref="BM20:BN20" si="131">BL20*(1+BM$2)</f>
        <v>0</v>
      </c>
      <c r="BN20" s="16">
        <f t="shared" si="131"/>
        <v>0</v>
      </c>
      <c r="BP20" s="16">
        <f>SUM(BQ20:BT20)</f>
        <v>0</v>
      </c>
      <c r="BQ20" s="16">
        <f>BN20*(1+BQ$2)</f>
        <v>0</v>
      </c>
      <c r="BR20" s="16">
        <f>BQ20*(1+BR$2)</f>
        <v>0</v>
      </c>
      <c r="BS20" s="16">
        <f t="shared" ref="BS20:BT20" si="132">BR20*(1+BS$2)</f>
        <v>0</v>
      </c>
      <c r="BT20" s="16">
        <f t="shared" si="132"/>
        <v>0</v>
      </c>
      <c r="BV20" s="16">
        <f>SUM(BW20:BZ20)</f>
        <v>0</v>
      </c>
      <c r="BW20" s="16">
        <f>BT20*(1+BW$2)</f>
        <v>0</v>
      </c>
      <c r="BX20" s="16">
        <f>BW20*(1+BX$2)</f>
        <v>0</v>
      </c>
      <c r="BY20" s="16">
        <f t="shared" ref="BY20:BZ20" si="133">BX20*(1+BY$2)</f>
        <v>0</v>
      </c>
      <c r="BZ20" s="16">
        <f t="shared" si="133"/>
        <v>0</v>
      </c>
    </row>
    <row r="21" spans="2:78" s="16" customFormat="1" x14ac:dyDescent="0.25">
      <c r="B21" s="16" t="s">
        <v>26</v>
      </c>
      <c r="E21" s="16">
        <f>150*(4+8/12)</f>
        <v>700</v>
      </c>
      <c r="F21" s="16">
        <f t="shared" ref="F21:U21" si="134">150*(4+8/12)</f>
        <v>700</v>
      </c>
      <c r="G21" s="16">
        <f t="shared" si="134"/>
        <v>700</v>
      </c>
      <c r="H21" s="16">
        <f t="shared" si="134"/>
        <v>700</v>
      </c>
      <c r="I21" s="16">
        <f t="shared" si="134"/>
        <v>700</v>
      </c>
      <c r="J21" s="16">
        <f t="shared" si="134"/>
        <v>700</v>
      </c>
      <c r="K21" s="16">
        <f t="shared" si="134"/>
        <v>700</v>
      </c>
      <c r="L21" s="16">
        <f t="shared" si="134"/>
        <v>700</v>
      </c>
      <c r="M21" s="16">
        <f t="shared" si="134"/>
        <v>700</v>
      </c>
      <c r="N21" s="16">
        <f t="shared" si="134"/>
        <v>700</v>
      </c>
      <c r="O21" s="16">
        <f t="shared" si="134"/>
        <v>700</v>
      </c>
      <c r="P21" s="16">
        <f t="shared" si="134"/>
        <v>700</v>
      </c>
      <c r="R21" s="16">
        <f t="shared" si="134"/>
        <v>700</v>
      </c>
      <c r="S21" s="16">
        <f t="shared" si="134"/>
        <v>700</v>
      </c>
      <c r="T21" s="16">
        <f t="shared" si="134"/>
        <v>700</v>
      </c>
      <c r="U21" s="16">
        <f t="shared" si="134"/>
        <v>700</v>
      </c>
      <c r="V21" s="16">
        <v>6000</v>
      </c>
      <c r="W21" s="16">
        <v>1000</v>
      </c>
      <c r="X21" s="16">
        <v>1000</v>
      </c>
      <c r="Y21" s="16">
        <v>1000</v>
      </c>
      <c r="Z21" s="16">
        <v>1000</v>
      </c>
      <c r="AA21" s="16">
        <v>1000</v>
      </c>
      <c r="AB21" s="16">
        <v>1000</v>
      </c>
      <c r="AC21" s="16">
        <v>1000</v>
      </c>
      <c r="AE21" s="16">
        <v>2000</v>
      </c>
      <c r="AF21" s="16">
        <f>+AE21</f>
        <v>2000</v>
      </c>
      <c r="AG21" s="16">
        <f t="shared" ref="AG21:AH21" si="135">+AF21</f>
        <v>2000</v>
      </c>
      <c r="AH21" s="16">
        <f t="shared" si="135"/>
        <v>2000</v>
      </c>
      <c r="AI21" s="16">
        <v>7000</v>
      </c>
      <c r="AJ21" s="16">
        <v>2000</v>
      </c>
      <c r="AR21" s="16">
        <f t="shared" ref="AR21:AR24" si="136">SUM(E21:P21)</f>
        <v>8400</v>
      </c>
      <c r="AS21" s="16">
        <f t="shared" ref="AS21:AS24" si="137">SUM(E21:G21)</f>
        <v>2100</v>
      </c>
      <c r="AT21" s="16">
        <f t="shared" ref="AT21:AT24" si="138">SUM(H21:J21)</f>
        <v>2100</v>
      </c>
      <c r="AU21" s="16">
        <f t="shared" ref="AU21:AU24" si="139">SUM(K21:M21)</f>
        <v>2100</v>
      </c>
      <c r="AV21" s="16">
        <f t="shared" ref="AV21:AV24" si="140">SUM(N21:P21)</f>
        <v>2100</v>
      </c>
      <c r="AX21" s="16">
        <f t="shared" ref="AX21:AX24" si="141">SUM(R21:AC21)</f>
        <v>15800</v>
      </c>
      <c r="AY21" s="16">
        <f t="shared" ref="AY21:AY24" si="142">SUM(R21:T21)</f>
        <v>2100</v>
      </c>
      <c r="AZ21" s="16">
        <f t="shared" ref="AZ21:AZ24" si="143">SUM(U21:W21)</f>
        <v>7700</v>
      </c>
      <c r="BA21" s="16">
        <f t="shared" ref="BA21:BA24" si="144">SUM(X21:Z21)</f>
        <v>3000</v>
      </c>
      <c r="BB21" s="16">
        <f t="shared" ref="BB21:BB24" si="145">SUM(AA21:AC21)</f>
        <v>3000</v>
      </c>
      <c r="BD21" s="16">
        <f t="shared" ref="BD21:BD24" si="146">SUM(AE21:AP21)</f>
        <v>17000</v>
      </c>
      <c r="BE21" s="16">
        <f t="shared" ref="BE21:BE24" si="147">SUM(AE21:AG21)</f>
        <v>6000</v>
      </c>
      <c r="BF21" s="16">
        <f t="shared" ref="BF21:BF24" si="148">SUM(AH21:AJ21)</f>
        <v>11000</v>
      </c>
      <c r="BG21" s="16">
        <f t="shared" ref="BG21:BG24" si="149">SUM(AK21:AM21)</f>
        <v>0</v>
      </c>
      <c r="BH21" s="16">
        <f t="shared" ref="BH21:BH24" si="150">SUM(AN21:AP21)</f>
        <v>0</v>
      </c>
      <c r="BJ21" s="16">
        <f t="shared" ref="BJ21:BJ24" si="151">SUM(BK21:BN21)</f>
        <v>0</v>
      </c>
      <c r="BK21" s="16">
        <f t="shared" ref="BK21:BK24" si="152">BH21*(1+BK$2)</f>
        <v>0</v>
      </c>
      <c r="BL21" s="16">
        <f>BK21*(1+BL$2)</f>
        <v>0</v>
      </c>
      <c r="BM21" s="16">
        <f t="shared" ref="BM21:BN21" si="153">BL21*(1+BM$2)</f>
        <v>0</v>
      </c>
      <c r="BN21" s="16">
        <f t="shared" si="153"/>
        <v>0</v>
      </c>
      <c r="BP21" s="16">
        <f t="shared" ref="BP21:BP24" si="154">SUM(BQ21:BT21)</f>
        <v>0</v>
      </c>
      <c r="BQ21" s="16">
        <f>BN21*(1+BQ$2)</f>
        <v>0</v>
      </c>
      <c r="BR21" s="16">
        <f>BQ21*(1+BR$2)</f>
        <v>0</v>
      </c>
      <c r="BS21" s="16">
        <f t="shared" ref="BS21:BT21" si="155">BR21*(1+BS$2)</f>
        <v>0</v>
      </c>
      <c r="BT21" s="16">
        <f t="shared" si="155"/>
        <v>0</v>
      </c>
      <c r="BV21" s="16">
        <f t="shared" ref="BV21:BV24" si="156">SUM(BW21:BZ21)</f>
        <v>0</v>
      </c>
      <c r="BW21" s="16">
        <f>BT21*(1+BW$2)</f>
        <v>0</v>
      </c>
      <c r="BX21" s="16">
        <f>BW21*(1+BX$2)</f>
        <v>0</v>
      </c>
      <c r="BY21" s="16">
        <f t="shared" ref="BY21:BZ21" si="157">BX21*(1+BY$2)</f>
        <v>0</v>
      </c>
      <c r="BZ21" s="16">
        <f t="shared" si="157"/>
        <v>0</v>
      </c>
    </row>
    <row r="22" spans="2:78" s="16" customFormat="1" x14ac:dyDescent="0.25">
      <c r="B22" s="16" t="s">
        <v>95</v>
      </c>
      <c r="E22" s="16">
        <v>60400</v>
      </c>
      <c r="F22" s="16">
        <v>0</v>
      </c>
      <c r="G22" s="16">
        <v>25000</v>
      </c>
      <c r="H22" s="16">
        <v>0</v>
      </c>
      <c r="I22" s="16">
        <v>10000</v>
      </c>
      <c r="J22" s="16">
        <v>25000</v>
      </c>
      <c r="K22" s="16">
        <v>0</v>
      </c>
      <c r="L22" s="16">
        <v>0</v>
      </c>
      <c r="M22" s="16">
        <v>10000</v>
      </c>
      <c r="N22" s="16">
        <v>0</v>
      </c>
      <c r="O22" s="16">
        <v>0</v>
      </c>
      <c r="P22" s="16">
        <v>20000</v>
      </c>
      <c r="R22" s="16">
        <v>15000</v>
      </c>
      <c r="S22" s="16">
        <v>0</v>
      </c>
      <c r="T22" s="16">
        <v>10000</v>
      </c>
      <c r="U22" s="16">
        <v>0</v>
      </c>
      <c r="V22" s="16">
        <v>10000</v>
      </c>
      <c r="W22" s="16">
        <v>25000</v>
      </c>
      <c r="X22" s="16">
        <v>0</v>
      </c>
      <c r="Y22" s="16">
        <v>0</v>
      </c>
      <c r="Z22" s="16">
        <v>10000</v>
      </c>
      <c r="AA22" s="16">
        <v>0</v>
      </c>
      <c r="AB22" s="16">
        <v>0</v>
      </c>
      <c r="AC22" s="16">
        <v>0</v>
      </c>
      <c r="AG22" s="16">
        <v>10000</v>
      </c>
      <c r="AJ22" s="16">
        <v>5000</v>
      </c>
      <c r="AM22" s="16">
        <v>5000</v>
      </c>
      <c r="AP22" s="16">
        <v>5000</v>
      </c>
      <c r="AR22" s="16">
        <f t="shared" si="136"/>
        <v>150400</v>
      </c>
      <c r="AS22" s="16">
        <f t="shared" si="137"/>
        <v>85400</v>
      </c>
      <c r="AT22" s="16">
        <f t="shared" si="138"/>
        <v>35000</v>
      </c>
      <c r="AU22" s="16">
        <f t="shared" si="139"/>
        <v>10000</v>
      </c>
      <c r="AV22" s="16">
        <f t="shared" si="140"/>
        <v>20000</v>
      </c>
      <c r="AX22" s="16">
        <f>SUM(R22:AC22)</f>
        <v>70000</v>
      </c>
      <c r="AY22" s="16">
        <f t="shared" si="142"/>
        <v>25000</v>
      </c>
      <c r="AZ22" s="16">
        <f t="shared" si="143"/>
        <v>35000</v>
      </c>
      <c r="BA22" s="16">
        <f t="shared" si="144"/>
        <v>10000</v>
      </c>
      <c r="BB22" s="16">
        <f t="shared" si="145"/>
        <v>0</v>
      </c>
      <c r="BD22" s="16">
        <f t="shared" si="146"/>
        <v>25000</v>
      </c>
      <c r="BE22" s="16">
        <f t="shared" si="147"/>
        <v>10000</v>
      </c>
      <c r="BF22" s="16">
        <f t="shared" si="148"/>
        <v>5000</v>
      </c>
      <c r="BG22" s="16">
        <f t="shared" si="149"/>
        <v>5000</v>
      </c>
      <c r="BH22" s="16">
        <f t="shared" si="150"/>
        <v>5000</v>
      </c>
      <c r="BJ22" s="16">
        <f t="shared" si="151"/>
        <v>29524</v>
      </c>
      <c r="BK22" s="16">
        <f t="shared" si="152"/>
        <v>5500</v>
      </c>
      <c r="BL22" s="16">
        <f>BK22*(1+BL$2)</f>
        <v>6600</v>
      </c>
      <c r="BM22" s="16">
        <f t="shared" ref="BM22:BN22" si="158">BL22*(1+BM$2)</f>
        <v>7920</v>
      </c>
      <c r="BN22" s="16">
        <f t="shared" si="158"/>
        <v>9504</v>
      </c>
      <c r="BP22" s="16">
        <f t="shared" si="154"/>
        <v>58928.601599999987</v>
      </c>
      <c r="BQ22" s="16">
        <f>BN22*(1+BQ$2)</f>
        <v>11404.8</v>
      </c>
      <c r="BR22" s="16">
        <f>BQ22*(1+BR$2)</f>
        <v>13685.759999999998</v>
      </c>
      <c r="BS22" s="16">
        <f t="shared" ref="BS22:BT22" si="159">BR22*(1+BS$2)</f>
        <v>15738.623999999996</v>
      </c>
      <c r="BT22" s="16">
        <f t="shared" si="159"/>
        <v>18099.417599999993</v>
      </c>
      <c r="BV22" s="16">
        <f t="shared" si="156"/>
        <v>84906.856631519986</v>
      </c>
      <c r="BW22" s="16">
        <f t="shared" ref="BW22:BW24" si="160">BT22*(1+BW$2)</f>
        <v>19004.388479999994</v>
      </c>
      <c r="BX22" s="16">
        <f>BW22*(1+BX$2)</f>
        <v>20904.827327999996</v>
      </c>
      <c r="BY22" s="16">
        <f t="shared" ref="BY22:BZ22" si="161">BX22*(1+BY$2)</f>
        <v>21950.068694399997</v>
      </c>
      <c r="BZ22" s="16">
        <f t="shared" si="161"/>
        <v>23047.572129119999</v>
      </c>
    </row>
    <row r="23" spans="2:78" s="16" customFormat="1" x14ac:dyDescent="0.25">
      <c r="B23" s="16" t="s">
        <v>27</v>
      </c>
      <c r="AR23" s="16">
        <f t="shared" si="136"/>
        <v>0</v>
      </c>
      <c r="AS23" s="16">
        <f t="shared" si="137"/>
        <v>0</v>
      </c>
      <c r="AT23" s="16">
        <f t="shared" si="138"/>
        <v>0</v>
      </c>
      <c r="AU23" s="16">
        <f t="shared" si="139"/>
        <v>0</v>
      </c>
      <c r="AV23" s="16">
        <f t="shared" si="140"/>
        <v>0</v>
      </c>
      <c r="AX23" s="16">
        <f t="shared" si="141"/>
        <v>0</v>
      </c>
      <c r="AY23" s="16">
        <f t="shared" si="142"/>
        <v>0</v>
      </c>
      <c r="AZ23" s="16">
        <f t="shared" si="143"/>
        <v>0</v>
      </c>
      <c r="BA23" s="16">
        <f t="shared" si="144"/>
        <v>0</v>
      </c>
      <c r="BB23" s="16">
        <f t="shared" si="145"/>
        <v>0</v>
      </c>
      <c r="BD23" s="16">
        <f t="shared" si="146"/>
        <v>0</v>
      </c>
      <c r="BE23" s="16">
        <f t="shared" si="147"/>
        <v>0</v>
      </c>
      <c r="BF23" s="16">
        <f t="shared" si="148"/>
        <v>0</v>
      </c>
      <c r="BG23" s="16">
        <f t="shared" si="149"/>
        <v>0</v>
      </c>
      <c r="BH23" s="16">
        <f t="shared" si="150"/>
        <v>0</v>
      </c>
      <c r="BJ23" s="16">
        <f t="shared" si="151"/>
        <v>0</v>
      </c>
      <c r="BK23" s="16">
        <f t="shared" si="152"/>
        <v>0</v>
      </c>
      <c r="BL23" s="16">
        <f>BK23*(1+BL$2)</f>
        <v>0</v>
      </c>
      <c r="BM23" s="16">
        <f t="shared" ref="BM23:BN23" si="162">BL23*(1+BM$2)</f>
        <v>0</v>
      </c>
      <c r="BN23" s="16">
        <f t="shared" si="162"/>
        <v>0</v>
      </c>
      <c r="BP23" s="16">
        <f t="shared" si="154"/>
        <v>0</v>
      </c>
      <c r="BQ23" s="16">
        <f>BN23*(1+BQ$2)</f>
        <v>0</v>
      </c>
      <c r="BR23" s="16">
        <f>BQ23*(1+BR$2)</f>
        <v>0</v>
      </c>
      <c r="BS23" s="16">
        <f t="shared" ref="BS23:BT23" si="163">BR23*(1+BS$2)</f>
        <v>0</v>
      </c>
      <c r="BT23" s="16">
        <f t="shared" si="163"/>
        <v>0</v>
      </c>
      <c r="BV23" s="16">
        <f t="shared" si="156"/>
        <v>0</v>
      </c>
      <c r="BW23" s="16">
        <f t="shared" si="160"/>
        <v>0</v>
      </c>
      <c r="BX23" s="16">
        <f>BW23*(1+BX$2)</f>
        <v>0</v>
      </c>
      <c r="BY23" s="16">
        <f t="shared" ref="BY23:BZ23" si="164">BX23*(1+BY$2)</f>
        <v>0</v>
      </c>
      <c r="BZ23" s="16">
        <f t="shared" si="164"/>
        <v>0</v>
      </c>
    </row>
    <row r="24" spans="2:78" s="16" customFormat="1" x14ac:dyDescent="0.25">
      <c r="B24" s="16" t="s">
        <v>28</v>
      </c>
      <c r="E24" s="16">
        <f>+E110</f>
        <v>0</v>
      </c>
      <c r="F24" s="16">
        <f t="shared" ref="F24:P24" si="165">+F110</f>
        <v>0</v>
      </c>
      <c r="G24" s="16">
        <f t="shared" si="165"/>
        <v>0</v>
      </c>
      <c r="H24" s="16">
        <f t="shared" si="165"/>
        <v>0</v>
      </c>
      <c r="I24" s="16">
        <f t="shared" si="165"/>
        <v>0</v>
      </c>
      <c r="J24" s="16">
        <f t="shared" si="165"/>
        <v>0</v>
      </c>
      <c r="K24" s="16">
        <f t="shared" si="165"/>
        <v>0</v>
      </c>
      <c r="L24" s="16">
        <f t="shared" si="165"/>
        <v>0</v>
      </c>
      <c r="M24" s="16">
        <f t="shared" si="165"/>
        <v>0</v>
      </c>
      <c r="N24" s="16">
        <f t="shared" si="165"/>
        <v>0</v>
      </c>
      <c r="O24" s="16">
        <f t="shared" si="165"/>
        <v>0</v>
      </c>
      <c r="P24" s="16">
        <f t="shared" si="165"/>
        <v>0</v>
      </c>
      <c r="R24" s="16">
        <f>+R110</f>
        <v>0</v>
      </c>
      <c r="S24" s="16">
        <f t="shared" ref="S24:AC24" si="166">+S110</f>
        <v>0</v>
      </c>
      <c r="T24" s="16">
        <f t="shared" si="166"/>
        <v>0</v>
      </c>
      <c r="U24" s="16">
        <f t="shared" si="166"/>
        <v>0</v>
      </c>
      <c r="V24" s="16">
        <f t="shared" si="166"/>
        <v>0</v>
      </c>
      <c r="W24" s="16">
        <f t="shared" si="166"/>
        <v>0</v>
      </c>
      <c r="X24" s="16">
        <f t="shared" si="166"/>
        <v>0</v>
      </c>
      <c r="Y24" s="16">
        <f t="shared" si="166"/>
        <v>0</v>
      </c>
      <c r="Z24" s="16">
        <f t="shared" si="166"/>
        <v>0</v>
      </c>
      <c r="AA24" s="16">
        <f t="shared" si="166"/>
        <v>0</v>
      </c>
      <c r="AB24" s="16">
        <f t="shared" si="166"/>
        <v>0</v>
      </c>
      <c r="AC24" s="16">
        <f t="shared" si="166"/>
        <v>0</v>
      </c>
      <c r="AR24" s="16">
        <f t="shared" si="136"/>
        <v>0</v>
      </c>
      <c r="AS24" s="16">
        <f t="shared" si="137"/>
        <v>0</v>
      </c>
      <c r="AT24" s="16">
        <f t="shared" si="138"/>
        <v>0</v>
      </c>
      <c r="AU24" s="16">
        <f t="shared" si="139"/>
        <v>0</v>
      </c>
      <c r="AV24" s="16">
        <f t="shared" si="140"/>
        <v>0</v>
      </c>
      <c r="AX24" s="16">
        <f t="shared" si="141"/>
        <v>0</v>
      </c>
      <c r="AY24" s="16">
        <f t="shared" si="142"/>
        <v>0</v>
      </c>
      <c r="AZ24" s="16">
        <f t="shared" si="143"/>
        <v>0</v>
      </c>
      <c r="BA24" s="16">
        <f t="shared" si="144"/>
        <v>0</v>
      </c>
      <c r="BB24" s="16">
        <f t="shared" si="145"/>
        <v>0</v>
      </c>
      <c r="BD24" s="16">
        <f t="shared" si="146"/>
        <v>0</v>
      </c>
      <c r="BE24" s="16">
        <f t="shared" si="147"/>
        <v>0</v>
      </c>
      <c r="BF24" s="16">
        <f t="shared" si="148"/>
        <v>0</v>
      </c>
      <c r="BG24" s="16">
        <f t="shared" si="149"/>
        <v>0</v>
      </c>
      <c r="BH24" s="16">
        <f t="shared" si="150"/>
        <v>0</v>
      </c>
      <c r="BJ24" s="16">
        <f t="shared" si="151"/>
        <v>0</v>
      </c>
      <c r="BK24" s="16">
        <f t="shared" si="152"/>
        <v>0</v>
      </c>
      <c r="BL24" s="16">
        <f>BK24*(1+BL$2)</f>
        <v>0</v>
      </c>
      <c r="BM24" s="16">
        <f t="shared" ref="BM24:BN24" si="167">BL24*(1+BM$2)</f>
        <v>0</v>
      </c>
      <c r="BN24" s="16">
        <f t="shared" si="167"/>
        <v>0</v>
      </c>
      <c r="BP24" s="16">
        <f t="shared" si="154"/>
        <v>0</v>
      </c>
      <c r="BQ24" s="16">
        <f>BN24*(1+BQ$2)</f>
        <v>0</v>
      </c>
      <c r="BR24" s="16">
        <f>BQ24*(1+BR$2)</f>
        <v>0</v>
      </c>
      <c r="BS24" s="16">
        <f t="shared" ref="BS24:BT24" si="168">BR24*(1+BS$2)</f>
        <v>0</v>
      </c>
      <c r="BT24" s="16">
        <f t="shared" si="168"/>
        <v>0</v>
      </c>
      <c r="BV24" s="16">
        <f t="shared" si="156"/>
        <v>0</v>
      </c>
      <c r="BW24" s="16">
        <f t="shared" si="160"/>
        <v>0</v>
      </c>
      <c r="BX24" s="16">
        <f>BW24*(1+BX$2)</f>
        <v>0</v>
      </c>
      <c r="BY24" s="16">
        <f t="shared" ref="BY24:BZ24" si="169">BX24*(1+BY$2)</f>
        <v>0</v>
      </c>
      <c r="BZ24" s="16">
        <f t="shared" si="169"/>
        <v>0</v>
      </c>
    </row>
    <row r="25" spans="2:78" s="16" customFormat="1" x14ac:dyDescent="0.25"/>
    <row r="26" spans="2:78" s="16" customFormat="1" x14ac:dyDescent="0.25">
      <c r="B26" s="16" t="s">
        <v>29</v>
      </c>
      <c r="E26" s="17">
        <f>SUBTOTAL(9,E20:E25)</f>
        <v>61100</v>
      </c>
      <c r="F26" s="17">
        <f t="shared" ref="F26:P26" si="170">SUBTOTAL(9,F20:F25)</f>
        <v>700</v>
      </c>
      <c r="G26" s="17">
        <f t="shared" si="170"/>
        <v>25700</v>
      </c>
      <c r="H26" s="17">
        <f t="shared" si="170"/>
        <v>700</v>
      </c>
      <c r="I26" s="17">
        <f t="shared" si="170"/>
        <v>10700</v>
      </c>
      <c r="J26" s="17">
        <f t="shared" si="170"/>
        <v>25700</v>
      </c>
      <c r="K26" s="17">
        <f t="shared" si="170"/>
        <v>700</v>
      </c>
      <c r="L26" s="17">
        <f t="shared" si="170"/>
        <v>700</v>
      </c>
      <c r="M26" s="17">
        <f t="shared" si="170"/>
        <v>10700</v>
      </c>
      <c r="N26" s="17">
        <f t="shared" si="170"/>
        <v>700</v>
      </c>
      <c r="O26" s="17">
        <f t="shared" si="170"/>
        <v>700</v>
      </c>
      <c r="P26" s="17">
        <f t="shared" si="170"/>
        <v>20700</v>
      </c>
      <c r="R26" s="17">
        <f>SUBTOTAL(9,R20:R25)</f>
        <v>15700</v>
      </c>
      <c r="S26" s="17">
        <f t="shared" ref="S26" si="171">SUBTOTAL(9,S20:S25)</f>
        <v>700</v>
      </c>
      <c r="T26" s="17">
        <f t="shared" ref="T26" si="172">SUBTOTAL(9,T20:T25)</f>
        <v>10700</v>
      </c>
      <c r="U26" s="17">
        <f t="shared" ref="U26" si="173">SUBTOTAL(9,U20:U25)</f>
        <v>700</v>
      </c>
      <c r="V26" s="17">
        <f t="shared" ref="V26" si="174">SUBTOTAL(9,V20:V25)</f>
        <v>16000</v>
      </c>
      <c r="W26" s="17">
        <f t="shared" ref="W26" si="175">SUBTOTAL(9,W20:W25)</f>
        <v>26000</v>
      </c>
      <c r="X26" s="17">
        <f t="shared" ref="X26" si="176">SUBTOTAL(9,X20:X25)</f>
        <v>1000</v>
      </c>
      <c r="Y26" s="17">
        <f t="shared" ref="Y26" si="177">SUBTOTAL(9,Y20:Y25)</f>
        <v>1000</v>
      </c>
      <c r="Z26" s="17">
        <f t="shared" ref="Z26" si="178">SUBTOTAL(9,Z20:Z25)</f>
        <v>11000</v>
      </c>
      <c r="AA26" s="17">
        <f t="shared" ref="AA26" si="179">SUBTOTAL(9,AA20:AA25)</f>
        <v>1000</v>
      </c>
      <c r="AB26" s="17">
        <f t="shared" ref="AB26" si="180">SUBTOTAL(9,AB20:AB25)</f>
        <v>1000</v>
      </c>
      <c r="AC26" s="17">
        <f t="shared" ref="AC26:AP26" si="181">SUBTOTAL(9,AC20:AC25)</f>
        <v>1000</v>
      </c>
      <c r="AE26" s="17">
        <f t="shared" si="181"/>
        <v>2000</v>
      </c>
      <c r="AF26" s="17">
        <f t="shared" si="181"/>
        <v>2000</v>
      </c>
      <c r="AG26" s="17">
        <f t="shared" si="181"/>
        <v>12000</v>
      </c>
      <c r="AH26" s="17">
        <f t="shared" si="181"/>
        <v>2000</v>
      </c>
      <c r="AI26" s="17">
        <f t="shared" si="181"/>
        <v>7000</v>
      </c>
      <c r="AJ26" s="17">
        <f t="shared" si="181"/>
        <v>7000</v>
      </c>
      <c r="AK26" s="17">
        <f t="shared" si="181"/>
        <v>0</v>
      </c>
      <c r="AL26" s="17">
        <f t="shared" si="181"/>
        <v>0</v>
      </c>
      <c r="AM26" s="17">
        <f t="shared" si="181"/>
        <v>5000</v>
      </c>
      <c r="AN26" s="17">
        <f t="shared" si="181"/>
        <v>0</v>
      </c>
      <c r="AO26" s="17">
        <f t="shared" si="181"/>
        <v>0</v>
      </c>
      <c r="AP26" s="17">
        <f t="shared" si="181"/>
        <v>5000</v>
      </c>
      <c r="AR26" s="17">
        <f t="shared" ref="AR26:AV26" si="182">SUBTOTAL(9,AR20:AR25)</f>
        <v>158800</v>
      </c>
      <c r="AS26" s="17">
        <f t="shared" si="182"/>
        <v>87500</v>
      </c>
      <c r="AT26" s="17">
        <f t="shared" si="182"/>
        <v>37100</v>
      </c>
      <c r="AU26" s="17">
        <f t="shared" si="182"/>
        <v>12100</v>
      </c>
      <c r="AV26" s="17">
        <f t="shared" si="182"/>
        <v>22100</v>
      </c>
      <c r="AX26" s="17">
        <f t="shared" ref="AX26:BB26" si="183">SUBTOTAL(9,AX20:AX25)</f>
        <v>85800</v>
      </c>
      <c r="AY26" s="17">
        <f t="shared" si="183"/>
        <v>27100</v>
      </c>
      <c r="AZ26" s="17">
        <f t="shared" si="183"/>
        <v>42700</v>
      </c>
      <c r="BA26" s="17">
        <f t="shared" si="183"/>
        <v>13000</v>
      </c>
      <c r="BB26" s="17">
        <f t="shared" si="183"/>
        <v>3000</v>
      </c>
      <c r="BD26" s="17">
        <f t="shared" ref="BD26:BH26" si="184">SUBTOTAL(9,BD20:BD25)</f>
        <v>42000</v>
      </c>
      <c r="BE26" s="17">
        <f t="shared" si="184"/>
        <v>16000</v>
      </c>
      <c r="BF26" s="17">
        <f t="shared" si="184"/>
        <v>16000</v>
      </c>
      <c r="BG26" s="17">
        <f t="shared" si="184"/>
        <v>5000</v>
      </c>
      <c r="BH26" s="17">
        <f t="shared" si="184"/>
        <v>5000</v>
      </c>
      <c r="BJ26" s="17">
        <f>SUBTOTAL(9,BJ20:BJ24)</f>
        <v>29524</v>
      </c>
      <c r="BK26" s="17">
        <f t="shared" ref="BK26:BN26" si="185">SUBTOTAL(9,BK20:BK24)</f>
        <v>5500</v>
      </c>
      <c r="BL26" s="17">
        <f t="shared" si="185"/>
        <v>6600</v>
      </c>
      <c r="BM26" s="17">
        <f t="shared" si="185"/>
        <v>7920</v>
      </c>
      <c r="BN26" s="17">
        <f t="shared" si="185"/>
        <v>9504</v>
      </c>
      <c r="BP26" s="17">
        <f>SUBTOTAL(9,BP20:BP24)</f>
        <v>58928.601599999987</v>
      </c>
      <c r="BQ26" s="17">
        <f t="shared" ref="BQ26:BT26" si="186">SUBTOTAL(9,BQ20:BQ24)</f>
        <v>11404.8</v>
      </c>
      <c r="BR26" s="17">
        <f t="shared" si="186"/>
        <v>13685.759999999998</v>
      </c>
      <c r="BS26" s="17">
        <f t="shared" si="186"/>
        <v>15738.623999999996</v>
      </c>
      <c r="BT26" s="17">
        <f t="shared" si="186"/>
        <v>18099.417599999993</v>
      </c>
      <c r="BV26" s="17">
        <f>SUBTOTAL(9,BV20:BV24)</f>
        <v>84906.856631519986</v>
      </c>
      <c r="BW26" s="17">
        <f t="shared" ref="BW26:BZ26" si="187">SUBTOTAL(9,BW20:BW24)</f>
        <v>19004.388479999994</v>
      </c>
      <c r="BX26" s="17">
        <f t="shared" si="187"/>
        <v>20904.827327999996</v>
      </c>
      <c r="BY26" s="17">
        <f t="shared" si="187"/>
        <v>21950.068694399997</v>
      </c>
      <c r="BZ26" s="17">
        <f t="shared" si="187"/>
        <v>23047.572129119999</v>
      </c>
    </row>
    <row r="27" spans="2:78" s="16" customFormat="1" x14ac:dyDescent="0.25"/>
    <row r="28" spans="2:78" s="16" customFormat="1" x14ac:dyDescent="0.25">
      <c r="B28" s="16" t="s">
        <v>32</v>
      </c>
      <c r="AR28" s="16">
        <f t="shared" ref="AR28:AR32" si="188">SUM(E28:P28)</f>
        <v>0</v>
      </c>
      <c r="AS28" s="16">
        <f t="shared" ref="AS28:AS32" si="189">SUM(E28:G28)</f>
        <v>0</v>
      </c>
      <c r="AT28" s="16">
        <f t="shared" ref="AT28:AT32" si="190">SUM(H28:J28)</f>
        <v>0</v>
      </c>
      <c r="AU28" s="16">
        <f t="shared" ref="AU28:AU32" si="191">SUM(K28:M28)</f>
        <v>0</v>
      </c>
      <c r="AV28" s="16">
        <f t="shared" ref="AV28:AV32" si="192">SUM(N28:P28)</f>
        <v>0</v>
      </c>
      <c r="AX28" s="16">
        <f t="shared" ref="AX28:AX32" si="193">SUM(R28:AC28)</f>
        <v>0</v>
      </c>
      <c r="AY28" s="16">
        <f t="shared" ref="AY28:AY32" si="194">SUM(R28:T28)</f>
        <v>0</v>
      </c>
      <c r="AZ28" s="16">
        <f t="shared" ref="AZ28:AZ32" si="195">SUM(U28:W28)</f>
        <v>0</v>
      </c>
      <c r="BA28" s="16">
        <f t="shared" ref="BA28:BA32" si="196">SUM(X28:Z28)</f>
        <v>0</v>
      </c>
      <c r="BB28" s="16">
        <f t="shared" ref="BB28:BB32" si="197">SUM(AA28:AC28)</f>
        <v>0</v>
      </c>
      <c r="BD28" s="16">
        <f t="shared" ref="BD28:BD32" si="198">SUM(AE28:AP28)</f>
        <v>0</v>
      </c>
      <c r="BE28" s="16">
        <f t="shared" ref="BE28:BE32" si="199">SUM(AE28:AG28)</f>
        <v>0</v>
      </c>
      <c r="BF28" s="16">
        <f t="shared" ref="BF28:BF32" si="200">SUM(AH28:AJ28)</f>
        <v>0</v>
      </c>
      <c r="BG28" s="16">
        <f t="shared" ref="BG28:BG32" si="201">SUM(AK28:AM28)</f>
        <v>0</v>
      </c>
      <c r="BH28" s="16">
        <f t="shared" ref="BH28:BH32" si="202">SUM(AN28:AP28)</f>
        <v>0</v>
      </c>
      <c r="BJ28" s="16">
        <f>SUM(BK28:BN28)</f>
        <v>0</v>
      </c>
      <c r="BK28" s="16">
        <f>BH28*(1+BK$2)</f>
        <v>0</v>
      </c>
      <c r="BL28" s="16">
        <f>BK28*(1+BL$2)</f>
        <v>0</v>
      </c>
      <c r="BM28" s="16">
        <f t="shared" ref="BM28:BN28" si="203">BL28*(1+BM$2)</f>
        <v>0</v>
      </c>
      <c r="BN28" s="16">
        <f t="shared" si="203"/>
        <v>0</v>
      </c>
      <c r="BP28" s="16">
        <f>SUM(BQ28:BT28)</f>
        <v>0</v>
      </c>
      <c r="BQ28" s="16">
        <f>BN28*(1+BQ$2)</f>
        <v>0</v>
      </c>
      <c r="BR28" s="16">
        <f>BQ28*(1+BR$2)</f>
        <v>0</v>
      </c>
      <c r="BS28" s="16">
        <f t="shared" ref="BS28:BT28" si="204">BR28*(1+BS$2)</f>
        <v>0</v>
      </c>
      <c r="BT28" s="16">
        <f t="shared" si="204"/>
        <v>0</v>
      </c>
      <c r="BV28" s="16">
        <f>SUM(BW28:BZ28)</f>
        <v>0</v>
      </c>
      <c r="BW28" s="16">
        <f>BT28*(1+BW$2)</f>
        <v>0</v>
      </c>
      <c r="BX28" s="16">
        <f>BW28*(1+BX$2)</f>
        <v>0</v>
      </c>
      <c r="BY28" s="16">
        <f t="shared" ref="BY28:BZ28" si="205">BX28*(1+BY$2)</f>
        <v>0</v>
      </c>
      <c r="BZ28" s="16">
        <f t="shared" si="205"/>
        <v>0</v>
      </c>
    </row>
    <row r="29" spans="2:78" s="16" customFormat="1" x14ac:dyDescent="0.25">
      <c r="B29" s="16" t="s">
        <v>31</v>
      </c>
      <c r="AR29" s="16">
        <f t="shared" si="188"/>
        <v>0</v>
      </c>
      <c r="AS29" s="16">
        <f t="shared" si="189"/>
        <v>0</v>
      </c>
      <c r="AT29" s="16">
        <f t="shared" si="190"/>
        <v>0</v>
      </c>
      <c r="AU29" s="16">
        <f t="shared" si="191"/>
        <v>0</v>
      </c>
      <c r="AV29" s="16">
        <f t="shared" si="192"/>
        <v>0</v>
      </c>
      <c r="AX29" s="16">
        <f t="shared" si="193"/>
        <v>0</v>
      </c>
      <c r="AY29" s="16">
        <f t="shared" si="194"/>
        <v>0</v>
      </c>
      <c r="AZ29" s="16">
        <f t="shared" si="195"/>
        <v>0</v>
      </c>
      <c r="BA29" s="16">
        <f t="shared" si="196"/>
        <v>0</v>
      </c>
      <c r="BB29" s="16">
        <f t="shared" si="197"/>
        <v>0</v>
      </c>
      <c r="BD29" s="16">
        <f t="shared" si="198"/>
        <v>0</v>
      </c>
      <c r="BE29" s="16">
        <f t="shared" si="199"/>
        <v>0</v>
      </c>
      <c r="BF29" s="16">
        <f t="shared" si="200"/>
        <v>0</v>
      </c>
      <c r="BG29" s="16">
        <f t="shared" si="201"/>
        <v>0</v>
      </c>
      <c r="BH29" s="16">
        <f t="shared" si="202"/>
        <v>0</v>
      </c>
      <c r="BJ29" s="16">
        <f t="shared" ref="BJ29:BJ32" si="206">SUM(BK29:BN29)</f>
        <v>0</v>
      </c>
      <c r="BK29" s="16">
        <f t="shared" ref="BK29:BK32" si="207">BH29*(1+BK$2)</f>
        <v>0</v>
      </c>
      <c r="BL29" s="16">
        <f>BK29*(1+BL$2)</f>
        <v>0</v>
      </c>
      <c r="BM29" s="16">
        <f t="shared" ref="BM29:BN29" si="208">BL29*(1+BM$2)</f>
        <v>0</v>
      </c>
      <c r="BN29" s="16">
        <f t="shared" si="208"/>
        <v>0</v>
      </c>
      <c r="BP29" s="16">
        <f t="shared" ref="BP29:BP32" si="209">SUM(BQ29:BT29)</f>
        <v>0</v>
      </c>
      <c r="BQ29" s="16">
        <f>BN29*(1+BQ$2)</f>
        <v>0</v>
      </c>
      <c r="BR29" s="16">
        <f>BQ29*(1+BR$2)</f>
        <v>0</v>
      </c>
      <c r="BS29" s="16">
        <f t="shared" ref="BS29:BT29" si="210">BR29*(1+BS$2)</f>
        <v>0</v>
      </c>
      <c r="BT29" s="16">
        <f t="shared" si="210"/>
        <v>0</v>
      </c>
      <c r="BV29" s="16">
        <f t="shared" ref="BV29:BV32" si="211">SUM(BW29:BZ29)</f>
        <v>0</v>
      </c>
      <c r="BW29" s="16">
        <f t="shared" ref="BW29:BW32" si="212">BT29*(1+BW$2)</f>
        <v>0</v>
      </c>
      <c r="BX29" s="16">
        <f>BW29*(1+BX$2)</f>
        <v>0</v>
      </c>
      <c r="BY29" s="16">
        <f t="shared" ref="BY29:BZ29" si="213">BX29*(1+BY$2)</f>
        <v>0</v>
      </c>
      <c r="BZ29" s="16">
        <f t="shared" si="213"/>
        <v>0</v>
      </c>
    </row>
    <row r="30" spans="2:78" s="16" customFormat="1" x14ac:dyDescent="0.25">
      <c r="B30" s="16" t="s">
        <v>33</v>
      </c>
      <c r="AR30" s="16">
        <f t="shared" si="188"/>
        <v>0</v>
      </c>
      <c r="AS30" s="16">
        <f t="shared" si="189"/>
        <v>0</v>
      </c>
      <c r="AT30" s="16">
        <f t="shared" si="190"/>
        <v>0</v>
      </c>
      <c r="AU30" s="16">
        <f t="shared" si="191"/>
        <v>0</v>
      </c>
      <c r="AV30" s="16">
        <f t="shared" si="192"/>
        <v>0</v>
      </c>
      <c r="AX30" s="16">
        <f t="shared" si="193"/>
        <v>0</v>
      </c>
      <c r="AY30" s="16">
        <f t="shared" si="194"/>
        <v>0</v>
      </c>
      <c r="AZ30" s="16">
        <f t="shared" si="195"/>
        <v>0</v>
      </c>
      <c r="BA30" s="16">
        <f t="shared" si="196"/>
        <v>0</v>
      </c>
      <c r="BB30" s="16">
        <f t="shared" si="197"/>
        <v>0</v>
      </c>
      <c r="BD30" s="16">
        <f t="shared" si="198"/>
        <v>0</v>
      </c>
      <c r="BE30" s="16">
        <f t="shared" si="199"/>
        <v>0</v>
      </c>
      <c r="BF30" s="16">
        <f t="shared" si="200"/>
        <v>0</v>
      </c>
      <c r="BG30" s="16">
        <f t="shared" si="201"/>
        <v>0</v>
      </c>
      <c r="BH30" s="16">
        <f t="shared" si="202"/>
        <v>0</v>
      </c>
      <c r="BJ30" s="16">
        <f t="shared" si="206"/>
        <v>0</v>
      </c>
      <c r="BK30" s="16">
        <f t="shared" si="207"/>
        <v>0</v>
      </c>
      <c r="BL30" s="16">
        <f>BK30*(1+BL$2)</f>
        <v>0</v>
      </c>
      <c r="BM30" s="16">
        <f t="shared" ref="BM30:BN30" si="214">BL30*(1+BM$2)</f>
        <v>0</v>
      </c>
      <c r="BN30" s="16">
        <f t="shared" si="214"/>
        <v>0</v>
      </c>
      <c r="BP30" s="16">
        <f t="shared" si="209"/>
        <v>0</v>
      </c>
      <c r="BQ30" s="16">
        <f>BN30*(1+BQ$2)</f>
        <v>0</v>
      </c>
      <c r="BR30" s="16">
        <f>BQ30*(1+BR$2)</f>
        <v>0</v>
      </c>
      <c r="BS30" s="16">
        <f t="shared" ref="BS30:BT30" si="215">BR30*(1+BS$2)</f>
        <v>0</v>
      </c>
      <c r="BT30" s="16">
        <f t="shared" si="215"/>
        <v>0</v>
      </c>
      <c r="BV30" s="16">
        <f t="shared" si="211"/>
        <v>0</v>
      </c>
      <c r="BW30" s="16">
        <f t="shared" si="212"/>
        <v>0</v>
      </c>
      <c r="BX30" s="16">
        <f>BW30*(1+BX$2)</f>
        <v>0</v>
      </c>
      <c r="BY30" s="16">
        <f t="shared" ref="BY30:BZ30" si="216">BX30*(1+BY$2)</f>
        <v>0</v>
      </c>
      <c r="BZ30" s="16">
        <f t="shared" si="216"/>
        <v>0</v>
      </c>
    </row>
    <row r="31" spans="2:78" s="16" customFormat="1" x14ac:dyDescent="0.25">
      <c r="B31" s="16" t="s">
        <v>30</v>
      </c>
      <c r="AR31" s="16">
        <f t="shared" si="188"/>
        <v>0</v>
      </c>
      <c r="AS31" s="16">
        <f t="shared" si="189"/>
        <v>0</v>
      </c>
      <c r="AT31" s="16">
        <f t="shared" si="190"/>
        <v>0</v>
      </c>
      <c r="AU31" s="16">
        <f t="shared" si="191"/>
        <v>0</v>
      </c>
      <c r="AV31" s="16">
        <f t="shared" si="192"/>
        <v>0</v>
      </c>
      <c r="AX31" s="16">
        <f t="shared" si="193"/>
        <v>0</v>
      </c>
      <c r="AY31" s="16">
        <f t="shared" si="194"/>
        <v>0</v>
      </c>
      <c r="AZ31" s="16">
        <f t="shared" si="195"/>
        <v>0</v>
      </c>
      <c r="BA31" s="16">
        <f t="shared" si="196"/>
        <v>0</v>
      </c>
      <c r="BB31" s="16">
        <f t="shared" si="197"/>
        <v>0</v>
      </c>
      <c r="BD31" s="16">
        <f t="shared" si="198"/>
        <v>0</v>
      </c>
      <c r="BE31" s="16">
        <f t="shared" si="199"/>
        <v>0</v>
      </c>
      <c r="BF31" s="16">
        <f t="shared" si="200"/>
        <v>0</v>
      </c>
      <c r="BG31" s="16">
        <f t="shared" si="201"/>
        <v>0</v>
      </c>
      <c r="BH31" s="16">
        <f t="shared" si="202"/>
        <v>0</v>
      </c>
      <c r="BJ31" s="16">
        <f t="shared" si="206"/>
        <v>0</v>
      </c>
      <c r="BK31" s="16">
        <f t="shared" si="207"/>
        <v>0</v>
      </c>
      <c r="BL31" s="16">
        <f>BK31*(1+BL$2)</f>
        <v>0</v>
      </c>
      <c r="BM31" s="16">
        <f t="shared" ref="BM31:BN31" si="217">BL31*(1+BM$2)</f>
        <v>0</v>
      </c>
      <c r="BN31" s="16">
        <f t="shared" si="217"/>
        <v>0</v>
      </c>
      <c r="BP31" s="16">
        <f t="shared" si="209"/>
        <v>0</v>
      </c>
      <c r="BQ31" s="16">
        <f>BN31*(1+BQ$2)</f>
        <v>0</v>
      </c>
      <c r="BR31" s="16">
        <f>BQ31*(1+BR$2)</f>
        <v>0</v>
      </c>
      <c r="BS31" s="16">
        <f t="shared" ref="BS31:BT31" si="218">BR31*(1+BS$2)</f>
        <v>0</v>
      </c>
      <c r="BT31" s="16">
        <f t="shared" si="218"/>
        <v>0</v>
      </c>
      <c r="BV31" s="16">
        <f t="shared" si="211"/>
        <v>0</v>
      </c>
      <c r="BW31" s="16">
        <f t="shared" si="212"/>
        <v>0</v>
      </c>
      <c r="BX31" s="16">
        <f>BW31*(1+BX$2)</f>
        <v>0</v>
      </c>
      <c r="BY31" s="16">
        <f t="shared" ref="BY31:BZ31" si="219">BX31*(1+BY$2)</f>
        <v>0</v>
      </c>
      <c r="BZ31" s="16">
        <f t="shared" si="219"/>
        <v>0</v>
      </c>
    </row>
    <row r="32" spans="2:78" s="16" customFormat="1" x14ac:dyDescent="0.25">
      <c r="B32" s="16" t="s">
        <v>34</v>
      </c>
      <c r="AR32" s="16">
        <f t="shared" si="188"/>
        <v>0</v>
      </c>
      <c r="AS32" s="16">
        <f t="shared" si="189"/>
        <v>0</v>
      </c>
      <c r="AT32" s="16">
        <f t="shared" si="190"/>
        <v>0</v>
      </c>
      <c r="AU32" s="16">
        <f t="shared" si="191"/>
        <v>0</v>
      </c>
      <c r="AV32" s="16">
        <f t="shared" si="192"/>
        <v>0</v>
      </c>
      <c r="AX32" s="16">
        <f t="shared" si="193"/>
        <v>0</v>
      </c>
      <c r="AY32" s="16">
        <f t="shared" si="194"/>
        <v>0</v>
      </c>
      <c r="AZ32" s="16">
        <f t="shared" si="195"/>
        <v>0</v>
      </c>
      <c r="BA32" s="16">
        <f t="shared" si="196"/>
        <v>0</v>
      </c>
      <c r="BB32" s="16">
        <f t="shared" si="197"/>
        <v>0</v>
      </c>
      <c r="BD32" s="16">
        <f t="shared" si="198"/>
        <v>0</v>
      </c>
      <c r="BE32" s="16">
        <f t="shared" si="199"/>
        <v>0</v>
      </c>
      <c r="BF32" s="16">
        <f t="shared" si="200"/>
        <v>0</v>
      </c>
      <c r="BG32" s="16">
        <f t="shared" si="201"/>
        <v>0</v>
      </c>
      <c r="BH32" s="16">
        <f t="shared" si="202"/>
        <v>0</v>
      </c>
      <c r="BJ32" s="16">
        <f t="shared" si="206"/>
        <v>0</v>
      </c>
      <c r="BK32" s="16">
        <f t="shared" si="207"/>
        <v>0</v>
      </c>
      <c r="BL32" s="16">
        <f>BK32*(1+BL$2)</f>
        <v>0</v>
      </c>
      <c r="BM32" s="16">
        <f t="shared" ref="BM32:BN32" si="220">BL32*(1+BM$2)</f>
        <v>0</v>
      </c>
      <c r="BN32" s="16">
        <f t="shared" si="220"/>
        <v>0</v>
      </c>
      <c r="BP32" s="16">
        <f t="shared" si="209"/>
        <v>0</v>
      </c>
      <c r="BQ32" s="16">
        <f>BN32*(1+BQ$2)</f>
        <v>0</v>
      </c>
      <c r="BR32" s="16">
        <f>BQ32*(1+BR$2)</f>
        <v>0</v>
      </c>
      <c r="BS32" s="16">
        <f t="shared" ref="BS32:BT32" si="221">BR32*(1+BS$2)</f>
        <v>0</v>
      </c>
      <c r="BT32" s="16">
        <f t="shared" si="221"/>
        <v>0</v>
      </c>
      <c r="BV32" s="16">
        <f t="shared" si="211"/>
        <v>0</v>
      </c>
      <c r="BW32" s="16">
        <f t="shared" si="212"/>
        <v>0</v>
      </c>
      <c r="BX32" s="16">
        <f>BW32*(1+BX$2)</f>
        <v>0</v>
      </c>
      <c r="BY32" s="16">
        <f t="shared" ref="BY32:BZ32" si="222">BX32*(1+BY$2)</f>
        <v>0</v>
      </c>
      <c r="BZ32" s="16">
        <f t="shared" si="222"/>
        <v>0</v>
      </c>
    </row>
    <row r="33" spans="2:78" s="16" customFormat="1" x14ac:dyDescent="0.25"/>
    <row r="34" spans="2:78" s="16" customFormat="1" x14ac:dyDescent="0.25">
      <c r="B34" s="16" t="s">
        <v>35</v>
      </c>
      <c r="E34" s="17">
        <f>SUBTOTAL(9,E28:E33)</f>
        <v>0</v>
      </c>
      <c r="F34" s="17">
        <f t="shared" ref="F34:P34" si="223">SUBTOTAL(9,F28:F33)</f>
        <v>0</v>
      </c>
      <c r="G34" s="17">
        <f t="shared" si="223"/>
        <v>0</v>
      </c>
      <c r="H34" s="17">
        <f t="shared" si="223"/>
        <v>0</v>
      </c>
      <c r="I34" s="17">
        <f t="shared" si="223"/>
        <v>0</v>
      </c>
      <c r="J34" s="17">
        <f t="shared" si="223"/>
        <v>0</v>
      </c>
      <c r="K34" s="17">
        <f t="shared" si="223"/>
        <v>0</v>
      </c>
      <c r="L34" s="17">
        <f t="shared" si="223"/>
        <v>0</v>
      </c>
      <c r="M34" s="17">
        <f t="shared" si="223"/>
        <v>0</v>
      </c>
      <c r="N34" s="17">
        <f t="shared" si="223"/>
        <v>0</v>
      </c>
      <c r="O34" s="17">
        <f t="shared" si="223"/>
        <v>0</v>
      </c>
      <c r="P34" s="17">
        <f t="shared" si="223"/>
        <v>0</v>
      </c>
      <c r="R34" s="17">
        <f>SUBTOTAL(9,R28:R33)</f>
        <v>0</v>
      </c>
      <c r="S34" s="17">
        <f t="shared" ref="S34" si="224">SUBTOTAL(9,S28:S33)</f>
        <v>0</v>
      </c>
      <c r="T34" s="17">
        <f t="shared" ref="T34" si="225">SUBTOTAL(9,T28:T33)</f>
        <v>0</v>
      </c>
      <c r="U34" s="17">
        <f t="shared" ref="U34" si="226">SUBTOTAL(9,U28:U33)</f>
        <v>0</v>
      </c>
      <c r="V34" s="17">
        <f t="shared" ref="V34" si="227">SUBTOTAL(9,V28:V33)</f>
        <v>0</v>
      </c>
      <c r="W34" s="17">
        <f t="shared" ref="W34" si="228">SUBTOTAL(9,W28:W33)</f>
        <v>0</v>
      </c>
      <c r="X34" s="17">
        <f t="shared" ref="X34" si="229">SUBTOTAL(9,X28:X33)</f>
        <v>0</v>
      </c>
      <c r="Y34" s="17">
        <f t="shared" ref="Y34" si="230">SUBTOTAL(9,Y28:Y33)</f>
        <v>0</v>
      </c>
      <c r="Z34" s="17">
        <f t="shared" ref="Z34" si="231">SUBTOTAL(9,Z28:Z33)</f>
        <v>0</v>
      </c>
      <c r="AA34" s="17">
        <f t="shared" ref="AA34" si="232">SUBTOTAL(9,AA28:AA33)</f>
        <v>0</v>
      </c>
      <c r="AB34" s="17">
        <f t="shared" ref="AB34" si="233">SUBTOTAL(9,AB28:AB33)</f>
        <v>0</v>
      </c>
      <c r="AC34" s="17">
        <f t="shared" ref="AC34:AP34" si="234">SUBTOTAL(9,AC28:AC33)</f>
        <v>0</v>
      </c>
      <c r="AE34" s="17">
        <f t="shared" si="234"/>
        <v>0</v>
      </c>
      <c r="AF34" s="17">
        <f t="shared" si="234"/>
        <v>0</v>
      </c>
      <c r="AG34" s="17">
        <f t="shared" si="234"/>
        <v>0</v>
      </c>
      <c r="AH34" s="17">
        <f t="shared" si="234"/>
        <v>0</v>
      </c>
      <c r="AI34" s="17">
        <f t="shared" si="234"/>
        <v>0</v>
      </c>
      <c r="AJ34" s="17">
        <f t="shared" si="234"/>
        <v>0</v>
      </c>
      <c r="AK34" s="17">
        <f t="shared" si="234"/>
        <v>0</v>
      </c>
      <c r="AL34" s="17">
        <f t="shared" si="234"/>
        <v>0</v>
      </c>
      <c r="AM34" s="17">
        <f t="shared" si="234"/>
        <v>0</v>
      </c>
      <c r="AN34" s="17">
        <f t="shared" si="234"/>
        <v>0</v>
      </c>
      <c r="AO34" s="17">
        <f t="shared" si="234"/>
        <v>0</v>
      </c>
      <c r="AP34" s="17">
        <f t="shared" si="234"/>
        <v>0</v>
      </c>
      <c r="AR34" s="17">
        <f t="shared" ref="AR34:AV34" si="235">SUBTOTAL(9,AR28:AR33)</f>
        <v>0</v>
      </c>
      <c r="AS34" s="17">
        <f t="shared" si="235"/>
        <v>0</v>
      </c>
      <c r="AT34" s="17">
        <f t="shared" si="235"/>
        <v>0</v>
      </c>
      <c r="AU34" s="17">
        <f t="shared" si="235"/>
        <v>0</v>
      </c>
      <c r="AV34" s="17">
        <f t="shared" si="235"/>
        <v>0</v>
      </c>
      <c r="AX34" s="17">
        <f t="shared" ref="AX34:BB34" si="236">SUBTOTAL(9,AX28:AX33)</f>
        <v>0</v>
      </c>
      <c r="AY34" s="17">
        <f t="shared" si="236"/>
        <v>0</v>
      </c>
      <c r="AZ34" s="17">
        <f t="shared" si="236"/>
        <v>0</v>
      </c>
      <c r="BA34" s="17">
        <f t="shared" si="236"/>
        <v>0</v>
      </c>
      <c r="BB34" s="17">
        <f t="shared" si="236"/>
        <v>0</v>
      </c>
      <c r="BD34" s="17">
        <f t="shared" ref="BD34:BH34" si="237">SUBTOTAL(9,BD28:BD33)</f>
        <v>0</v>
      </c>
      <c r="BE34" s="17">
        <f t="shared" si="237"/>
        <v>0</v>
      </c>
      <c r="BF34" s="17">
        <f t="shared" si="237"/>
        <v>0</v>
      </c>
      <c r="BG34" s="17">
        <f t="shared" si="237"/>
        <v>0</v>
      </c>
      <c r="BH34" s="17">
        <f t="shared" si="237"/>
        <v>0</v>
      </c>
      <c r="BJ34" s="17">
        <f>SUBTOTAL(9,BJ28:BJ32)</f>
        <v>0</v>
      </c>
      <c r="BK34" s="17">
        <f t="shared" ref="BK34:BN34" si="238">SUBTOTAL(9,BK28:BK32)</f>
        <v>0</v>
      </c>
      <c r="BL34" s="17">
        <f t="shared" si="238"/>
        <v>0</v>
      </c>
      <c r="BM34" s="17">
        <f t="shared" si="238"/>
        <v>0</v>
      </c>
      <c r="BN34" s="17">
        <f t="shared" si="238"/>
        <v>0</v>
      </c>
      <c r="BP34" s="17">
        <f>SUBTOTAL(9,BP28:BP32)</f>
        <v>0</v>
      </c>
      <c r="BQ34" s="17">
        <f t="shared" ref="BQ34:BT34" si="239">SUBTOTAL(9,BQ28:BQ32)</f>
        <v>0</v>
      </c>
      <c r="BR34" s="17">
        <f t="shared" si="239"/>
        <v>0</v>
      </c>
      <c r="BS34" s="17">
        <f t="shared" si="239"/>
        <v>0</v>
      </c>
      <c r="BT34" s="17">
        <f t="shared" si="239"/>
        <v>0</v>
      </c>
      <c r="BV34" s="17">
        <f>SUBTOTAL(9,BV28:BV32)</f>
        <v>0</v>
      </c>
      <c r="BW34" s="17">
        <f t="shared" ref="BW34:BZ34" si="240">SUBTOTAL(9,BW28:BW32)</f>
        <v>0</v>
      </c>
      <c r="BX34" s="17">
        <f t="shared" si="240"/>
        <v>0</v>
      </c>
      <c r="BY34" s="17">
        <f t="shared" si="240"/>
        <v>0</v>
      </c>
      <c r="BZ34" s="17">
        <f t="shared" si="240"/>
        <v>0</v>
      </c>
    </row>
    <row r="35" spans="2:78" s="16" customFormat="1" x14ac:dyDescent="0.25">
      <c r="E35" s="22"/>
      <c r="F35" s="22"/>
      <c r="G35" s="22"/>
      <c r="H35" s="22"/>
      <c r="I35" s="22"/>
      <c r="J35" s="22"/>
      <c r="K35" s="22"/>
      <c r="L35" s="22"/>
      <c r="M35" s="22"/>
      <c r="N35" s="22"/>
      <c r="O35" s="22"/>
      <c r="P35" s="22"/>
      <c r="R35" s="22"/>
      <c r="S35" s="22"/>
      <c r="T35" s="22"/>
      <c r="U35" s="22"/>
      <c r="V35" s="22"/>
      <c r="W35" s="22"/>
      <c r="X35" s="22"/>
      <c r="Y35" s="22"/>
      <c r="Z35" s="22"/>
      <c r="AA35" s="22"/>
      <c r="AB35" s="22"/>
      <c r="AC35" s="22"/>
    </row>
    <row r="36" spans="2:78" s="16" customFormat="1" x14ac:dyDescent="0.25">
      <c r="B36" s="16" t="s">
        <v>203</v>
      </c>
      <c r="R36" s="16">
        <f>IF(COUNT(R80:R81)=0,"",COUNT(R80:R81)*1500)</f>
        <v>3000</v>
      </c>
      <c r="S36" s="16">
        <f t="shared" ref="S36:AP36" si="241">IF(COUNT(S80:S81)=0,"",COUNT(S80:S81)*1500)</f>
        <v>3000</v>
      </c>
      <c r="T36" s="16">
        <f t="shared" si="241"/>
        <v>3000</v>
      </c>
      <c r="U36" s="16">
        <f t="shared" si="241"/>
        <v>3000</v>
      </c>
      <c r="V36" s="16">
        <f t="shared" si="241"/>
        <v>3000</v>
      </c>
      <c r="W36" s="16">
        <f t="shared" si="241"/>
        <v>3000</v>
      </c>
      <c r="X36" s="16">
        <f t="shared" si="241"/>
        <v>3000</v>
      </c>
      <c r="Y36" s="16">
        <f t="shared" si="241"/>
        <v>3000</v>
      </c>
      <c r="Z36" s="16">
        <f t="shared" si="241"/>
        <v>3000</v>
      </c>
      <c r="AA36" s="16">
        <f t="shared" si="241"/>
        <v>3000</v>
      </c>
      <c r="AB36" s="16">
        <f t="shared" si="241"/>
        <v>3000</v>
      </c>
      <c r="AC36" s="16">
        <f t="shared" si="241"/>
        <v>3000</v>
      </c>
      <c r="AE36" s="16">
        <f t="shared" si="241"/>
        <v>3000</v>
      </c>
      <c r="AF36" s="16">
        <f t="shared" si="241"/>
        <v>3000</v>
      </c>
      <c r="AG36" s="16">
        <f t="shared" si="241"/>
        <v>3000</v>
      </c>
      <c r="AH36" s="16">
        <f t="shared" si="241"/>
        <v>3000</v>
      </c>
      <c r="AI36" s="16">
        <f t="shared" si="241"/>
        <v>3000</v>
      </c>
      <c r="AJ36" s="16">
        <f t="shared" si="241"/>
        <v>3000</v>
      </c>
      <c r="AK36" s="16">
        <f t="shared" si="241"/>
        <v>3000</v>
      </c>
      <c r="AL36" s="16">
        <f t="shared" si="241"/>
        <v>3000</v>
      </c>
      <c r="AM36" s="16">
        <f t="shared" si="241"/>
        <v>3000</v>
      </c>
      <c r="AN36" s="16">
        <f t="shared" si="241"/>
        <v>3000</v>
      </c>
      <c r="AO36" s="16">
        <f t="shared" si="241"/>
        <v>3000</v>
      </c>
      <c r="AP36" s="16">
        <f t="shared" si="241"/>
        <v>3000</v>
      </c>
      <c r="AR36" s="16">
        <f t="shared" ref="AR36:AR39" si="242">SUM(E36:P36)</f>
        <v>0</v>
      </c>
      <c r="AS36" s="16">
        <f t="shared" ref="AS36:AS39" si="243">SUM(E36:G36)</f>
        <v>0</v>
      </c>
      <c r="AT36" s="16">
        <f t="shared" ref="AT36:AT39" si="244">SUM(H36:J36)</f>
        <v>0</v>
      </c>
      <c r="AU36" s="16">
        <f t="shared" ref="AU36:AU39" si="245">SUM(K36:M36)</f>
        <v>0</v>
      </c>
      <c r="AV36" s="16">
        <f t="shared" ref="AV36:AV39" si="246">SUM(N36:P36)</f>
        <v>0</v>
      </c>
      <c r="AX36" s="16">
        <f t="shared" ref="AX36:AX39" si="247">SUM(R36:AC36)</f>
        <v>36000</v>
      </c>
      <c r="AY36" s="16">
        <f t="shared" ref="AY36:AY39" si="248">SUM(R36:T36)</f>
        <v>9000</v>
      </c>
      <c r="AZ36" s="16">
        <f t="shared" ref="AZ36:AZ39" si="249">SUM(U36:W36)</f>
        <v>9000</v>
      </c>
      <c r="BA36" s="16">
        <f t="shared" ref="BA36:BA39" si="250">SUM(X36:Z36)</f>
        <v>9000</v>
      </c>
      <c r="BB36" s="16">
        <f t="shared" ref="BB36:BB39" si="251">SUM(AA36:AC36)</f>
        <v>9000</v>
      </c>
      <c r="BD36" s="16">
        <f t="shared" ref="BD36:BD39" si="252">SUM(AE36:AP36)</f>
        <v>36000</v>
      </c>
      <c r="BE36" s="16">
        <f t="shared" ref="BE36:BE39" si="253">SUM(AE36:AG36)</f>
        <v>9000</v>
      </c>
      <c r="BF36" s="16">
        <f t="shared" ref="BF36:BF39" si="254">SUM(AH36:AJ36)</f>
        <v>9000</v>
      </c>
      <c r="BG36" s="16">
        <f t="shared" ref="BG36:BG39" si="255">SUM(AK36:AM36)</f>
        <v>9000</v>
      </c>
      <c r="BH36" s="16">
        <f t="shared" ref="BH36:BH39" si="256">SUM(AN36:AP36)</f>
        <v>9000</v>
      </c>
      <c r="BJ36" s="16">
        <f>SUM(BK36:BN36)</f>
        <v>53143.199999999997</v>
      </c>
      <c r="BK36" s="16">
        <f>BH36*(1+BK$2)</f>
        <v>9900</v>
      </c>
      <c r="BL36" s="16">
        <f>BK36*(1+BL$2)</f>
        <v>11880</v>
      </c>
      <c r="BM36" s="16">
        <f t="shared" ref="BM36:BN36" si="257">BL36*(1+BM$2)</f>
        <v>14256</v>
      </c>
      <c r="BN36" s="16">
        <f t="shared" si="257"/>
        <v>17107.2</v>
      </c>
      <c r="BP36" s="16">
        <f>SUM(BQ36:BT36)</f>
        <v>106071.48288</v>
      </c>
      <c r="BQ36" s="16">
        <f>BN36*(1+BQ$2)</f>
        <v>20528.64</v>
      </c>
      <c r="BR36" s="16">
        <f>BQ36*(1+BR$2)</f>
        <v>24634.367999999999</v>
      </c>
      <c r="BS36" s="16">
        <f t="shared" ref="BS36:BT36" si="258">BR36*(1+BS$2)</f>
        <v>28329.523199999996</v>
      </c>
      <c r="BT36" s="16">
        <f t="shared" si="258"/>
        <v>32578.951679999995</v>
      </c>
      <c r="BV36" s="16">
        <f>SUM(BW36:BZ36)</f>
        <v>152832.34193673596</v>
      </c>
      <c r="BW36" s="16">
        <f>BT36*(1+BW$2)</f>
        <v>34207.899263999992</v>
      </c>
      <c r="BX36" s="16">
        <f>BW36*(1+BX$2)</f>
        <v>37628.689190399993</v>
      </c>
      <c r="BY36" s="16">
        <f t="shared" ref="BY36:BZ36" si="259">BX36*(1+BY$2)</f>
        <v>39510.123649919995</v>
      </c>
      <c r="BZ36" s="16">
        <f t="shared" si="259"/>
        <v>41485.629832415994</v>
      </c>
    </row>
    <row r="37" spans="2:78" s="16" customFormat="1" x14ac:dyDescent="0.25">
      <c r="B37" s="16" t="s">
        <v>204</v>
      </c>
      <c r="AR37" s="16">
        <f t="shared" si="242"/>
        <v>0</v>
      </c>
      <c r="AS37" s="16">
        <f t="shared" si="243"/>
        <v>0</v>
      </c>
      <c r="AT37" s="16">
        <f t="shared" si="244"/>
        <v>0</v>
      </c>
      <c r="AU37" s="16">
        <f t="shared" si="245"/>
        <v>0</v>
      </c>
      <c r="AV37" s="16">
        <f t="shared" si="246"/>
        <v>0</v>
      </c>
      <c r="AX37" s="16">
        <f t="shared" si="247"/>
        <v>0</v>
      </c>
      <c r="AY37" s="16">
        <f t="shared" si="248"/>
        <v>0</v>
      </c>
      <c r="AZ37" s="16">
        <f t="shared" si="249"/>
        <v>0</v>
      </c>
      <c r="BA37" s="16">
        <f t="shared" si="250"/>
        <v>0</v>
      </c>
      <c r="BB37" s="16">
        <f t="shared" si="251"/>
        <v>0</v>
      </c>
      <c r="BD37" s="16">
        <f t="shared" si="252"/>
        <v>0</v>
      </c>
      <c r="BE37" s="16">
        <f t="shared" si="253"/>
        <v>0</v>
      </c>
      <c r="BF37" s="16">
        <f t="shared" si="254"/>
        <v>0</v>
      </c>
      <c r="BG37" s="16">
        <f t="shared" si="255"/>
        <v>0</v>
      </c>
      <c r="BH37" s="16">
        <f t="shared" si="256"/>
        <v>0</v>
      </c>
      <c r="BJ37" s="16">
        <f t="shared" ref="BJ37:BJ39" si="260">SUM(BK37:BN37)</f>
        <v>0</v>
      </c>
      <c r="BK37" s="16">
        <f t="shared" ref="BK37:BK39" si="261">BH37*(1+BK$2)</f>
        <v>0</v>
      </c>
      <c r="BL37" s="16">
        <f>BK37*(1+BL$2)</f>
        <v>0</v>
      </c>
      <c r="BM37" s="16">
        <f t="shared" ref="BM37:BN37" si="262">BL37*(1+BM$2)</f>
        <v>0</v>
      </c>
      <c r="BN37" s="16">
        <f t="shared" si="262"/>
        <v>0</v>
      </c>
      <c r="BP37" s="16">
        <f t="shared" ref="BP37:BP39" si="263">SUM(BQ37:BT37)</f>
        <v>0</v>
      </c>
      <c r="BQ37" s="16">
        <f>BN37*(1+BQ$2)</f>
        <v>0</v>
      </c>
      <c r="BR37" s="16">
        <f>BQ37*(1+BR$2)</f>
        <v>0</v>
      </c>
      <c r="BS37" s="16">
        <f t="shared" ref="BS37:BT37" si="264">BR37*(1+BS$2)</f>
        <v>0</v>
      </c>
      <c r="BT37" s="16">
        <f t="shared" si="264"/>
        <v>0</v>
      </c>
      <c r="BV37" s="16">
        <f t="shared" ref="BV37:BV39" si="265">SUM(BW37:BZ37)</f>
        <v>0</v>
      </c>
      <c r="BW37" s="16">
        <f t="shared" ref="BW37:BW39" si="266">BT37*(1+BW$2)</f>
        <v>0</v>
      </c>
      <c r="BX37" s="16">
        <f>BW37*(1+BX$2)</f>
        <v>0</v>
      </c>
      <c r="BY37" s="16">
        <f t="shared" ref="BY37:BZ37" si="267">BX37*(1+BY$2)</f>
        <v>0</v>
      </c>
      <c r="BZ37" s="16">
        <f t="shared" si="267"/>
        <v>0</v>
      </c>
    </row>
    <row r="38" spans="2:78" s="16" customFormat="1" x14ac:dyDescent="0.25">
      <c r="B38" s="16" t="s">
        <v>205</v>
      </c>
      <c r="AR38" s="16">
        <f t="shared" si="242"/>
        <v>0</v>
      </c>
      <c r="AS38" s="16">
        <f t="shared" si="243"/>
        <v>0</v>
      </c>
      <c r="AT38" s="16">
        <f t="shared" si="244"/>
        <v>0</v>
      </c>
      <c r="AU38" s="16">
        <f t="shared" si="245"/>
        <v>0</v>
      </c>
      <c r="AV38" s="16">
        <f t="shared" si="246"/>
        <v>0</v>
      </c>
      <c r="AX38" s="16">
        <f t="shared" si="247"/>
        <v>0</v>
      </c>
      <c r="AY38" s="16">
        <f t="shared" si="248"/>
        <v>0</v>
      </c>
      <c r="AZ38" s="16">
        <f t="shared" si="249"/>
        <v>0</v>
      </c>
      <c r="BA38" s="16">
        <f t="shared" si="250"/>
        <v>0</v>
      </c>
      <c r="BB38" s="16">
        <f t="shared" si="251"/>
        <v>0</v>
      </c>
      <c r="BD38" s="16">
        <f t="shared" si="252"/>
        <v>0</v>
      </c>
      <c r="BE38" s="16">
        <f t="shared" si="253"/>
        <v>0</v>
      </c>
      <c r="BF38" s="16">
        <f t="shared" si="254"/>
        <v>0</v>
      </c>
      <c r="BG38" s="16">
        <f t="shared" si="255"/>
        <v>0</v>
      </c>
      <c r="BH38" s="16">
        <f t="shared" si="256"/>
        <v>0</v>
      </c>
      <c r="BJ38" s="16">
        <f t="shared" si="260"/>
        <v>0</v>
      </c>
      <c r="BK38" s="16">
        <f t="shared" si="261"/>
        <v>0</v>
      </c>
      <c r="BL38" s="16">
        <f>BK38*(1+BL$2)</f>
        <v>0</v>
      </c>
      <c r="BM38" s="16">
        <f t="shared" ref="BM38:BN38" si="268">BL38*(1+BM$2)</f>
        <v>0</v>
      </c>
      <c r="BN38" s="16">
        <f t="shared" si="268"/>
        <v>0</v>
      </c>
      <c r="BP38" s="16">
        <f t="shared" si="263"/>
        <v>0</v>
      </c>
      <c r="BQ38" s="16">
        <f>BN38*(1+BQ$2)</f>
        <v>0</v>
      </c>
      <c r="BR38" s="16">
        <f>BQ38*(1+BR$2)</f>
        <v>0</v>
      </c>
      <c r="BS38" s="16">
        <f t="shared" ref="BS38:BT38" si="269">BR38*(1+BS$2)</f>
        <v>0</v>
      </c>
      <c r="BT38" s="16">
        <f t="shared" si="269"/>
        <v>0</v>
      </c>
      <c r="BV38" s="16">
        <f t="shared" si="265"/>
        <v>0</v>
      </c>
      <c r="BW38" s="16">
        <f t="shared" si="266"/>
        <v>0</v>
      </c>
      <c r="BX38" s="16">
        <f>BW38*(1+BX$2)</f>
        <v>0</v>
      </c>
      <c r="BY38" s="16">
        <f t="shared" ref="BY38:BZ38" si="270">BX38*(1+BY$2)</f>
        <v>0</v>
      </c>
      <c r="BZ38" s="16">
        <f t="shared" si="270"/>
        <v>0</v>
      </c>
    </row>
    <row r="39" spans="2:78" s="16" customFormat="1" x14ac:dyDescent="0.25">
      <c r="B39" s="16" t="s">
        <v>174</v>
      </c>
      <c r="AR39" s="16">
        <f t="shared" si="242"/>
        <v>0</v>
      </c>
      <c r="AS39" s="16">
        <f t="shared" si="243"/>
        <v>0</v>
      </c>
      <c r="AT39" s="16">
        <f t="shared" si="244"/>
        <v>0</v>
      </c>
      <c r="AU39" s="16">
        <f t="shared" si="245"/>
        <v>0</v>
      </c>
      <c r="AV39" s="16">
        <f t="shared" si="246"/>
        <v>0</v>
      </c>
      <c r="AX39" s="16">
        <f t="shared" si="247"/>
        <v>0</v>
      </c>
      <c r="AY39" s="16">
        <f t="shared" si="248"/>
        <v>0</v>
      </c>
      <c r="AZ39" s="16">
        <f t="shared" si="249"/>
        <v>0</v>
      </c>
      <c r="BA39" s="16">
        <f t="shared" si="250"/>
        <v>0</v>
      </c>
      <c r="BB39" s="16">
        <f t="shared" si="251"/>
        <v>0</v>
      </c>
      <c r="BD39" s="16">
        <f t="shared" si="252"/>
        <v>0</v>
      </c>
      <c r="BE39" s="16">
        <f t="shared" si="253"/>
        <v>0</v>
      </c>
      <c r="BF39" s="16">
        <f t="shared" si="254"/>
        <v>0</v>
      </c>
      <c r="BG39" s="16">
        <f t="shared" si="255"/>
        <v>0</v>
      </c>
      <c r="BH39" s="16">
        <f t="shared" si="256"/>
        <v>0</v>
      </c>
      <c r="BJ39" s="16">
        <f t="shared" si="260"/>
        <v>0</v>
      </c>
      <c r="BK39" s="16">
        <f t="shared" si="261"/>
        <v>0</v>
      </c>
      <c r="BL39" s="16">
        <f>BK39*(1+BL$2)</f>
        <v>0</v>
      </c>
      <c r="BM39" s="16">
        <f t="shared" ref="BM39:BN39" si="271">BL39*(1+BM$2)</f>
        <v>0</v>
      </c>
      <c r="BN39" s="16">
        <f t="shared" si="271"/>
        <v>0</v>
      </c>
      <c r="BP39" s="16">
        <f t="shared" si="263"/>
        <v>0</v>
      </c>
      <c r="BQ39" s="16">
        <f>BN39*(1+BQ$2)</f>
        <v>0</v>
      </c>
      <c r="BR39" s="16">
        <f>BQ39*(1+BR$2)</f>
        <v>0</v>
      </c>
      <c r="BS39" s="16">
        <f t="shared" ref="BS39:BT39" si="272">BR39*(1+BS$2)</f>
        <v>0</v>
      </c>
      <c r="BT39" s="16">
        <f t="shared" si="272"/>
        <v>0</v>
      </c>
      <c r="BV39" s="16">
        <f t="shared" si="265"/>
        <v>0</v>
      </c>
      <c r="BW39" s="16">
        <f t="shared" si="266"/>
        <v>0</v>
      </c>
      <c r="BX39" s="16">
        <f>BW39*(1+BX$2)</f>
        <v>0</v>
      </c>
      <c r="BY39" s="16">
        <f t="shared" ref="BY39:BZ39" si="273">BX39*(1+BY$2)</f>
        <v>0</v>
      </c>
      <c r="BZ39" s="16">
        <f t="shared" si="273"/>
        <v>0</v>
      </c>
    </row>
    <row r="40" spans="2:78" s="16" customFormat="1" x14ac:dyDescent="0.25">
      <c r="E40" s="22"/>
      <c r="F40" s="22"/>
      <c r="G40" s="22"/>
      <c r="H40" s="22"/>
      <c r="I40" s="22"/>
      <c r="J40" s="22"/>
      <c r="K40" s="22"/>
      <c r="L40" s="22"/>
      <c r="M40" s="22"/>
      <c r="N40" s="22"/>
      <c r="O40" s="22"/>
      <c r="P40" s="22"/>
      <c r="R40" s="22"/>
      <c r="S40" s="22"/>
      <c r="T40" s="22"/>
      <c r="U40" s="22"/>
      <c r="V40" s="22"/>
      <c r="W40" s="22"/>
      <c r="X40" s="22"/>
      <c r="Y40" s="22"/>
      <c r="Z40" s="22"/>
      <c r="AA40" s="22"/>
      <c r="AB40" s="22"/>
      <c r="AC40" s="22"/>
    </row>
    <row r="41" spans="2:78" s="16" customFormat="1" x14ac:dyDescent="0.25">
      <c r="B41" s="16" t="s">
        <v>165</v>
      </c>
      <c r="E41" s="17">
        <f t="shared" ref="E41:P41" si="274">SUBTOTAL(9,E36:E40)</f>
        <v>0</v>
      </c>
      <c r="F41" s="17">
        <f t="shared" si="274"/>
        <v>0</v>
      </c>
      <c r="G41" s="17">
        <f t="shared" si="274"/>
        <v>0</v>
      </c>
      <c r="H41" s="17">
        <f t="shared" si="274"/>
        <v>0</v>
      </c>
      <c r="I41" s="17">
        <f t="shared" si="274"/>
        <v>0</v>
      </c>
      <c r="J41" s="17">
        <f t="shared" si="274"/>
        <v>0</v>
      </c>
      <c r="K41" s="17">
        <f t="shared" si="274"/>
        <v>0</v>
      </c>
      <c r="L41" s="17">
        <f t="shared" si="274"/>
        <v>0</v>
      </c>
      <c r="M41" s="17">
        <f t="shared" si="274"/>
        <v>0</v>
      </c>
      <c r="N41" s="17">
        <f t="shared" si="274"/>
        <v>0</v>
      </c>
      <c r="O41" s="17">
        <f t="shared" si="274"/>
        <v>0</v>
      </c>
      <c r="P41" s="17">
        <f t="shared" si="274"/>
        <v>0</v>
      </c>
      <c r="R41" s="17">
        <f t="shared" ref="R41:AC41" si="275">SUBTOTAL(9,R36:R40)</f>
        <v>3000</v>
      </c>
      <c r="S41" s="17">
        <f t="shared" si="275"/>
        <v>3000</v>
      </c>
      <c r="T41" s="17">
        <f t="shared" si="275"/>
        <v>3000</v>
      </c>
      <c r="U41" s="17">
        <f t="shared" si="275"/>
        <v>3000</v>
      </c>
      <c r="V41" s="17">
        <f t="shared" si="275"/>
        <v>3000</v>
      </c>
      <c r="W41" s="17">
        <f t="shared" si="275"/>
        <v>3000</v>
      </c>
      <c r="X41" s="17">
        <f t="shared" si="275"/>
        <v>3000</v>
      </c>
      <c r="Y41" s="17">
        <f t="shared" si="275"/>
        <v>3000</v>
      </c>
      <c r="Z41" s="17">
        <f t="shared" si="275"/>
        <v>3000</v>
      </c>
      <c r="AA41" s="17">
        <f t="shared" si="275"/>
        <v>3000</v>
      </c>
      <c r="AB41" s="17">
        <f t="shared" si="275"/>
        <v>3000</v>
      </c>
      <c r="AC41" s="17">
        <f t="shared" si="275"/>
        <v>3000</v>
      </c>
      <c r="AE41" s="17">
        <f t="shared" ref="AE41:AP41" si="276">SUBTOTAL(9,AE36:AE40)</f>
        <v>3000</v>
      </c>
      <c r="AF41" s="17">
        <f t="shared" si="276"/>
        <v>3000</v>
      </c>
      <c r="AG41" s="17">
        <f t="shared" si="276"/>
        <v>3000</v>
      </c>
      <c r="AH41" s="17">
        <f t="shared" si="276"/>
        <v>3000</v>
      </c>
      <c r="AI41" s="17">
        <f t="shared" si="276"/>
        <v>3000</v>
      </c>
      <c r="AJ41" s="17">
        <f t="shared" si="276"/>
        <v>3000</v>
      </c>
      <c r="AK41" s="17">
        <f t="shared" si="276"/>
        <v>3000</v>
      </c>
      <c r="AL41" s="17">
        <f t="shared" si="276"/>
        <v>3000</v>
      </c>
      <c r="AM41" s="17">
        <f t="shared" si="276"/>
        <v>3000</v>
      </c>
      <c r="AN41" s="17">
        <f t="shared" si="276"/>
        <v>3000</v>
      </c>
      <c r="AO41" s="17">
        <f t="shared" si="276"/>
        <v>3000</v>
      </c>
      <c r="AP41" s="17">
        <f t="shared" si="276"/>
        <v>3000</v>
      </c>
      <c r="AR41" s="17">
        <f t="shared" ref="AR41:AV41" si="277">SUBTOTAL(9,AR36:AR40)</f>
        <v>0</v>
      </c>
      <c r="AS41" s="17">
        <f t="shared" si="277"/>
        <v>0</v>
      </c>
      <c r="AT41" s="17">
        <f t="shared" si="277"/>
        <v>0</v>
      </c>
      <c r="AU41" s="17">
        <f t="shared" si="277"/>
        <v>0</v>
      </c>
      <c r="AV41" s="17">
        <f t="shared" si="277"/>
        <v>0</v>
      </c>
      <c r="AX41" s="17">
        <f t="shared" ref="AX41:BB41" si="278">SUBTOTAL(9,AX36:AX40)</f>
        <v>36000</v>
      </c>
      <c r="AY41" s="17">
        <f t="shared" si="278"/>
        <v>9000</v>
      </c>
      <c r="AZ41" s="17">
        <f t="shared" si="278"/>
        <v>9000</v>
      </c>
      <c r="BA41" s="17">
        <f t="shared" si="278"/>
        <v>9000</v>
      </c>
      <c r="BB41" s="17">
        <f t="shared" si="278"/>
        <v>9000</v>
      </c>
      <c r="BD41" s="17">
        <f t="shared" ref="BD41:BH41" si="279">SUBTOTAL(9,BD36:BD40)</f>
        <v>36000</v>
      </c>
      <c r="BE41" s="17">
        <f t="shared" si="279"/>
        <v>9000</v>
      </c>
      <c r="BF41" s="17">
        <f t="shared" si="279"/>
        <v>9000</v>
      </c>
      <c r="BG41" s="17">
        <f t="shared" si="279"/>
        <v>9000</v>
      </c>
      <c r="BH41" s="17">
        <f t="shared" si="279"/>
        <v>9000</v>
      </c>
      <c r="BJ41" s="17">
        <f>SUBTOTAL(9,BJ36:BJ40)</f>
        <v>53143.199999999997</v>
      </c>
      <c r="BK41" s="17">
        <f t="shared" ref="BK41:BN41" si="280">SUBTOTAL(9,BK36:BK40)</f>
        <v>9900</v>
      </c>
      <c r="BL41" s="17">
        <f t="shared" si="280"/>
        <v>11880</v>
      </c>
      <c r="BM41" s="17">
        <f t="shared" si="280"/>
        <v>14256</v>
      </c>
      <c r="BN41" s="17">
        <f t="shared" si="280"/>
        <v>17107.2</v>
      </c>
      <c r="BP41" s="17">
        <f>SUBTOTAL(9,BP36:BP40)</f>
        <v>106071.48288</v>
      </c>
      <c r="BQ41" s="17">
        <f t="shared" ref="BQ41" si="281">SUBTOTAL(9,BQ36:BQ40)</f>
        <v>20528.64</v>
      </c>
      <c r="BR41" s="17">
        <f t="shared" ref="BR41" si="282">SUBTOTAL(9,BR36:BR40)</f>
        <v>24634.367999999999</v>
      </c>
      <c r="BS41" s="17">
        <f t="shared" ref="BS41" si="283">SUBTOTAL(9,BS36:BS40)</f>
        <v>28329.523199999996</v>
      </c>
      <c r="BT41" s="17">
        <f t="shared" ref="BT41" si="284">SUBTOTAL(9,BT36:BT40)</f>
        <v>32578.951679999995</v>
      </c>
      <c r="BV41" s="17">
        <f>SUBTOTAL(9,BV36:BV40)</f>
        <v>152832.34193673596</v>
      </c>
      <c r="BW41" s="17">
        <f t="shared" ref="BW41" si="285">SUBTOTAL(9,BW36:BW40)</f>
        <v>34207.899263999992</v>
      </c>
      <c r="BX41" s="17">
        <f t="shared" ref="BX41" si="286">SUBTOTAL(9,BX36:BX40)</f>
        <v>37628.689190399993</v>
      </c>
      <c r="BY41" s="17">
        <f t="shared" ref="BY41" si="287">SUBTOTAL(9,BY36:BY40)</f>
        <v>39510.123649919995</v>
      </c>
      <c r="BZ41" s="17">
        <f t="shared" ref="BZ41" si="288">SUBTOTAL(9,BZ36:BZ40)</f>
        <v>41485.629832415994</v>
      </c>
    </row>
    <row r="42" spans="2:78" s="16" customFormat="1" x14ac:dyDescent="0.25"/>
    <row r="43" spans="2:78" s="16" customFormat="1" x14ac:dyDescent="0.25">
      <c r="B43" s="16" t="s">
        <v>134</v>
      </c>
      <c r="AR43" s="16">
        <f t="shared" ref="AR43:AR52" si="289">SUM(E43:P43)</f>
        <v>0</v>
      </c>
      <c r="AS43" s="16">
        <f t="shared" ref="AS43:AS52" si="290">SUM(E43:G43)</f>
        <v>0</v>
      </c>
      <c r="AT43" s="16">
        <f t="shared" ref="AT43:AT52" si="291">SUM(H43:J43)</f>
        <v>0</v>
      </c>
      <c r="AU43" s="16">
        <f t="shared" ref="AU43:AU52" si="292">SUM(K43:M43)</f>
        <v>0</v>
      </c>
      <c r="AV43" s="16">
        <f t="shared" ref="AV43:AV52" si="293">SUM(N43:P43)</f>
        <v>0</v>
      </c>
      <c r="AX43" s="16">
        <f t="shared" ref="AX43:AX52" si="294">SUM(R43:AC43)</f>
        <v>0</v>
      </c>
      <c r="AY43" s="16">
        <f t="shared" ref="AY43:AY52" si="295">SUM(R43:T43)</f>
        <v>0</v>
      </c>
      <c r="AZ43" s="16">
        <f t="shared" ref="AZ43:AZ52" si="296">SUM(U43:W43)</f>
        <v>0</v>
      </c>
      <c r="BA43" s="16">
        <f t="shared" ref="BA43:BA52" si="297">SUM(X43:Z43)</f>
        <v>0</v>
      </c>
      <c r="BB43" s="16">
        <f t="shared" ref="BB43:BB52" si="298">SUM(AA43:AC43)</f>
        <v>0</v>
      </c>
      <c r="BD43" s="16">
        <f t="shared" ref="BD43:BD52" si="299">SUM(AE43:AP43)</f>
        <v>0</v>
      </c>
      <c r="BE43" s="16">
        <f t="shared" ref="BE43:BE52" si="300">SUM(AE43:AG43)</f>
        <v>0</v>
      </c>
      <c r="BF43" s="16">
        <f t="shared" ref="BF43:BF52" si="301">SUM(AH43:AJ43)</f>
        <v>0</v>
      </c>
      <c r="BG43" s="16">
        <f t="shared" ref="BG43:BG52" si="302">SUM(AK43:AM43)</f>
        <v>0</v>
      </c>
      <c r="BH43" s="16">
        <f t="shared" ref="BH43:BH52" si="303">SUM(AN43:AP43)</f>
        <v>0</v>
      </c>
      <c r="BJ43" s="16">
        <f>SUM(BK43:BN43)</f>
        <v>0</v>
      </c>
      <c r="BK43" s="16">
        <f>BH43*(1+BK$2)</f>
        <v>0</v>
      </c>
      <c r="BL43" s="16">
        <f t="shared" ref="BL43:BL52" si="304">BK43*(1+BL$2)</f>
        <v>0</v>
      </c>
      <c r="BM43" s="16">
        <f t="shared" ref="BM43:BN43" si="305">BL43*(1+BM$2)</f>
        <v>0</v>
      </c>
      <c r="BN43" s="16">
        <f t="shared" si="305"/>
        <v>0</v>
      </c>
      <c r="BP43" s="16">
        <f>SUM(BQ43:BT43)</f>
        <v>0</v>
      </c>
      <c r="BQ43" s="16">
        <f t="shared" ref="BQ43:BQ52" si="306">BN43*(1+BQ$2)</f>
        <v>0</v>
      </c>
      <c r="BR43" s="16">
        <f t="shared" ref="BR43:BR52" si="307">BQ43*(1+BR$2)</f>
        <v>0</v>
      </c>
      <c r="BS43" s="16">
        <f t="shared" ref="BS43:BT43" si="308">BR43*(1+BS$2)</f>
        <v>0</v>
      </c>
      <c r="BT43" s="16">
        <f t="shared" si="308"/>
        <v>0</v>
      </c>
      <c r="BV43" s="16">
        <f>SUM(BW43:BZ43)</f>
        <v>0</v>
      </c>
      <c r="BW43" s="16">
        <f>BT43*(1+BW$2)</f>
        <v>0</v>
      </c>
      <c r="BX43" s="16">
        <f t="shared" ref="BX43:BX52" si="309">BW43*(1+BX$2)</f>
        <v>0</v>
      </c>
      <c r="BY43" s="16">
        <f t="shared" ref="BY43:BZ43" si="310">BX43*(1+BY$2)</f>
        <v>0</v>
      </c>
      <c r="BZ43" s="16">
        <f t="shared" si="310"/>
        <v>0</v>
      </c>
    </row>
    <row r="44" spans="2:78" s="16" customFormat="1" x14ac:dyDescent="0.25">
      <c r="B44" s="16" t="s">
        <v>135</v>
      </c>
      <c r="AR44" s="16">
        <f t="shared" si="289"/>
        <v>0</v>
      </c>
      <c r="AS44" s="16">
        <f t="shared" si="290"/>
        <v>0</v>
      </c>
      <c r="AT44" s="16">
        <f t="shared" si="291"/>
        <v>0</v>
      </c>
      <c r="AU44" s="16">
        <f t="shared" si="292"/>
        <v>0</v>
      </c>
      <c r="AV44" s="16">
        <f t="shared" si="293"/>
        <v>0</v>
      </c>
      <c r="AX44" s="16">
        <f t="shared" si="294"/>
        <v>0</v>
      </c>
      <c r="AY44" s="16">
        <f t="shared" si="295"/>
        <v>0</v>
      </c>
      <c r="AZ44" s="16">
        <f t="shared" si="296"/>
        <v>0</v>
      </c>
      <c r="BA44" s="16">
        <f t="shared" si="297"/>
        <v>0</v>
      </c>
      <c r="BB44" s="16">
        <f t="shared" si="298"/>
        <v>0</v>
      </c>
      <c r="BD44" s="16">
        <f t="shared" si="299"/>
        <v>0</v>
      </c>
      <c r="BE44" s="16">
        <f t="shared" si="300"/>
        <v>0</v>
      </c>
      <c r="BF44" s="16">
        <f t="shared" si="301"/>
        <v>0</v>
      </c>
      <c r="BG44" s="16">
        <f t="shared" si="302"/>
        <v>0</v>
      </c>
      <c r="BH44" s="16">
        <f t="shared" si="303"/>
        <v>0</v>
      </c>
      <c r="BJ44" s="16">
        <f t="shared" ref="BJ44:BJ46" si="311">SUM(BK44:BN44)</f>
        <v>0</v>
      </c>
      <c r="BK44" s="16">
        <f t="shared" ref="BK44:BK46" si="312">BH44*(1+BK$2)</f>
        <v>0</v>
      </c>
      <c r="BL44" s="16">
        <f t="shared" si="304"/>
        <v>0</v>
      </c>
      <c r="BM44" s="16">
        <f t="shared" ref="BM44:BN44" si="313">BL44*(1+BM$2)</f>
        <v>0</v>
      </c>
      <c r="BN44" s="16">
        <f t="shared" si="313"/>
        <v>0</v>
      </c>
      <c r="BP44" s="16">
        <f t="shared" ref="BP44:BP46" si="314">SUM(BQ44:BT44)</f>
        <v>0</v>
      </c>
      <c r="BQ44" s="16">
        <f t="shared" si="306"/>
        <v>0</v>
      </c>
      <c r="BR44" s="16">
        <f t="shared" si="307"/>
        <v>0</v>
      </c>
      <c r="BS44" s="16">
        <f t="shared" ref="BS44:BT44" si="315">BR44*(1+BS$2)</f>
        <v>0</v>
      </c>
      <c r="BT44" s="16">
        <f t="shared" si="315"/>
        <v>0</v>
      </c>
      <c r="BV44" s="16">
        <f t="shared" ref="BV44:BV46" si="316">SUM(BW44:BZ44)</f>
        <v>0</v>
      </c>
      <c r="BW44" s="16">
        <f t="shared" ref="BW44:BW46" si="317">BT44*(1+BW$2)</f>
        <v>0</v>
      </c>
      <c r="BX44" s="16">
        <f t="shared" si="309"/>
        <v>0</v>
      </c>
      <c r="BY44" s="16">
        <f t="shared" ref="BY44:BZ44" si="318">BX44*(1+BY$2)</f>
        <v>0</v>
      </c>
      <c r="BZ44" s="16">
        <f t="shared" si="318"/>
        <v>0</v>
      </c>
    </row>
    <row r="45" spans="2:78" s="16" customFormat="1" x14ac:dyDescent="0.25">
      <c r="B45" s="16" t="s">
        <v>136</v>
      </c>
      <c r="AR45" s="16">
        <f t="shared" si="289"/>
        <v>0</v>
      </c>
      <c r="AS45" s="16">
        <f t="shared" si="290"/>
        <v>0</v>
      </c>
      <c r="AT45" s="16">
        <f t="shared" si="291"/>
        <v>0</v>
      </c>
      <c r="AU45" s="16">
        <f t="shared" si="292"/>
        <v>0</v>
      </c>
      <c r="AV45" s="16">
        <f t="shared" si="293"/>
        <v>0</v>
      </c>
      <c r="AX45" s="16">
        <f t="shared" si="294"/>
        <v>0</v>
      </c>
      <c r="AY45" s="16">
        <f t="shared" si="295"/>
        <v>0</v>
      </c>
      <c r="AZ45" s="16">
        <f t="shared" si="296"/>
        <v>0</v>
      </c>
      <c r="BA45" s="16">
        <f t="shared" si="297"/>
        <v>0</v>
      </c>
      <c r="BB45" s="16">
        <f t="shared" si="298"/>
        <v>0</v>
      </c>
      <c r="BD45" s="16">
        <f t="shared" si="299"/>
        <v>0</v>
      </c>
      <c r="BE45" s="16">
        <f t="shared" si="300"/>
        <v>0</v>
      </c>
      <c r="BF45" s="16">
        <f t="shared" si="301"/>
        <v>0</v>
      </c>
      <c r="BG45" s="16">
        <f t="shared" si="302"/>
        <v>0</v>
      </c>
      <c r="BH45" s="16">
        <f t="shared" si="303"/>
        <v>0</v>
      </c>
      <c r="BJ45" s="16">
        <f t="shared" si="311"/>
        <v>0</v>
      </c>
      <c r="BK45" s="16">
        <f t="shared" si="312"/>
        <v>0</v>
      </c>
      <c r="BL45" s="16">
        <f t="shared" si="304"/>
        <v>0</v>
      </c>
      <c r="BM45" s="16">
        <f t="shared" ref="BM45:BN45" si="319">BL45*(1+BM$2)</f>
        <v>0</v>
      </c>
      <c r="BN45" s="16">
        <f t="shared" si="319"/>
        <v>0</v>
      </c>
      <c r="BP45" s="16">
        <f t="shared" si="314"/>
        <v>0</v>
      </c>
      <c r="BQ45" s="16">
        <f t="shared" si="306"/>
        <v>0</v>
      </c>
      <c r="BR45" s="16">
        <f t="shared" si="307"/>
        <v>0</v>
      </c>
      <c r="BS45" s="16">
        <f t="shared" ref="BS45:BT45" si="320">BR45*(1+BS$2)</f>
        <v>0</v>
      </c>
      <c r="BT45" s="16">
        <f t="shared" si="320"/>
        <v>0</v>
      </c>
      <c r="BV45" s="16">
        <f t="shared" si="316"/>
        <v>0</v>
      </c>
      <c r="BW45" s="16">
        <f t="shared" si="317"/>
        <v>0</v>
      </c>
      <c r="BX45" s="16">
        <f t="shared" si="309"/>
        <v>0</v>
      </c>
      <c r="BY45" s="16">
        <f t="shared" ref="BY45:BZ45" si="321">BX45*(1+BY$2)</f>
        <v>0</v>
      </c>
      <c r="BZ45" s="16">
        <f t="shared" si="321"/>
        <v>0</v>
      </c>
    </row>
    <row r="46" spans="2:78" s="16" customFormat="1" x14ac:dyDescent="0.25">
      <c r="B46" s="16" t="s">
        <v>37</v>
      </c>
      <c r="AR46" s="16">
        <f t="shared" si="289"/>
        <v>0</v>
      </c>
      <c r="AS46" s="16">
        <f t="shared" si="290"/>
        <v>0</v>
      </c>
      <c r="AT46" s="16">
        <f t="shared" si="291"/>
        <v>0</v>
      </c>
      <c r="AU46" s="16">
        <f t="shared" si="292"/>
        <v>0</v>
      </c>
      <c r="AV46" s="16">
        <f t="shared" si="293"/>
        <v>0</v>
      </c>
      <c r="AX46" s="16">
        <f t="shared" si="294"/>
        <v>0</v>
      </c>
      <c r="AY46" s="16">
        <f t="shared" si="295"/>
        <v>0</v>
      </c>
      <c r="AZ46" s="16">
        <f t="shared" si="296"/>
        <v>0</v>
      </c>
      <c r="BA46" s="16">
        <f t="shared" si="297"/>
        <v>0</v>
      </c>
      <c r="BB46" s="16">
        <f t="shared" si="298"/>
        <v>0</v>
      </c>
      <c r="BD46" s="16">
        <f t="shared" si="299"/>
        <v>0</v>
      </c>
      <c r="BE46" s="16">
        <f t="shared" si="300"/>
        <v>0</v>
      </c>
      <c r="BF46" s="16">
        <f t="shared" si="301"/>
        <v>0</v>
      </c>
      <c r="BG46" s="16">
        <f t="shared" si="302"/>
        <v>0</v>
      </c>
      <c r="BH46" s="16">
        <f t="shared" si="303"/>
        <v>0</v>
      </c>
      <c r="BJ46" s="16">
        <f t="shared" si="311"/>
        <v>0</v>
      </c>
      <c r="BK46" s="16">
        <f t="shared" si="312"/>
        <v>0</v>
      </c>
      <c r="BL46" s="16">
        <f t="shared" si="304"/>
        <v>0</v>
      </c>
      <c r="BM46" s="16">
        <f t="shared" ref="BM46:BN46" si="322">BL46*(1+BM$2)</f>
        <v>0</v>
      </c>
      <c r="BN46" s="16">
        <f t="shared" si="322"/>
        <v>0</v>
      </c>
      <c r="BP46" s="16">
        <f t="shared" si="314"/>
        <v>0</v>
      </c>
      <c r="BQ46" s="16">
        <f t="shared" si="306"/>
        <v>0</v>
      </c>
      <c r="BR46" s="16">
        <f t="shared" si="307"/>
        <v>0</v>
      </c>
      <c r="BS46" s="16">
        <f t="shared" ref="BS46:BT46" si="323">BR46*(1+BS$2)</f>
        <v>0</v>
      </c>
      <c r="BT46" s="16">
        <f t="shared" si="323"/>
        <v>0</v>
      </c>
      <c r="BV46" s="16">
        <f t="shared" si="316"/>
        <v>0</v>
      </c>
      <c r="BW46" s="16">
        <f t="shared" si="317"/>
        <v>0</v>
      </c>
      <c r="BX46" s="16">
        <f t="shared" si="309"/>
        <v>0</v>
      </c>
      <c r="BY46" s="16">
        <f t="shared" ref="BY46:BZ46" si="324">BX46*(1+BY$2)</f>
        <v>0</v>
      </c>
      <c r="BZ46" s="16">
        <f t="shared" si="324"/>
        <v>0</v>
      </c>
    </row>
    <row r="47" spans="2:78" s="16" customFormat="1" x14ac:dyDescent="0.25">
      <c r="B47" s="16" t="s">
        <v>137</v>
      </c>
      <c r="C47" s="16" t="s">
        <v>138</v>
      </c>
      <c r="AR47" s="16">
        <f t="shared" si="289"/>
        <v>0</v>
      </c>
      <c r="AS47" s="16">
        <f t="shared" si="290"/>
        <v>0</v>
      </c>
      <c r="AT47" s="16">
        <f t="shared" si="291"/>
        <v>0</v>
      </c>
      <c r="AU47" s="16">
        <f t="shared" si="292"/>
        <v>0</v>
      </c>
      <c r="AV47" s="16">
        <f t="shared" si="293"/>
        <v>0</v>
      </c>
      <c r="AX47" s="16">
        <f t="shared" si="294"/>
        <v>0</v>
      </c>
      <c r="AY47" s="16">
        <f t="shared" si="295"/>
        <v>0</v>
      </c>
      <c r="AZ47" s="16">
        <f t="shared" si="296"/>
        <v>0</v>
      </c>
      <c r="BA47" s="16">
        <f t="shared" si="297"/>
        <v>0</v>
      </c>
      <c r="BB47" s="16">
        <f t="shared" si="298"/>
        <v>0</v>
      </c>
      <c r="BD47" s="16">
        <f t="shared" si="299"/>
        <v>0</v>
      </c>
      <c r="BE47" s="16">
        <f t="shared" si="300"/>
        <v>0</v>
      </c>
      <c r="BF47" s="16">
        <f t="shared" si="301"/>
        <v>0</v>
      </c>
      <c r="BG47" s="16">
        <f t="shared" si="302"/>
        <v>0</v>
      </c>
      <c r="BH47" s="16">
        <f t="shared" si="303"/>
        <v>0</v>
      </c>
      <c r="BJ47" s="16">
        <f>SUM(BK47:BN47)</f>
        <v>0</v>
      </c>
      <c r="BK47" s="16">
        <f>BH47*(1+BK$2)</f>
        <v>0</v>
      </c>
      <c r="BL47" s="16">
        <f t="shared" si="304"/>
        <v>0</v>
      </c>
      <c r="BM47" s="16">
        <f t="shared" ref="BM47:BN47" si="325">BL47*(1+BM$2)</f>
        <v>0</v>
      </c>
      <c r="BN47" s="16">
        <f t="shared" si="325"/>
        <v>0</v>
      </c>
      <c r="BP47" s="16">
        <f>SUM(BQ47:BT47)</f>
        <v>0</v>
      </c>
      <c r="BQ47" s="16">
        <f t="shared" si="306"/>
        <v>0</v>
      </c>
      <c r="BR47" s="16">
        <f t="shared" si="307"/>
        <v>0</v>
      </c>
      <c r="BS47" s="16">
        <f t="shared" ref="BS47:BT47" si="326">BR47*(1+BS$2)</f>
        <v>0</v>
      </c>
      <c r="BT47" s="16">
        <f t="shared" si="326"/>
        <v>0</v>
      </c>
      <c r="BV47" s="16">
        <f>SUM(BW47:BZ47)</f>
        <v>0</v>
      </c>
      <c r="BW47" s="16">
        <f>BT47*(1+BW$2)</f>
        <v>0</v>
      </c>
      <c r="BX47" s="16">
        <f t="shared" si="309"/>
        <v>0</v>
      </c>
      <c r="BY47" s="16">
        <f t="shared" ref="BY47:BZ47" si="327">BX47*(1+BY$2)</f>
        <v>0</v>
      </c>
      <c r="BZ47" s="16">
        <f t="shared" si="327"/>
        <v>0</v>
      </c>
    </row>
    <row r="48" spans="2:78" s="16" customFormat="1" x14ac:dyDescent="0.25">
      <c r="B48" s="16" t="s">
        <v>38</v>
      </c>
      <c r="E48" s="16">
        <v>500</v>
      </c>
      <c r="J48" s="16">
        <v>100</v>
      </c>
      <c r="R48" s="16">
        <v>100</v>
      </c>
      <c r="W48" s="16">
        <v>100</v>
      </c>
      <c r="AE48" s="16">
        <v>100</v>
      </c>
      <c r="AJ48" s="16">
        <v>100</v>
      </c>
      <c r="AR48" s="16">
        <f t="shared" si="289"/>
        <v>600</v>
      </c>
      <c r="AS48" s="16">
        <f t="shared" si="290"/>
        <v>500</v>
      </c>
      <c r="AT48" s="16">
        <f t="shared" si="291"/>
        <v>100</v>
      </c>
      <c r="AU48" s="16">
        <f t="shared" si="292"/>
        <v>0</v>
      </c>
      <c r="AV48" s="16">
        <f t="shared" si="293"/>
        <v>0</v>
      </c>
      <c r="AX48" s="16">
        <f t="shared" si="294"/>
        <v>200</v>
      </c>
      <c r="AY48" s="16">
        <f t="shared" si="295"/>
        <v>100</v>
      </c>
      <c r="AZ48" s="16">
        <f t="shared" si="296"/>
        <v>100</v>
      </c>
      <c r="BA48" s="16">
        <f t="shared" si="297"/>
        <v>0</v>
      </c>
      <c r="BB48" s="16">
        <f t="shared" si="298"/>
        <v>0</v>
      </c>
      <c r="BD48" s="16">
        <f t="shared" si="299"/>
        <v>200</v>
      </c>
      <c r="BE48" s="16">
        <f t="shared" si="300"/>
        <v>100</v>
      </c>
      <c r="BF48" s="16">
        <f t="shared" si="301"/>
        <v>100</v>
      </c>
      <c r="BG48" s="16">
        <f t="shared" si="302"/>
        <v>0</v>
      </c>
      <c r="BH48" s="16">
        <f t="shared" si="303"/>
        <v>0</v>
      </c>
      <c r="BJ48" s="16">
        <f t="shared" ref="BJ48" si="328">SUM(BK48:BN48)</f>
        <v>0</v>
      </c>
      <c r="BK48" s="16">
        <f t="shared" ref="BK48" si="329">BH48*(1+BK$2)</f>
        <v>0</v>
      </c>
      <c r="BL48" s="16">
        <f t="shared" si="304"/>
        <v>0</v>
      </c>
      <c r="BM48" s="16">
        <f t="shared" ref="BM48:BN48" si="330">BL48*(1+BM$2)</f>
        <v>0</v>
      </c>
      <c r="BN48" s="16">
        <f t="shared" si="330"/>
        <v>0</v>
      </c>
      <c r="BP48" s="16">
        <f t="shared" ref="BP48" si="331">SUM(BQ48:BT48)</f>
        <v>0</v>
      </c>
      <c r="BQ48" s="16">
        <f t="shared" si="306"/>
        <v>0</v>
      </c>
      <c r="BR48" s="16">
        <f t="shared" si="307"/>
        <v>0</v>
      </c>
      <c r="BS48" s="16">
        <f t="shared" ref="BS48:BT48" si="332">BR48*(1+BS$2)</f>
        <v>0</v>
      </c>
      <c r="BT48" s="16">
        <f t="shared" si="332"/>
        <v>0</v>
      </c>
      <c r="BV48" s="16">
        <f t="shared" ref="BV48" si="333">SUM(BW48:BZ48)</f>
        <v>0</v>
      </c>
      <c r="BW48" s="16">
        <f t="shared" ref="BW48" si="334">BT48*(1+BW$2)</f>
        <v>0</v>
      </c>
      <c r="BX48" s="16">
        <f t="shared" si="309"/>
        <v>0</v>
      </c>
      <c r="BY48" s="16">
        <f t="shared" ref="BY48:BZ48" si="335">BX48*(1+BY$2)</f>
        <v>0</v>
      </c>
      <c r="BZ48" s="16">
        <f t="shared" si="335"/>
        <v>0</v>
      </c>
    </row>
    <row r="49" spans="2:78" s="16" customFormat="1" x14ac:dyDescent="0.25">
      <c r="B49" s="16" t="s">
        <v>39</v>
      </c>
      <c r="AR49" s="16">
        <f t="shared" si="289"/>
        <v>0</v>
      </c>
      <c r="AS49" s="16">
        <f t="shared" si="290"/>
        <v>0</v>
      </c>
      <c r="AT49" s="16">
        <f t="shared" si="291"/>
        <v>0</v>
      </c>
      <c r="AU49" s="16">
        <f t="shared" si="292"/>
        <v>0</v>
      </c>
      <c r="AV49" s="16">
        <f t="shared" si="293"/>
        <v>0</v>
      </c>
      <c r="AX49" s="16">
        <f t="shared" si="294"/>
        <v>0</v>
      </c>
      <c r="AY49" s="16">
        <f t="shared" si="295"/>
        <v>0</v>
      </c>
      <c r="AZ49" s="16">
        <f t="shared" si="296"/>
        <v>0</v>
      </c>
      <c r="BA49" s="16">
        <f t="shared" si="297"/>
        <v>0</v>
      </c>
      <c r="BB49" s="16">
        <f t="shared" si="298"/>
        <v>0</v>
      </c>
      <c r="BD49" s="16">
        <f t="shared" si="299"/>
        <v>0</v>
      </c>
      <c r="BE49" s="16">
        <f t="shared" si="300"/>
        <v>0</v>
      </c>
      <c r="BF49" s="16">
        <f t="shared" si="301"/>
        <v>0</v>
      </c>
      <c r="BG49" s="16">
        <f t="shared" si="302"/>
        <v>0</v>
      </c>
      <c r="BH49" s="16">
        <f t="shared" si="303"/>
        <v>0</v>
      </c>
      <c r="BJ49" s="16">
        <f>SUM(BK49:BN49)</f>
        <v>0</v>
      </c>
      <c r="BK49" s="16">
        <f>BH49*(1+BK$2)</f>
        <v>0</v>
      </c>
      <c r="BL49" s="16">
        <f t="shared" si="304"/>
        <v>0</v>
      </c>
      <c r="BM49" s="16">
        <f t="shared" ref="BM49:BN49" si="336">BL49*(1+BM$2)</f>
        <v>0</v>
      </c>
      <c r="BN49" s="16">
        <f t="shared" si="336"/>
        <v>0</v>
      </c>
      <c r="BP49" s="16">
        <f>SUM(BQ49:BT49)</f>
        <v>0</v>
      </c>
      <c r="BQ49" s="16">
        <f t="shared" si="306"/>
        <v>0</v>
      </c>
      <c r="BR49" s="16">
        <f t="shared" si="307"/>
        <v>0</v>
      </c>
      <c r="BS49" s="16">
        <f t="shared" ref="BS49:BT49" si="337">BR49*(1+BS$2)</f>
        <v>0</v>
      </c>
      <c r="BT49" s="16">
        <f t="shared" si="337"/>
        <v>0</v>
      </c>
      <c r="BV49" s="16">
        <f>SUM(BW49:BZ49)</f>
        <v>0</v>
      </c>
      <c r="BW49" s="16">
        <f>BT49*(1+BW$2)</f>
        <v>0</v>
      </c>
      <c r="BX49" s="16">
        <f t="shared" si="309"/>
        <v>0</v>
      </c>
      <c r="BY49" s="16">
        <f t="shared" ref="BY49:BZ49" si="338">BX49*(1+BY$2)</f>
        <v>0</v>
      </c>
      <c r="BZ49" s="16">
        <f t="shared" si="338"/>
        <v>0</v>
      </c>
    </row>
    <row r="50" spans="2:78" s="16" customFormat="1" x14ac:dyDescent="0.25">
      <c r="B50" s="16" t="s">
        <v>40</v>
      </c>
      <c r="AR50" s="16">
        <f t="shared" si="289"/>
        <v>0</v>
      </c>
      <c r="AS50" s="16">
        <f t="shared" si="290"/>
        <v>0</v>
      </c>
      <c r="AT50" s="16">
        <f t="shared" si="291"/>
        <v>0</v>
      </c>
      <c r="AU50" s="16">
        <f t="shared" si="292"/>
        <v>0</v>
      </c>
      <c r="AV50" s="16">
        <f t="shared" si="293"/>
        <v>0</v>
      </c>
      <c r="AX50" s="16">
        <f t="shared" si="294"/>
        <v>0</v>
      </c>
      <c r="AY50" s="16">
        <f t="shared" si="295"/>
        <v>0</v>
      </c>
      <c r="AZ50" s="16">
        <f t="shared" si="296"/>
        <v>0</v>
      </c>
      <c r="BA50" s="16">
        <f t="shared" si="297"/>
        <v>0</v>
      </c>
      <c r="BB50" s="16">
        <f t="shared" si="298"/>
        <v>0</v>
      </c>
      <c r="BD50" s="16">
        <f t="shared" si="299"/>
        <v>0</v>
      </c>
      <c r="BE50" s="16">
        <f t="shared" si="300"/>
        <v>0</v>
      </c>
      <c r="BF50" s="16">
        <f t="shared" si="301"/>
        <v>0</v>
      </c>
      <c r="BG50" s="16">
        <f t="shared" si="302"/>
        <v>0</v>
      </c>
      <c r="BH50" s="16">
        <f t="shared" si="303"/>
        <v>0</v>
      </c>
      <c r="BJ50" s="16">
        <f t="shared" ref="BJ50:BJ52" si="339">SUM(BK50:BN50)</f>
        <v>0</v>
      </c>
      <c r="BK50" s="16">
        <f t="shared" ref="BK50:BK52" si="340">BH50*(1+BK$2)</f>
        <v>0</v>
      </c>
      <c r="BL50" s="16">
        <f t="shared" si="304"/>
        <v>0</v>
      </c>
      <c r="BM50" s="16">
        <f t="shared" ref="BM50:BN50" si="341">BL50*(1+BM$2)</f>
        <v>0</v>
      </c>
      <c r="BN50" s="16">
        <f t="shared" si="341"/>
        <v>0</v>
      </c>
      <c r="BP50" s="16">
        <f t="shared" ref="BP50:BP52" si="342">SUM(BQ50:BT50)</f>
        <v>0</v>
      </c>
      <c r="BQ50" s="16">
        <f t="shared" si="306"/>
        <v>0</v>
      </c>
      <c r="BR50" s="16">
        <f t="shared" si="307"/>
        <v>0</v>
      </c>
      <c r="BS50" s="16">
        <f t="shared" ref="BS50:BT50" si="343">BR50*(1+BS$2)</f>
        <v>0</v>
      </c>
      <c r="BT50" s="16">
        <f t="shared" si="343"/>
        <v>0</v>
      </c>
      <c r="BV50" s="16">
        <f t="shared" ref="BV50:BV52" si="344">SUM(BW50:BZ50)</f>
        <v>0</v>
      </c>
      <c r="BW50" s="16">
        <f t="shared" ref="BW50:BW52" si="345">BT50*(1+BW$2)</f>
        <v>0</v>
      </c>
      <c r="BX50" s="16">
        <f t="shared" si="309"/>
        <v>0</v>
      </c>
      <c r="BY50" s="16">
        <f t="shared" ref="BY50:BZ50" si="346">BX50*(1+BY$2)</f>
        <v>0</v>
      </c>
      <c r="BZ50" s="16">
        <f t="shared" si="346"/>
        <v>0</v>
      </c>
    </row>
    <row r="51" spans="2:78" s="16" customFormat="1" x14ac:dyDescent="0.25">
      <c r="B51" s="16" t="s">
        <v>126</v>
      </c>
      <c r="AR51" s="16">
        <f t="shared" si="289"/>
        <v>0</v>
      </c>
      <c r="AS51" s="16">
        <f t="shared" si="290"/>
        <v>0</v>
      </c>
      <c r="AT51" s="16">
        <f t="shared" si="291"/>
        <v>0</v>
      </c>
      <c r="AU51" s="16">
        <f t="shared" si="292"/>
        <v>0</v>
      </c>
      <c r="AV51" s="16">
        <f t="shared" si="293"/>
        <v>0</v>
      </c>
      <c r="AX51" s="16">
        <f t="shared" si="294"/>
        <v>0</v>
      </c>
      <c r="AY51" s="16">
        <f t="shared" si="295"/>
        <v>0</v>
      </c>
      <c r="AZ51" s="16">
        <f t="shared" si="296"/>
        <v>0</v>
      </c>
      <c r="BA51" s="16">
        <f t="shared" si="297"/>
        <v>0</v>
      </c>
      <c r="BB51" s="16">
        <f t="shared" si="298"/>
        <v>0</v>
      </c>
      <c r="BD51" s="16">
        <f t="shared" si="299"/>
        <v>0</v>
      </c>
      <c r="BE51" s="16">
        <f t="shared" si="300"/>
        <v>0</v>
      </c>
      <c r="BF51" s="16">
        <f t="shared" si="301"/>
        <v>0</v>
      </c>
      <c r="BG51" s="16">
        <f t="shared" si="302"/>
        <v>0</v>
      </c>
      <c r="BH51" s="16">
        <f t="shared" si="303"/>
        <v>0</v>
      </c>
      <c r="BJ51" s="16">
        <f t="shared" si="339"/>
        <v>0</v>
      </c>
      <c r="BK51" s="16">
        <f t="shared" si="340"/>
        <v>0</v>
      </c>
      <c r="BL51" s="16">
        <f t="shared" si="304"/>
        <v>0</v>
      </c>
      <c r="BM51" s="16">
        <f t="shared" ref="BM51:BN51" si="347">BL51*(1+BM$2)</f>
        <v>0</v>
      </c>
      <c r="BN51" s="16">
        <f t="shared" si="347"/>
        <v>0</v>
      </c>
      <c r="BP51" s="16">
        <f t="shared" si="342"/>
        <v>0</v>
      </c>
      <c r="BQ51" s="16">
        <f t="shared" si="306"/>
        <v>0</v>
      </c>
      <c r="BR51" s="16">
        <f t="shared" si="307"/>
        <v>0</v>
      </c>
      <c r="BS51" s="16">
        <f t="shared" ref="BS51:BT51" si="348">BR51*(1+BS$2)</f>
        <v>0</v>
      </c>
      <c r="BT51" s="16">
        <f t="shared" si="348"/>
        <v>0</v>
      </c>
      <c r="BV51" s="16">
        <f t="shared" si="344"/>
        <v>0</v>
      </c>
      <c r="BW51" s="16">
        <f t="shared" si="345"/>
        <v>0</v>
      </c>
      <c r="BX51" s="16">
        <f t="shared" si="309"/>
        <v>0</v>
      </c>
      <c r="BY51" s="16">
        <f t="shared" ref="BY51:BZ51" si="349">BX51*(1+BY$2)</f>
        <v>0</v>
      </c>
      <c r="BZ51" s="16">
        <f t="shared" si="349"/>
        <v>0</v>
      </c>
    </row>
    <row r="52" spans="2:78" s="16" customFormat="1" x14ac:dyDescent="0.25">
      <c r="B52" s="16" t="s">
        <v>41</v>
      </c>
      <c r="AR52" s="16">
        <f t="shared" si="289"/>
        <v>0</v>
      </c>
      <c r="AS52" s="16">
        <f t="shared" si="290"/>
        <v>0</v>
      </c>
      <c r="AT52" s="16">
        <f t="shared" si="291"/>
        <v>0</v>
      </c>
      <c r="AU52" s="16">
        <f t="shared" si="292"/>
        <v>0</v>
      </c>
      <c r="AV52" s="16">
        <f t="shared" si="293"/>
        <v>0</v>
      </c>
      <c r="AX52" s="16">
        <f t="shared" si="294"/>
        <v>0</v>
      </c>
      <c r="AY52" s="16">
        <f t="shared" si="295"/>
        <v>0</v>
      </c>
      <c r="AZ52" s="16">
        <f t="shared" si="296"/>
        <v>0</v>
      </c>
      <c r="BA52" s="16">
        <f t="shared" si="297"/>
        <v>0</v>
      </c>
      <c r="BB52" s="16">
        <f t="shared" si="298"/>
        <v>0</v>
      </c>
      <c r="BD52" s="16">
        <f t="shared" si="299"/>
        <v>0</v>
      </c>
      <c r="BE52" s="16">
        <f t="shared" si="300"/>
        <v>0</v>
      </c>
      <c r="BF52" s="16">
        <f t="shared" si="301"/>
        <v>0</v>
      </c>
      <c r="BG52" s="16">
        <f t="shared" si="302"/>
        <v>0</v>
      </c>
      <c r="BH52" s="16">
        <f t="shared" si="303"/>
        <v>0</v>
      </c>
      <c r="BJ52" s="16">
        <f t="shared" si="339"/>
        <v>0</v>
      </c>
      <c r="BK52" s="16">
        <f t="shared" si="340"/>
        <v>0</v>
      </c>
      <c r="BL52" s="16">
        <f t="shared" si="304"/>
        <v>0</v>
      </c>
      <c r="BM52" s="16">
        <f t="shared" ref="BM52:BN52" si="350">BL52*(1+BM$2)</f>
        <v>0</v>
      </c>
      <c r="BN52" s="16">
        <f t="shared" si="350"/>
        <v>0</v>
      </c>
      <c r="BP52" s="16">
        <f t="shared" si="342"/>
        <v>0</v>
      </c>
      <c r="BQ52" s="16">
        <f t="shared" si="306"/>
        <v>0</v>
      </c>
      <c r="BR52" s="16">
        <f t="shared" si="307"/>
        <v>0</v>
      </c>
      <c r="BS52" s="16">
        <f t="shared" ref="BS52:BT52" si="351">BR52*(1+BS$2)</f>
        <v>0</v>
      </c>
      <c r="BT52" s="16">
        <f t="shared" si="351"/>
        <v>0</v>
      </c>
      <c r="BV52" s="16">
        <f t="shared" si="344"/>
        <v>0</v>
      </c>
      <c r="BW52" s="16">
        <f t="shared" si="345"/>
        <v>0</v>
      </c>
      <c r="BX52" s="16">
        <f t="shared" si="309"/>
        <v>0</v>
      </c>
      <c r="BY52" s="16">
        <f t="shared" ref="BY52:BZ52" si="352">BX52*(1+BY$2)</f>
        <v>0</v>
      </c>
      <c r="BZ52" s="16">
        <f t="shared" si="352"/>
        <v>0</v>
      </c>
    </row>
    <row r="53" spans="2:78" s="16" customFormat="1" x14ac:dyDescent="0.25"/>
    <row r="54" spans="2:78" s="16" customFormat="1" x14ac:dyDescent="0.25">
      <c r="B54" s="16" t="s">
        <v>42</v>
      </c>
      <c r="E54" s="17">
        <f>SUBTOTAL(9,E43:E53)</f>
        <v>500</v>
      </c>
      <c r="F54" s="17">
        <f t="shared" ref="F54:P54" si="353">SUBTOTAL(9,F43:F53)</f>
        <v>0</v>
      </c>
      <c r="G54" s="17">
        <f t="shared" si="353"/>
        <v>0</v>
      </c>
      <c r="H54" s="17">
        <f t="shared" si="353"/>
        <v>0</v>
      </c>
      <c r="I54" s="17">
        <f t="shared" si="353"/>
        <v>0</v>
      </c>
      <c r="J54" s="17">
        <f t="shared" si="353"/>
        <v>100</v>
      </c>
      <c r="K54" s="17">
        <f t="shared" si="353"/>
        <v>0</v>
      </c>
      <c r="L54" s="17">
        <f t="shared" si="353"/>
        <v>0</v>
      </c>
      <c r="M54" s="17">
        <f t="shared" si="353"/>
        <v>0</v>
      </c>
      <c r="N54" s="17">
        <f t="shared" si="353"/>
        <v>0</v>
      </c>
      <c r="O54" s="17">
        <f t="shared" si="353"/>
        <v>0</v>
      </c>
      <c r="P54" s="17">
        <f t="shared" si="353"/>
        <v>0</v>
      </c>
      <c r="R54" s="17">
        <f>SUBTOTAL(9,R43:R53)</f>
        <v>100</v>
      </c>
      <c r="S54" s="17">
        <f t="shared" ref="S54" si="354">SUBTOTAL(9,S43:S53)</f>
        <v>0</v>
      </c>
      <c r="T54" s="17">
        <f t="shared" ref="T54" si="355">SUBTOTAL(9,T43:T53)</f>
        <v>0</v>
      </c>
      <c r="U54" s="17">
        <f t="shared" ref="U54" si="356">SUBTOTAL(9,U43:U53)</f>
        <v>0</v>
      </c>
      <c r="V54" s="17">
        <f t="shared" ref="V54" si="357">SUBTOTAL(9,V43:V53)</f>
        <v>0</v>
      </c>
      <c r="W54" s="17">
        <f t="shared" ref="W54" si="358">SUBTOTAL(9,W43:W53)</f>
        <v>100</v>
      </c>
      <c r="X54" s="17">
        <f t="shared" ref="X54" si="359">SUBTOTAL(9,X43:X53)</f>
        <v>0</v>
      </c>
      <c r="Y54" s="17">
        <f t="shared" ref="Y54" si="360">SUBTOTAL(9,Y43:Y53)</f>
        <v>0</v>
      </c>
      <c r="Z54" s="17">
        <f t="shared" ref="Z54" si="361">SUBTOTAL(9,Z43:Z53)</f>
        <v>0</v>
      </c>
      <c r="AA54" s="17">
        <f t="shared" ref="AA54" si="362">SUBTOTAL(9,AA43:AA53)</f>
        <v>0</v>
      </c>
      <c r="AB54" s="17">
        <f t="shared" ref="AB54" si="363">SUBTOTAL(9,AB43:AB53)</f>
        <v>0</v>
      </c>
      <c r="AC54" s="17">
        <f t="shared" ref="AC54:AP54" si="364">SUBTOTAL(9,AC43:AC53)</f>
        <v>0</v>
      </c>
      <c r="AE54" s="17">
        <f t="shared" si="364"/>
        <v>100</v>
      </c>
      <c r="AF54" s="17">
        <f t="shared" si="364"/>
        <v>0</v>
      </c>
      <c r="AG54" s="17">
        <f t="shared" si="364"/>
        <v>0</v>
      </c>
      <c r="AH54" s="17">
        <f t="shared" si="364"/>
        <v>0</v>
      </c>
      <c r="AI54" s="17">
        <f t="shared" si="364"/>
        <v>0</v>
      </c>
      <c r="AJ54" s="17">
        <f t="shared" si="364"/>
        <v>100</v>
      </c>
      <c r="AK54" s="17">
        <f t="shared" si="364"/>
        <v>0</v>
      </c>
      <c r="AL54" s="17">
        <f t="shared" si="364"/>
        <v>0</v>
      </c>
      <c r="AM54" s="17">
        <f t="shared" si="364"/>
        <v>0</v>
      </c>
      <c r="AN54" s="17">
        <f t="shared" si="364"/>
        <v>0</v>
      </c>
      <c r="AO54" s="17">
        <f t="shared" si="364"/>
        <v>0</v>
      </c>
      <c r="AP54" s="17">
        <f t="shared" si="364"/>
        <v>0</v>
      </c>
      <c r="AR54" s="17">
        <f t="shared" ref="AR54:AV54" si="365">SUBTOTAL(9,AR43:AR53)</f>
        <v>600</v>
      </c>
      <c r="AS54" s="17">
        <f t="shared" si="365"/>
        <v>500</v>
      </c>
      <c r="AT54" s="17">
        <f t="shared" si="365"/>
        <v>100</v>
      </c>
      <c r="AU54" s="17">
        <f t="shared" si="365"/>
        <v>0</v>
      </c>
      <c r="AV54" s="17">
        <f t="shared" si="365"/>
        <v>0</v>
      </c>
      <c r="AX54" s="17">
        <f t="shared" ref="AX54:BB54" si="366">SUBTOTAL(9,AX43:AX53)</f>
        <v>200</v>
      </c>
      <c r="AY54" s="17">
        <f t="shared" si="366"/>
        <v>100</v>
      </c>
      <c r="AZ54" s="17">
        <f t="shared" si="366"/>
        <v>100</v>
      </c>
      <c r="BA54" s="17">
        <f t="shared" si="366"/>
        <v>0</v>
      </c>
      <c r="BB54" s="17">
        <f t="shared" si="366"/>
        <v>0</v>
      </c>
      <c r="BD54" s="17">
        <f t="shared" ref="BD54:BZ54" si="367">SUBTOTAL(9,BD43:BD53)</f>
        <v>200</v>
      </c>
      <c r="BE54" s="17">
        <f t="shared" si="367"/>
        <v>100</v>
      </c>
      <c r="BF54" s="17">
        <f t="shared" si="367"/>
        <v>100</v>
      </c>
      <c r="BG54" s="17">
        <f t="shared" si="367"/>
        <v>0</v>
      </c>
      <c r="BH54" s="17">
        <f t="shared" si="367"/>
        <v>0</v>
      </c>
      <c r="BJ54" s="17">
        <f t="shared" si="367"/>
        <v>0</v>
      </c>
      <c r="BK54" s="17">
        <f t="shared" si="367"/>
        <v>0</v>
      </c>
      <c r="BL54" s="17">
        <f t="shared" si="367"/>
        <v>0</v>
      </c>
      <c r="BM54" s="17">
        <f t="shared" si="367"/>
        <v>0</v>
      </c>
      <c r="BN54" s="17">
        <f t="shared" si="367"/>
        <v>0</v>
      </c>
      <c r="BP54" s="17">
        <f t="shared" si="367"/>
        <v>0</v>
      </c>
      <c r="BQ54" s="17">
        <f t="shared" si="367"/>
        <v>0</v>
      </c>
      <c r="BR54" s="17">
        <f t="shared" si="367"/>
        <v>0</v>
      </c>
      <c r="BS54" s="17">
        <f t="shared" si="367"/>
        <v>0</v>
      </c>
      <c r="BT54" s="17">
        <f t="shared" si="367"/>
        <v>0</v>
      </c>
      <c r="BV54" s="17">
        <f t="shared" si="367"/>
        <v>0</v>
      </c>
      <c r="BW54" s="17">
        <f t="shared" si="367"/>
        <v>0</v>
      </c>
      <c r="BX54" s="17">
        <f t="shared" si="367"/>
        <v>0</v>
      </c>
      <c r="BY54" s="17">
        <f t="shared" si="367"/>
        <v>0</v>
      </c>
      <c r="BZ54" s="17">
        <f t="shared" si="367"/>
        <v>0</v>
      </c>
    </row>
    <row r="55" spans="2:78" s="16" customFormat="1" x14ac:dyDescent="0.25"/>
    <row r="56" spans="2:78" s="16" customFormat="1" x14ac:dyDescent="0.25">
      <c r="B56" s="16" t="s">
        <v>43</v>
      </c>
      <c r="E56" s="16">
        <v>400</v>
      </c>
      <c r="F56" s="16">
        <v>400</v>
      </c>
      <c r="G56" s="16">
        <v>400</v>
      </c>
      <c r="H56" s="16">
        <v>400</v>
      </c>
      <c r="I56" s="16">
        <v>400</v>
      </c>
      <c r="J56" s="16">
        <v>400</v>
      </c>
      <c r="K56" s="16">
        <v>400</v>
      </c>
      <c r="L56" s="16">
        <v>400</v>
      </c>
      <c r="M56" s="16">
        <v>400</v>
      </c>
      <c r="N56" s="16">
        <v>400</v>
      </c>
      <c r="O56" s="16">
        <v>400</v>
      </c>
      <c r="P56" s="16">
        <v>400</v>
      </c>
      <c r="R56" s="16">
        <v>400</v>
      </c>
      <c r="S56" s="16">
        <f>+R56</f>
        <v>400</v>
      </c>
      <c r="T56" s="16">
        <f t="shared" ref="T56:AC56" si="368">+S56</f>
        <v>400</v>
      </c>
      <c r="U56" s="16">
        <f t="shared" si="368"/>
        <v>400</v>
      </c>
      <c r="V56" s="16">
        <f t="shared" si="368"/>
        <v>400</v>
      </c>
      <c r="W56" s="16">
        <f t="shared" si="368"/>
        <v>400</v>
      </c>
      <c r="X56" s="16">
        <f t="shared" si="368"/>
        <v>400</v>
      </c>
      <c r="Y56" s="16">
        <f t="shared" si="368"/>
        <v>400</v>
      </c>
      <c r="Z56" s="16">
        <f t="shared" si="368"/>
        <v>400</v>
      </c>
      <c r="AA56" s="16">
        <f t="shared" si="368"/>
        <v>400</v>
      </c>
      <c r="AB56" s="16">
        <f t="shared" si="368"/>
        <v>400</v>
      </c>
      <c r="AC56" s="16">
        <f t="shared" si="368"/>
        <v>400</v>
      </c>
      <c r="AE56" s="16">
        <v>400</v>
      </c>
      <c r="AF56" s="16">
        <f>+AE56</f>
        <v>400</v>
      </c>
      <c r="AG56" s="16">
        <f t="shared" ref="AG56:AP56" si="369">+AF56</f>
        <v>400</v>
      </c>
      <c r="AH56" s="16">
        <f t="shared" si="369"/>
        <v>400</v>
      </c>
      <c r="AI56" s="16">
        <f t="shared" si="369"/>
        <v>400</v>
      </c>
      <c r="AJ56" s="16">
        <f t="shared" si="369"/>
        <v>400</v>
      </c>
      <c r="AK56" s="16">
        <f t="shared" si="369"/>
        <v>400</v>
      </c>
      <c r="AL56" s="16">
        <f t="shared" si="369"/>
        <v>400</v>
      </c>
      <c r="AM56" s="16">
        <f t="shared" si="369"/>
        <v>400</v>
      </c>
      <c r="AN56" s="16">
        <f t="shared" si="369"/>
        <v>400</v>
      </c>
      <c r="AO56" s="16">
        <f t="shared" si="369"/>
        <v>400</v>
      </c>
      <c r="AP56" s="16">
        <f t="shared" si="369"/>
        <v>400</v>
      </c>
      <c r="AR56" s="16">
        <f t="shared" ref="AR56" si="370">SUM(E56:P56)</f>
        <v>4800</v>
      </c>
      <c r="AS56" s="16">
        <f t="shared" ref="AS56" si="371">SUM(E56:G56)</f>
        <v>1200</v>
      </c>
      <c r="AT56" s="16">
        <f t="shared" ref="AT56" si="372">SUM(H56:J56)</f>
        <v>1200</v>
      </c>
      <c r="AU56" s="16">
        <f t="shared" ref="AU56" si="373">SUM(K56:M56)</f>
        <v>1200</v>
      </c>
      <c r="AV56" s="16">
        <f t="shared" ref="AV56" si="374">SUM(N56:P56)</f>
        <v>1200</v>
      </c>
      <c r="AX56" s="16">
        <f t="shared" ref="AX56" si="375">SUM(R56:AC56)</f>
        <v>4800</v>
      </c>
      <c r="AY56" s="16">
        <f t="shared" ref="AY56" si="376">SUM(R56:T56)</f>
        <v>1200</v>
      </c>
      <c r="AZ56" s="16">
        <f t="shared" ref="AZ56" si="377">SUM(U56:W56)</f>
        <v>1200</v>
      </c>
      <c r="BA56" s="16">
        <f t="shared" ref="BA56" si="378">SUM(X56:Z56)</f>
        <v>1200</v>
      </c>
      <c r="BB56" s="16">
        <f t="shared" ref="BB56" si="379">SUM(AA56:AC56)</f>
        <v>1200</v>
      </c>
      <c r="BD56" s="16">
        <f t="shared" ref="BD56" si="380">SUM(AE56:AP56)</f>
        <v>4800</v>
      </c>
      <c r="BE56" s="16">
        <f t="shared" ref="BE56" si="381">SUM(AE56:AG56)</f>
        <v>1200</v>
      </c>
      <c r="BF56" s="16">
        <f t="shared" ref="BF56" si="382">SUM(AH56:AJ56)</f>
        <v>1200</v>
      </c>
      <c r="BG56" s="16">
        <f t="shared" ref="BG56" si="383">SUM(AK56:AM56)</f>
        <v>1200</v>
      </c>
      <c r="BH56" s="16">
        <f t="shared" ref="BH56" si="384">SUM(AN56:AP56)</f>
        <v>1200</v>
      </c>
      <c r="BJ56" s="16">
        <f>SUM(BK56:BN56)</f>
        <v>7085.76</v>
      </c>
      <c r="BK56" s="16">
        <f>BH56*(1+BK$2)</f>
        <v>1320</v>
      </c>
      <c r="BL56" s="16">
        <f t="shared" ref="BL56:BL63" si="385">BK56*(1+BL$2)</f>
        <v>1584</v>
      </c>
      <c r="BM56" s="16">
        <f t="shared" ref="BM56:BN56" si="386">BL56*(1+BM$2)</f>
        <v>1900.8</v>
      </c>
      <c r="BN56" s="16">
        <f t="shared" si="386"/>
        <v>2280.96</v>
      </c>
      <c r="BP56" s="16">
        <f>SUM(BQ56:BT56)</f>
        <v>14142.864383999997</v>
      </c>
      <c r="BQ56" s="16">
        <f t="shared" ref="BQ56:BQ63" si="387">BN56*(1+BQ$2)</f>
        <v>2737.152</v>
      </c>
      <c r="BR56" s="16">
        <f t="shared" ref="BR56:BR63" si="388">BQ56*(1+BR$2)</f>
        <v>3284.5823999999998</v>
      </c>
      <c r="BS56" s="16">
        <f t="shared" ref="BS56:BT56" si="389">BR56*(1+BS$2)</f>
        <v>3777.2697599999997</v>
      </c>
      <c r="BT56" s="16">
        <f t="shared" si="389"/>
        <v>4343.8602239999991</v>
      </c>
      <c r="BV56" s="16">
        <f>SUM(BW56:BZ56)</f>
        <v>20377.6455915648</v>
      </c>
      <c r="BW56" s="16">
        <f>BT56*(1+BW$2)</f>
        <v>4561.0532351999991</v>
      </c>
      <c r="BX56" s="16">
        <f t="shared" ref="BX56:BX63" si="390">BW56*(1+BX$2)</f>
        <v>5017.1585587199997</v>
      </c>
      <c r="BY56" s="16">
        <f t="shared" ref="BY56:BZ56" si="391">BX56*(1+BY$2)</f>
        <v>5268.0164866559999</v>
      </c>
      <c r="BZ56" s="16">
        <f t="shared" si="391"/>
        <v>5531.4173109887997</v>
      </c>
    </row>
    <row r="57" spans="2:78" s="16" customFormat="1" x14ac:dyDescent="0.25">
      <c r="B57" s="16" t="s">
        <v>92</v>
      </c>
      <c r="E57" s="16">
        <v>750</v>
      </c>
      <c r="H57" s="16">
        <v>750</v>
      </c>
      <c r="K57" s="16">
        <v>750</v>
      </c>
      <c r="N57" s="16">
        <v>750</v>
      </c>
      <c r="R57" s="16">
        <v>750</v>
      </c>
      <c r="U57" s="16">
        <v>750</v>
      </c>
      <c r="X57" s="16">
        <v>750</v>
      </c>
      <c r="AA57" s="16">
        <v>750</v>
      </c>
      <c r="AE57" s="16">
        <v>750</v>
      </c>
      <c r="AH57" s="16">
        <v>750</v>
      </c>
      <c r="AK57" s="16">
        <v>750</v>
      </c>
      <c r="AN57" s="16">
        <v>750</v>
      </c>
      <c r="AR57" s="16">
        <f t="shared" ref="AR57:AR63" si="392">SUM(E57:P57)</f>
        <v>3000</v>
      </c>
      <c r="AS57" s="16">
        <f t="shared" ref="AS57:AS63" si="393">SUM(E57:G57)</f>
        <v>750</v>
      </c>
      <c r="AT57" s="16">
        <f t="shared" ref="AT57:AT63" si="394">SUM(H57:J57)</f>
        <v>750</v>
      </c>
      <c r="AU57" s="16">
        <f t="shared" ref="AU57:AU63" si="395">SUM(K57:M57)</f>
        <v>750</v>
      </c>
      <c r="AV57" s="16">
        <f t="shared" ref="AV57:AV63" si="396">SUM(N57:P57)</f>
        <v>750</v>
      </c>
      <c r="AX57" s="16">
        <f t="shared" ref="AX57:AX63" si="397">SUM(R57:AC57)</f>
        <v>3000</v>
      </c>
      <c r="AY57" s="16">
        <f t="shared" ref="AY57:AY63" si="398">SUM(R57:T57)</f>
        <v>750</v>
      </c>
      <c r="AZ57" s="16">
        <f t="shared" ref="AZ57:AZ63" si="399">SUM(U57:W57)</f>
        <v>750</v>
      </c>
      <c r="BA57" s="16">
        <f t="shared" ref="BA57:BA63" si="400">SUM(X57:Z57)</f>
        <v>750</v>
      </c>
      <c r="BB57" s="16">
        <f t="shared" ref="BB57:BB63" si="401">SUM(AA57:AC57)</f>
        <v>750</v>
      </c>
      <c r="BD57" s="16">
        <f t="shared" ref="BD57:BD63" si="402">SUM(AE57:AP57)</f>
        <v>3000</v>
      </c>
      <c r="BE57" s="16">
        <f t="shared" ref="BE57:BE63" si="403">SUM(AE57:AG57)</f>
        <v>750</v>
      </c>
      <c r="BF57" s="16">
        <f t="shared" ref="BF57:BF63" si="404">SUM(AH57:AJ57)</f>
        <v>750</v>
      </c>
      <c r="BG57" s="16">
        <f t="shared" ref="BG57:BG63" si="405">SUM(AK57:AM57)</f>
        <v>750</v>
      </c>
      <c r="BH57" s="16">
        <f t="shared" ref="BH57:BH63" si="406">SUM(AN57:AP57)</f>
        <v>750</v>
      </c>
      <c r="BJ57" s="16">
        <f t="shared" ref="BJ57:BJ58" si="407">SUM(BK57:BN57)</f>
        <v>4428.6000000000004</v>
      </c>
      <c r="BK57" s="16">
        <f t="shared" ref="BK57:BK58" si="408">BH57*(1+BK$2)</f>
        <v>825.00000000000011</v>
      </c>
      <c r="BL57" s="16">
        <f t="shared" si="385"/>
        <v>990.00000000000011</v>
      </c>
      <c r="BM57" s="16">
        <f t="shared" ref="BM57:BN57" si="409">BL57*(1+BM$2)</f>
        <v>1188</v>
      </c>
      <c r="BN57" s="16">
        <f t="shared" si="409"/>
        <v>1425.6</v>
      </c>
      <c r="BP57" s="16">
        <f t="shared" ref="BP57:BP58" si="410">SUM(BQ57:BT57)</f>
        <v>8839.2902399999984</v>
      </c>
      <c r="BQ57" s="16">
        <f t="shared" si="387"/>
        <v>1710.7199999999998</v>
      </c>
      <c r="BR57" s="16">
        <f t="shared" si="388"/>
        <v>2052.8639999999996</v>
      </c>
      <c r="BS57" s="16">
        <f t="shared" ref="BS57:BT57" si="411">BR57*(1+BS$2)</f>
        <v>2360.7935999999995</v>
      </c>
      <c r="BT57" s="16">
        <f t="shared" si="411"/>
        <v>2714.9126399999991</v>
      </c>
      <c r="BV57" s="16">
        <f t="shared" ref="BV57:BV58" si="412">SUM(BW57:BZ57)</f>
        <v>12736.028494727998</v>
      </c>
      <c r="BW57" s="16">
        <f t="shared" ref="BW57:BW58" si="413">BT57*(1+BW$2)</f>
        <v>2850.6582719999992</v>
      </c>
      <c r="BX57" s="16">
        <f t="shared" si="390"/>
        <v>3135.7240991999993</v>
      </c>
      <c r="BY57" s="16">
        <f t="shared" ref="BY57:BZ57" si="414">BX57*(1+BY$2)</f>
        <v>3292.5103041599996</v>
      </c>
      <c r="BZ57" s="16">
        <f t="shared" si="414"/>
        <v>3457.1358193679998</v>
      </c>
    </row>
    <row r="58" spans="2:78" s="16" customFormat="1" x14ac:dyDescent="0.25">
      <c r="B58" s="16" t="s">
        <v>44</v>
      </c>
      <c r="J58" s="16">
        <v>1000</v>
      </c>
      <c r="W58" s="16">
        <v>1000</v>
      </c>
      <c r="AJ58" s="16">
        <v>1000</v>
      </c>
      <c r="AR58" s="16">
        <f t="shared" si="392"/>
        <v>1000</v>
      </c>
      <c r="AS58" s="16">
        <f t="shared" si="393"/>
        <v>0</v>
      </c>
      <c r="AT58" s="16">
        <f t="shared" si="394"/>
        <v>1000</v>
      </c>
      <c r="AU58" s="16">
        <f t="shared" si="395"/>
        <v>0</v>
      </c>
      <c r="AV58" s="16">
        <f t="shared" si="396"/>
        <v>0</v>
      </c>
      <c r="AX58" s="16">
        <f t="shared" si="397"/>
        <v>1000</v>
      </c>
      <c r="AY58" s="16">
        <f t="shared" si="398"/>
        <v>0</v>
      </c>
      <c r="AZ58" s="16">
        <f t="shared" si="399"/>
        <v>1000</v>
      </c>
      <c r="BA58" s="16">
        <f t="shared" si="400"/>
        <v>0</v>
      </c>
      <c r="BB58" s="16">
        <f t="shared" si="401"/>
        <v>0</v>
      </c>
      <c r="BD58" s="16">
        <f t="shared" si="402"/>
        <v>1000</v>
      </c>
      <c r="BE58" s="16">
        <f t="shared" si="403"/>
        <v>0</v>
      </c>
      <c r="BF58" s="16">
        <f t="shared" si="404"/>
        <v>1000</v>
      </c>
      <c r="BG58" s="16">
        <f t="shared" si="405"/>
        <v>0</v>
      </c>
      <c r="BH58" s="16">
        <f t="shared" si="406"/>
        <v>0</v>
      </c>
      <c r="BJ58" s="16">
        <f t="shared" si="407"/>
        <v>0</v>
      </c>
      <c r="BK58" s="16">
        <f t="shared" si="408"/>
        <v>0</v>
      </c>
      <c r="BL58" s="16">
        <f t="shared" si="385"/>
        <v>0</v>
      </c>
      <c r="BM58" s="16">
        <f t="shared" ref="BM58:BN58" si="415">BL58*(1+BM$2)</f>
        <v>0</v>
      </c>
      <c r="BN58" s="16">
        <f t="shared" si="415"/>
        <v>0</v>
      </c>
      <c r="BP58" s="16">
        <f t="shared" si="410"/>
        <v>0</v>
      </c>
      <c r="BQ58" s="16">
        <f t="shared" si="387"/>
        <v>0</v>
      </c>
      <c r="BR58" s="16">
        <f t="shared" si="388"/>
        <v>0</v>
      </c>
      <c r="BS58" s="16">
        <f t="shared" ref="BS58:BT58" si="416">BR58*(1+BS$2)</f>
        <v>0</v>
      </c>
      <c r="BT58" s="16">
        <f t="shared" si="416"/>
        <v>0</v>
      </c>
      <c r="BV58" s="16">
        <f t="shared" si="412"/>
        <v>0</v>
      </c>
      <c r="BW58" s="16">
        <f t="shared" si="413"/>
        <v>0</v>
      </c>
      <c r="BX58" s="16">
        <f t="shared" si="390"/>
        <v>0</v>
      </c>
      <c r="BY58" s="16">
        <f t="shared" ref="BY58:BZ58" si="417">BX58*(1+BY$2)</f>
        <v>0</v>
      </c>
      <c r="BZ58" s="16">
        <f t="shared" si="417"/>
        <v>0</v>
      </c>
    </row>
    <row r="59" spans="2:78" s="16" customFormat="1" x14ac:dyDescent="0.25">
      <c r="B59" s="16" t="s">
        <v>45</v>
      </c>
      <c r="AR59" s="16">
        <f t="shared" si="392"/>
        <v>0</v>
      </c>
      <c r="AS59" s="16">
        <f t="shared" si="393"/>
        <v>0</v>
      </c>
      <c r="AT59" s="16">
        <f t="shared" si="394"/>
        <v>0</v>
      </c>
      <c r="AU59" s="16">
        <f t="shared" si="395"/>
        <v>0</v>
      </c>
      <c r="AV59" s="16">
        <f t="shared" si="396"/>
        <v>0</v>
      </c>
      <c r="AX59" s="16">
        <f t="shared" si="397"/>
        <v>0</v>
      </c>
      <c r="AY59" s="16">
        <f t="shared" si="398"/>
        <v>0</v>
      </c>
      <c r="AZ59" s="16">
        <f t="shared" si="399"/>
        <v>0</v>
      </c>
      <c r="BA59" s="16">
        <f t="shared" si="400"/>
        <v>0</v>
      </c>
      <c r="BB59" s="16">
        <f t="shared" si="401"/>
        <v>0</v>
      </c>
      <c r="BD59" s="16">
        <f t="shared" si="402"/>
        <v>0</v>
      </c>
      <c r="BE59" s="16">
        <f t="shared" si="403"/>
        <v>0</v>
      </c>
      <c r="BF59" s="16">
        <f t="shared" si="404"/>
        <v>0</v>
      </c>
      <c r="BG59" s="16">
        <f t="shared" si="405"/>
        <v>0</v>
      </c>
      <c r="BH59" s="16">
        <f t="shared" si="406"/>
        <v>0</v>
      </c>
      <c r="BJ59" s="16">
        <f>SUM(BK59:BN59)</f>
        <v>0</v>
      </c>
      <c r="BK59" s="16">
        <f>BH59*(1+BK$2)</f>
        <v>0</v>
      </c>
      <c r="BL59" s="16">
        <f t="shared" si="385"/>
        <v>0</v>
      </c>
      <c r="BM59" s="16">
        <f t="shared" ref="BM59:BN59" si="418">BL59*(1+BM$2)</f>
        <v>0</v>
      </c>
      <c r="BN59" s="16">
        <f t="shared" si="418"/>
        <v>0</v>
      </c>
      <c r="BP59" s="16">
        <f>SUM(BQ59:BT59)</f>
        <v>0</v>
      </c>
      <c r="BQ59" s="16">
        <f t="shared" si="387"/>
        <v>0</v>
      </c>
      <c r="BR59" s="16">
        <f t="shared" si="388"/>
        <v>0</v>
      </c>
      <c r="BS59" s="16">
        <f t="shared" ref="BS59:BT59" si="419">BR59*(1+BS$2)</f>
        <v>0</v>
      </c>
      <c r="BT59" s="16">
        <f t="shared" si="419"/>
        <v>0</v>
      </c>
      <c r="BV59" s="16">
        <f>SUM(BW59:BZ59)</f>
        <v>0</v>
      </c>
      <c r="BW59" s="16">
        <f>BT59*(1+BW$2)</f>
        <v>0</v>
      </c>
      <c r="BX59" s="16">
        <f t="shared" si="390"/>
        <v>0</v>
      </c>
      <c r="BY59" s="16">
        <f t="shared" ref="BY59:BZ59" si="420">BX59*(1+BY$2)</f>
        <v>0</v>
      </c>
      <c r="BZ59" s="16">
        <f t="shared" si="420"/>
        <v>0</v>
      </c>
    </row>
    <row r="60" spans="2:78" s="16" customFormat="1" x14ac:dyDescent="0.25">
      <c r="B60" s="16" t="s">
        <v>48</v>
      </c>
      <c r="AR60" s="16">
        <f t="shared" si="392"/>
        <v>0</v>
      </c>
      <c r="AS60" s="16">
        <f t="shared" si="393"/>
        <v>0</v>
      </c>
      <c r="AT60" s="16">
        <f t="shared" si="394"/>
        <v>0</v>
      </c>
      <c r="AU60" s="16">
        <f t="shared" si="395"/>
        <v>0</v>
      </c>
      <c r="AV60" s="16">
        <f t="shared" si="396"/>
        <v>0</v>
      </c>
      <c r="AX60" s="16">
        <f t="shared" si="397"/>
        <v>0</v>
      </c>
      <c r="AY60" s="16">
        <f t="shared" si="398"/>
        <v>0</v>
      </c>
      <c r="AZ60" s="16">
        <f t="shared" si="399"/>
        <v>0</v>
      </c>
      <c r="BA60" s="16">
        <f t="shared" si="400"/>
        <v>0</v>
      </c>
      <c r="BB60" s="16">
        <f t="shared" si="401"/>
        <v>0</v>
      </c>
      <c r="BD60" s="16">
        <f t="shared" si="402"/>
        <v>0</v>
      </c>
      <c r="BE60" s="16">
        <f t="shared" si="403"/>
        <v>0</v>
      </c>
      <c r="BF60" s="16">
        <f t="shared" si="404"/>
        <v>0</v>
      </c>
      <c r="BG60" s="16">
        <f t="shared" si="405"/>
        <v>0</v>
      </c>
      <c r="BH60" s="16">
        <f t="shared" si="406"/>
        <v>0</v>
      </c>
      <c r="BJ60" s="16">
        <f t="shared" ref="BJ60:BJ62" si="421">SUM(BK60:BN60)</f>
        <v>0</v>
      </c>
      <c r="BK60" s="16">
        <f t="shared" ref="BK60:BK62" si="422">BH60*(1+BK$2)</f>
        <v>0</v>
      </c>
      <c r="BL60" s="16">
        <f t="shared" si="385"/>
        <v>0</v>
      </c>
      <c r="BM60" s="16">
        <f t="shared" ref="BM60:BN60" si="423">BL60*(1+BM$2)</f>
        <v>0</v>
      </c>
      <c r="BN60" s="16">
        <f t="shared" si="423"/>
        <v>0</v>
      </c>
      <c r="BP60" s="16">
        <f t="shared" ref="BP60:BP62" si="424">SUM(BQ60:BT60)</f>
        <v>0</v>
      </c>
      <c r="BQ60" s="16">
        <f t="shared" si="387"/>
        <v>0</v>
      </c>
      <c r="BR60" s="16">
        <f t="shared" si="388"/>
        <v>0</v>
      </c>
      <c r="BS60" s="16">
        <f t="shared" ref="BS60:BT60" si="425">BR60*(1+BS$2)</f>
        <v>0</v>
      </c>
      <c r="BT60" s="16">
        <f t="shared" si="425"/>
        <v>0</v>
      </c>
      <c r="BV60" s="16">
        <f t="shared" ref="BV60:BV62" si="426">SUM(BW60:BZ60)</f>
        <v>0</v>
      </c>
      <c r="BW60" s="16">
        <f t="shared" ref="BW60:BW62" si="427">BT60*(1+BW$2)</f>
        <v>0</v>
      </c>
      <c r="BX60" s="16">
        <f t="shared" si="390"/>
        <v>0</v>
      </c>
      <c r="BY60" s="16">
        <f t="shared" ref="BY60:BZ60" si="428">BX60*(1+BY$2)</f>
        <v>0</v>
      </c>
      <c r="BZ60" s="16">
        <f t="shared" si="428"/>
        <v>0</v>
      </c>
    </row>
    <row r="61" spans="2:78" s="16" customFormat="1" x14ac:dyDescent="0.25">
      <c r="B61" s="16" t="s">
        <v>47</v>
      </c>
      <c r="AR61" s="16">
        <f t="shared" si="392"/>
        <v>0</v>
      </c>
      <c r="AS61" s="16">
        <f t="shared" si="393"/>
        <v>0</v>
      </c>
      <c r="AT61" s="16">
        <f t="shared" si="394"/>
        <v>0</v>
      </c>
      <c r="AU61" s="16">
        <f t="shared" si="395"/>
        <v>0</v>
      </c>
      <c r="AV61" s="16">
        <f t="shared" si="396"/>
        <v>0</v>
      </c>
      <c r="AX61" s="16">
        <f t="shared" si="397"/>
        <v>0</v>
      </c>
      <c r="AY61" s="16">
        <f t="shared" si="398"/>
        <v>0</v>
      </c>
      <c r="AZ61" s="16">
        <f t="shared" si="399"/>
        <v>0</v>
      </c>
      <c r="BA61" s="16">
        <f t="shared" si="400"/>
        <v>0</v>
      </c>
      <c r="BB61" s="16">
        <f t="shared" si="401"/>
        <v>0</v>
      </c>
      <c r="BD61" s="16">
        <f t="shared" si="402"/>
        <v>0</v>
      </c>
      <c r="BE61" s="16">
        <f t="shared" si="403"/>
        <v>0</v>
      </c>
      <c r="BF61" s="16">
        <f t="shared" si="404"/>
        <v>0</v>
      </c>
      <c r="BG61" s="16">
        <f t="shared" si="405"/>
        <v>0</v>
      </c>
      <c r="BH61" s="16">
        <f t="shared" si="406"/>
        <v>0</v>
      </c>
      <c r="BJ61" s="16">
        <f t="shared" si="421"/>
        <v>0</v>
      </c>
      <c r="BK61" s="16">
        <f t="shared" si="422"/>
        <v>0</v>
      </c>
      <c r="BL61" s="16">
        <f t="shared" si="385"/>
        <v>0</v>
      </c>
      <c r="BM61" s="16">
        <f t="shared" ref="BM61:BN61" si="429">BL61*(1+BM$2)</f>
        <v>0</v>
      </c>
      <c r="BN61" s="16">
        <f t="shared" si="429"/>
        <v>0</v>
      </c>
      <c r="BP61" s="16">
        <f t="shared" si="424"/>
        <v>0</v>
      </c>
      <c r="BQ61" s="16">
        <f t="shared" si="387"/>
        <v>0</v>
      </c>
      <c r="BR61" s="16">
        <f t="shared" si="388"/>
        <v>0</v>
      </c>
      <c r="BS61" s="16">
        <f t="shared" ref="BS61:BT61" si="430">BR61*(1+BS$2)</f>
        <v>0</v>
      </c>
      <c r="BT61" s="16">
        <f t="shared" si="430"/>
        <v>0</v>
      </c>
      <c r="BV61" s="16">
        <f t="shared" si="426"/>
        <v>0</v>
      </c>
      <c r="BW61" s="16">
        <f t="shared" si="427"/>
        <v>0</v>
      </c>
      <c r="BX61" s="16">
        <f t="shared" si="390"/>
        <v>0</v>
      </c>
      <c r="BY61" s="16">
        <f t="shared" ref="BY61:BZ61" si="431">BX61*(1+BY$2)</f>
        <v>0</v>
      </c>
      <c r="BZ61" s="16">
        <f t="shared" si="431"/>
        <v>0</v>
      </c>
    </row>
    <row r="62" spans="2:78" s="16" customFormat="1" x14ac:dyDescent="0.25">
      <c r="B62" s="16" t="s">
        <v>46</v>
      </c>
      <c r="AR62" s="16">
        <f t="shared" si="392"/>
        <v>0</v>
      </c>
      <c r="AS62" s="16">
        <f t="shared" si="393"/>
        <v>0</v>
      </c>
      <c r="AT62" s="16">
        <f t="shared" si="394"/>
        <v>0</v>
      </c>
      <c r="AU62" s="16">
        <f t="shared" si="395"/>
        <v>0</v>
      </c>
      <c r="AV62" s="16">
        <f t="shared" si="396"/>
        <v>0</v>
      </c>
      <c r="AX62" s="16">
        <f t="shared" si="397"/>
        <v>0</v>
      </c>
      <c r="AY62" s="16">
        <f t="shared" si="398"/>
        <v>0</v>
      </c>
      <c r="AZ62" s="16">
        <f t="shared" si="399"/>
        <v>0</v>
      </c>
      <c r="BA62" s="16">
        <f t="shared" si="400"/>
        <v>0</v>
      </c>
      <c r="BB62" s="16">
        <f t="shared" si="401"/>
        <v>0</v>
      </c>
      <c r="BD62" s="16">
        <f t="shared" si="402"/>
        <v>0</v>
      </c>
      <c r="BE62" s="16">
        <f t="shared" si="403"/>
        <v>0</v>
      </c>
      <c r="BF62" s="16">
        <f t="shared" si="404"/>
        <v>0</v>
      </c>
      <c r="BG62" s="16">
        <f t="shared" si="405"/>
        <v>0</v>
      </c>
      <c r="BH62" s="16">
        <f t="shared" si="406"/>
        <v>0</v>
      </c>
      <c r="BJ62" s="16">
        <f t="shared" si="421"/>
        <v>0</v>
      </c>
      <c r="BK62" s="16">
        <f t="shared" si="422"/>
        <v>0</v>
      </c>
      <c r="BL62" s="16">
        <f t="shared" si="385"/>
        <v>0</v>
      </c>
      <c r="BM62" s="16">
        <f t="shared" ref="BM62:BN62" si="432">BL62*(1+BM$2)</f>
        <v>0</v>
      </c>
      <c r="BN62" s="16">
        <f t="shared" si="432"/>
        <v>0</v>
      </c>
      <c r="BP62" s="16">
        <f t="shared" si="424"/>
        <v>0</v>
      </c>
      <c r="BQ62" s="16">
        <f t="shared" si="387"/>
        <v>0</v>
      </c>
      <c r="BR62" s="16">
        <f t="shared" si="388"/>
        <v>0</v>
      </c>
      <c r="BS62" s="16">
        <f t="shared" ref="BS62:BT62" si="433">BR62*(1+BS$2)</f>
        <v>0</v>
      </c>
      <c r="BT62" s="16">
        <f t="shared" si="433"/>
        <v>0</v>
      </c>
      <c r="BV62" s="16">
        <f t="shared" si="426"/>
        <v>0</v>
      </c>
      <c r="BW62" s="16">
        <f t="shared" si="427"/>
        <v>0</v>
      </c>
      <c r="BX62" s="16">
        <f t="shared" si="390"/>
        <v>0</v>
      </c>
      <c r="BY62" s="16">
        <f t="shared" ref="BY62:BZ62" si="434">BX62*(1+BY$2)</f>
        <v>0</v>
      </c>
      <c r="BZ62" s="16">
        <f t="shared" si="434"/>
        <v>0</v>
      </c>
    </row>
    <row r="63" spans="2:78" s="16" customFormat="1" x14ac:dyDescent="0.25">
      <c r="B63" s="16" t="s">
        <v>93</v>
      </c>
      <c r="AR63" s="16">
        <f t="shared" si="392"/>
        <v>0</v>
      </c>
      <c r="AS63" s="16">
        <f t="shared" si="393"/>
        <v>0</v>
      </c>
      <c r="AT63" s="16">
        <f t="shared" si="394"/>
        <v>0</v>
      </c>
      <c r="AU63" s="16">
        <f t="shared" si="395"/>
        <v>0</v>
      </c>
      <c r="AV63" s="16">
        <f t="shared" si="396"/>
        <v>0</v>
      </c>
      <c r="AX63" s="16">
        <f t="shared" si="397"/>
        <v>0</v>
      </c>
      <c r="AY63" s="16">
        <f t="shared" si="398"/>
        <v>0</v>
      </c>
      <c r="AZ63" s="16">
        <f t="shared" si="399"/>
        <v>0</v>
      </c>
      <c r="BA63" s="16">
        <f t="shared" si="400"/>
        <v>0</v>
      </c>
      <c r="BB63" s="16">
        <f t="shared" si="401"/>
        <v>0</v>
      </c>
      <c r="BD63" s="16">
        <f t="shared" si="402"/>
        <v>0</v>
      </c>
      <c r="BE63" s="16">
        <f t="shared" si="403"/>
        <v>0</v>
      </c>
      <c r="BF63" s="16">
        <f t="shared" si="404"/>
        <v>0</v>
      </c>
      <c r="BG63" s="16">
        <f t="shared" si="405"/>
        <v>0</v>
      </c>
      <c r="BH63" s="16">
        <f t="shared" si="406"/>
        <v>0</v>
      </c>
      <c r="BJ63" s="16">
        <f>SUM(BK63:BN63)</f>
        <v>0</v>
      </c>
      <c r="BK63" s="16">
        <f>BH63*(1+BK$2)</f>
        <v>0</v>
      </c>
      <c r="BL63" s="16">
        <f t="shared" si="385"/>
        <v>0</v>
      </c>
      <c r="BM63" s="16">
        <f t="shared" ref="BM63:BN63" si="435">BL63*(1+BM$2)</f>
        <v>0</v>
      </c>
      <c r="BN63" s="16">
        <f t="shared" si="435"/>
        <v>0</v>
      </c>
      <c r="BP63" s="16">
        <f>SUM(BQ63:BT63)</f>
        <v>0</v>
      </c>
      <c r="BQ63" s="16">
        <f t="shared" si="387"/>
        <v>0</v>
      </c>
      <c r="BR63" s="16">
        <f t="shared" si="388"/>
        <v>0</v>
      </c>
      <c r="BS63" s="16">
        <f t="shared" ref="BS63:BT63" si="436">BR63*(1+BS$2)</f>
        <v>0</v>
      </c>
      <c r="BT63" s="16">
        <f t="shared" si="436"/>
        <v>0</v>
      </c>
      <c r="BV63" s="16">
        <f>SUM(BW63:BZ63)</f>
        <v>0</v>
      </c>
      <c r="BW63" s="16">
        <f>BT63*(1+BW$2)</f>
        <v>0</v>
      </c>
      <c r="BX63" s="16">
        <f t="shared" si="390"/>
        <v>0</v>
      </c>
      <c r="BY63" s="16">
        <f t="shared" ref="BY63:BZ63" si="437">BX63*(1+BY$2)</f>
        <v>0</v>
      </c>
      <c r="BZ63" s="16">
        <f t="shared" si="437"/>
        <v>0</v>
      </c>
    </row>
    <row r="64" spans="2:78" s="16" customFormat="1" x14ac:dyDescent="0.25"/>
    <row r="65" spans="1:78" s="16" customFormat="1" x14ac:dyDescent="0.25">
      <c r="B65" s="16" t="s">
        <v>49</v>
      </c>
      <c r="E65" s="17">
        <f>SUBTOTAL(9,E56:E64)</f>
        <v>1150</v>
      </c>
      <c r="F65" s="17">
        <f t="shared" ref="F65:P65" si="438">SUBTOTAL(9,F56:F64)</f>
        <v>400</v>
      </c>
      <c r="G65" s="17">
        <f t="shared" si="438"/>
        <v>400</v>
      </c>
      <c r="H65" s="17">
        <f t="shared" si="438"/>
        <v>1150</v>
      </c>
      <c r="I65" s="17">
        <f t="shared" si="438"/>
        <v>400</v>
      </c>
      <c r="J65" s="17">
        <f t="shared" si="438"/>
        <v>1400</v>
      </c>
      <c r="K65" s="17">
        <f t="shared" si="438"/>
        <v>1150</v>
      </c>
      <c r="L65" s="17">
        <f t="shared" si="438"/>
        <v>400</v>
      </c>
      <c r="M65" s="17">
        <f t="shared" si="438"/>
        <v>400</v>
      </c>
      <c r="N65" s="17">
        <f t="shared" si="438"/>
        <v>1150</v>
      </c>
      <c r="O65" s="17">
        <f t="shared" si="438"/>
        <v>400</v>
      </c>
      <c r="P65" s="17">
        <f t="shared" si="438"/>
        <v>400</v>
      </c>
      <c r="R65" s="17">
        <f>SUBTOTAL(9,R56:R64)</f>
        <v>1150</v>
      </c>
      <c r="S65" s="17">
        <f t="shared" ref="S65:AC65" si="439">SUBTOTAL(9,S56:S64)</f>
        <v>400</v>
      </c>
      <c r="T65" s="17">
        <f t="shared" si="439"/>
        <v>400</v>
      </c>
      <c r="U65" s="17">
        <f t="shared" si="439"/>
        <v>1150</v>
      </c>
      <c r="V65" s="17">
        <f t="shared" si="439"/>
        <v>400</v>
      </c>
      <c r="W65" s="17">
        <f t="shared" si="439"/>
        <v>1400</v>
      </c>
      <c r="X65" s="17">
        <f t="shared" si="439"/>
        <v>1150</v>
      </c>
      <c r="Y65" s="17">
        <f t="shared" si="439"/>
        <v>400</v>
      </c>
      <c r="Z65" s="17">
        <f t="shared" si="439"/>
        <v>400</v>
      </c>
      <c r="AA65" s="17">
        <f t="shared" si="439"/>
        <v>1150</v>
      </c>
      <c r="AB65" s="17">
        <f t="shared" si="439"/>
        <v>400</v>
      </c>
      <c r="AC65" s="17">
        <f t="shared" si="439"/>
        <v>400</v>
      </c>
      <c r="AE65" s="17">
        <f>SUBTOTAL(9,AE56:AE64)</f>
        <v>1150</v>
      </c>
      <c r="AF65" s="17">
        <f t="shared" ref="AF65:AP65" si="440">SUBTOTAL(9,AF56:AF64)</f>
        <v>400</v>
      </c>
      <c r="AG65" s="17">
        <f t="shared" si="440"/>
        <v>400</v>
      </c>
      <c r="AH65" s="17">
        <f t="shared" si="440"/>
        <v>1150</v>
      </c>
      <c r="AI65" s="17">
        <f t="shared" si="440"/>
        <v>400</v>
      </c>
      <c r="AJ65" s="17">
        <f t="shared" si="440"/>
        <v>1400</v>
      </c>
      <c r="AK65" s="17">
        <f t="shared" si="440"/>
        <v>1150</v>
      </c>
      <c r="AL65" s="17">
        <f t="shared" si="440"/>
        <v>400</v>
      </c>
      <c r="AM65" s="17">
        <f t="shared" si="440"/>
        <v>400</v>
      </c>
      <c r="AN65" s="17">
        <f t="shared" si="440"/>
        <v>1150</v>
      </c>
      <c r="AO65" s="17">
        <f t="shared" si="440"/>
        <v>400</v>
      </c>
      <c r="AP65" s="17">
        <f t="shared" si="440"/>
        <v>400</v>
      </c>
      <c r="AR65" s="17">
        <f>SUBTOTAL(9,AR56:AR64)</f>
        <v>8800</v>
      </c>
      <c r="AS65" s="17">
        <f t="shared" ref="AS65:AV65" si="441">SUBTOTAL(9,AS56:AS64)</f>
        <v>1950</v>
      </c>
      <c r="AT65" s="17">
        <f t="shared" si="441"/>
        <v>2950</v>
      </c>
      <c r="AU65" s="17">
        <f t="shared" si="441"/>
        <v>1950</v>
      </c>
      <c r="AV65" s="17">
        <f t="shared" si="441"/>
        <v>1950</v>
      </c>
      <c r="AX65" s="17">
        <f>SUBTOTAL(9,AX56:AX64)</f>
        <v>8800</v>
      </c>
      <c r="AY65" s="17">
        <f t="shared" ref="AY65:BB65" si="442">SUBTOTAL(9,AY56:AY64)</f>
        <v>1950</v>
      </c>
      <c r="AZ65" s="17">
        <f t="shared" si="442"/>
        <v>2950</v>
      </c>
      <c r="BA65" s="17">
        <f t="shared" si="442"/>
        <v>1950</v>
      </c>
      <c r="BB65" s="17">
        <f t="shared" si="442"/>
        <v>1950</v>
      </c>
      <c r="BD65" s="17">
        <f>SUBTOTAL(9,BD56:BD64)</f>
        <v>8800</v>
      </c>
      <c r="BE65" s="17">
        <f t="shared" ref="BE65:BH65" si="443">SUBTOTAL(9,BE56:BE64)</f>
        <v>1950</v>
      </c>
      <c r="BF65" s="17">
        <f t="shared" si="443"/>
        <v>2950</v>
      </c>
      <c r="BG65" s="17">
        <f t="shared" si="443"/>
        <v>1950</v>
      </c>
      <c r="BH65" s="17">
        <f t="shared" si="443"/>
        <v>1950</v>
      </c>
      <c r="BJ65" s="17">
        <f>SUBTOTAL(9,BJ56:BJ63)</f>
        <v>11514.36</v>
      </c>
      <c r="BK65" s="17">
        <f t="shared" ref="BK65:BM65" si="444">SUBTOTAL(9,BK56:BK63)</f>
        <v>2145</v>
      </c>
      <c r="BL65" s="17">
        <f t="shared" si="444"/>
        <v>2574</v>
      </c>
      <c r="BM65" s="17">
        <f t="shared" si="444"/>
        <v>3088.8</v>
      </c>
      <c r="BN65" s="17">
        <f>SUBTOTAL(9,BN56:BN63)</f>
        <v>3706.56</v>
      </c>
      <c r="BP65" s="17">
        <f>SUBTOTAL(9,BP56:BP63)</f>
        <v>22982.154623999995</v>
      </c>
      <c r="BQ65" s="17">
        <f t="shared" ref="BQ65:BS65" si="445">SUBTOTAL(9,BQ56:BQ63)</f>
        <v>4447.8719999999994</v>
      </c>
      <c r="BR65" s="17">
        <f t="shared" si="445"/>
        <v>5337.4463999999989</v>
      </c>
      <c r="BS65" s="17">
        <f t="shared" si="445"/>
        <v>6138.0633599999992</v>
      </c>
      <c r="BT65" s="17">
        <f>SUBTOTAL(9,BT56:BT63)</f>
        <v>7058.7728639999987</v>
      </c>
      <c r="BV65" s="17">
        <f>SUBTOTAL(9,BV56:BV63)</f>
        <v>33113.674086292798</v>
      </c>
      <c r="BW65" s="17">
        <f t="shared" ref="BW65:BY65" si="446">SUBTOTAL(9,BW56:BW63)</f>
        <v>7411.7115071999979</v>
      </c>
      <c r="BX65" s="17">
        <f t="shared" si="446"/>
        <v>8152.8826579199995</v>
      </c>
      <c r="BY65" s="17">
        <f t="shared" si="446"/>
        <v>8560.5267908159985</v>
      </c>
      <c r="BZ65" s="17">
        <f>SUBTOTAL(9,BZ56:BZ63)</f>
        <v>8988.5531303567986</v>
      </c>
    </row>
    <row r="66" spans="1:78" s="16" customFormat="1" x14ac:dyDescent="0.25"/>
    <row r="67" spans="1:78" s="16" customFormat="1" x14ac:dyDescent="0.25">
      <c r="B67" s="16" t="s">
        <v>50</v>
      </c>
      <c r="E67" s="16">
        <f>3000*3</f>
        <v>9000</v>
      </c>
      <c r="F67" s="16">
        <f t="shared" ref="F67:P67" si="447">3000*3</f>
        <v>9000</v>
      </c>
      <c r="G67" s="16">
        <f t="shared" si="447"/>
        <v>9000</v>
      </c>
      <c r="H67" s="16">
        <f t="shared" si="447"/>
        <v>9000</v>
      </c>
      <c r="I67" s="16">
        <f t="shared" si="447"/>
        <v>9000</v>
      </c>
      <c r="J67" s="16">
        <f t="shared" si="447"/>
        <v>9000</v>
      </c>
      <c r="K67" s="16">
        <f t="shared" si="447"/>
        <v>9000</v>
      </c>
      <c r="L67" s="16">
        <f t="shared" si="447"/>
        <v>9000</v>
      </c>
      <c r="M67" s="16">
        <f t="shared" si="447"/>
        <v>9000</v>
      </c>
      <c r="N67" s="16">
        <f t="shared" si="447"/>
        <v>9000</v>
      </c>
      <c r="O67" s="16">
        <f t="shared" si="447"/>
        <v>9000</v>
      </c>
      <c r="P67" s="16">
        <f t="shared" si="447"/>
        <v>9000</v>
      </c>
      <c r="R67" s="16">
        <f>6000*3</f>
        <v>18000</v>
      </c>
      <c r="S67" s="16">
        <f t="shared" ref="S67:AC67" si="448">6000*3</f>
        <v>18000</v>
      </c>
      <c r="T67" s="16">
        <f t="shared" si="448"/>
        <v>18000</v>
      </c>
      <c r="U67" s="16">
        <f t="shared" si="448"/>
        <v>18000</v>
      </c>
      <c r="V67" s="16">
        <f t="shared" si="448"/>
        <v>18000</v>
      </c>
      <c r="W67" s="16">
        <f t="shared" si="448"/>
        <v>18000</v>
      </c>
      <c r="X67" s="16">
        <f t="shared" si="448"/>
        <v>18000</v>
      </c>
      <c r="Y67" s="16">
        <f t="shared" si="448"/>
        <v>18000</v>
      </c>
      <c r="Z67" s="16">
        <f t="shared" si="448"/>
        <v>18000</v>
      </c>
      <c r="AA67" s="16">
        <f t="shared" si="448"/>
        <v>18000</v>
      </c>
      <c r="AB67" s="16">
        <f t="shared" si="448"/>
        <v>18000</v>
      </c>
      <c r="AC67" s="16">
        <f t="shared" si="448"/>
        <v>18000</v>
      </c>
      <c r="AE67" s="16">
        <f>6000*3*1.03</f>
        <v>18540</v>
      </c>
      <c r="AF67" s="16">
        <f t="shared" ref="AF67:AP67" si="449">6000*3*1.03</f>
        <v>18540</v>
      </c>
      <c r="AG67" s="16">
        <f t="shared" si="449"/>
        <v>18540</v>
      </c>
      <c r="AH67" s="16">
        <f t="shared" si="449"/>
        <v>18540</v>
      </c>
      <c r="AI67" s="16">
        <f t="shared" si="449"/>
        <v>18540</v>
      </c>
      <c r="AJ67" s="16">
        <f t="shared" si="449"/>
        <v>18540</v>
      </c>
      <c r="AK67" s="16">
        <f t="shared" si="449"/>
        <v>18540</v>
      </c>
      <c r="AL67" s="16">
        <f t="shared" si="449"/>
        <v>18540</v>
      </c>
      <c r="AM67" s="16">
        <f t="shared" si="449"/>
        <v>18540</v>
      </c>
      <c r="AN67" s="16">
        <f t="shared" si="449"/>
        <v>18540</v>
      </c>
      <c r="AO67" s="16">
        <f t="shared" si="449"/>
        <v>18540</v>
      </c>
      <c r="AP67" s="16">
        <f t="shared" si="449"/>
        <v>18540</v>
      </c>
      <c r="AR67" s="16">
        <f t="shared" ref="AR67:AR71" si="450">SUM(E67:P67)</f>
        <v>108000</v>
      </c>
      <c r="AS67" s="16">
        <f t="shared" ref="AS67:AS71" si="451">SUM(E67:G67)</f>
        <v>27000</v>
      </c>
      <c r="AT67" s="16">
        <f t="shared" ref="AT67:AT71" si="452">SUM(H67:J67)</f>
        <v>27000</v>
      </c>
      <c r="AU67" s="16">
        <f t="shared" ref="AU67:AU71" si="453">SUM(K67:M67)</f>
        <v>27000</v>
      </c>
      <c r="AV67" s="16">
        <f t="shared" ref="AV67:AV71" si="454">SUM(N67:P67)</f>
        <v>27000</v>
      </c>
      <c r="AX67" s="16">
        <f t="shared" ref="AX67:AX71" si="455">SUM(R67:AC67)</f>
        <v>216000</v>
      </c>
      <c r="AY67" s="16">
        <f t="shared" ref="AY67:AY71" si="456">SUM(R67:T67)</f>
        <v>54000</v>
      </c>
      <c r="AZ67" s="16">
        <f t="shared" ref="AZ67:AZ71" si="457">SUM(U67:W67)</f>
        <v>54000</v>
      </c>
      <c r="BA67" s="16">
        <f t="shared" ref="BA67:BA71" si="458">SUM(X67:Z67)</f>
        <v>54000</v>
      </c>
      <c r="BB67" s="16">
        <f t="shared" ref="BB67:BB71" si="459">SUM(AA67:AC67)</f>
        <v>54000</v>
      </c>
      <c r="BD67" s="16">
        <f t="shared" ref="BD67:BD71" si="460">SUM(AE67:AP67)</f>
        <v>222480</v>
      </c>
      <c r="BE67" s="16">
        <f t="shared" ref="BE67:BE71" si="461">SUM(AE67:AG67)</f>
        <v>55620</v>
      </c>
      <c r="BF67" s="16">
        <f t="shared" ref="BF67:BF71" si="462">SUM(AH67:AJ67)</f>
        <v>55620</v>
      </c>
      <c r="BG67" s="16">
        <f t="shared" ref="BG67:BG71" si="463">SUM(AK67:AM67)</f>
        <v>55620</v>
      </c>
      <c r="BH67" s="16">
        <f t="shared" ref="BH67:BH71" si="464">SUM(AN67:AP67)</f>
        <v>55620</v>
      </c>
      <c r="BJ67" s="16">
        <f>SUM(BK67:BN67)</f>
        <v>328424.97600000002</v>
      </c>
      <c r="BK67" s="16">
        <f>BH67*(1+BK$2)</f>
        <v>61182.000000000007</v>
      </c>
      <c r="BL67" s="16">
        <f>BK67*(1+BL$2)</f>
        <v>73418.400000000009</v>
      </c>
      <c r="BM67" s="16">
        <f t="shared" ref="BM67:BN67" si="465">BL67*(1+BM$2)</f>
        <v>88102.080000000002</v>
      </c>
      <c r="BN67" s="16">
        <f t="shared" si="465"/>
        <v>105722.496</v>
      </c>
      <c r="BP67" s="16">
        <f>SUM(BQ67:BT67)</f>
        <v>655521.76419839996</v>
      </c>
      <c r="BQ67" s="16">
        <f>BN67*(1+BQ$2)</f>
        <v>126866.99519999999</v>
      </c>
      <c r="BR67" s="16">
        <f>BQ67*(1+BR$2)</f>
        <v>152240.39423999999</v>
      </c>
      <c r="BS67" s="16">
        <f t="shared" ref="BS67:BT67" si="466">BR67*(1+BS$2)</f>
        <v>175076.45337599999</v>
      </c>
      <c r="BT67" s="16">
        <f t="shared" si="466"/>
        <v>201337.92138239997</v>
      </c>
      <c r="BV67" s="16">
        <f>SUM(BW67:BZ67)</f>
        <v>944503.87316902843</v>
      </c>
      <c r="BW67" s="16">
        <f>BT67*(1+BW$2)</f>
        <v>211404.81745151998</v>
      </c>
      <c r="BX67" s="16">
        <f>BW67*(1+BX$2)</f>
        <v>232545.29919667199</v>
      </c>
      <c r="BY67" s="16">
        <f t="shared" ref="BY67:BZ67" si="467">BX67*(1+BY$2)</f>
        <v>244172.5641565056</v>
      </c>
      <c r="BZ67" s="16">
        <f t="shared" si="467"/>
        <v>256381.1923643309</v>
      </c>
    </row>
    <row r="68" spans="1:78" s="16" customFormat="1" x14ac:dyDescent="0.25">
      <c r="B68" s="16" t="s">
        <v>51</v>
      </c>
      <c r="E68" s="16">
        <f>3000*1.3</f>
        <v>3900</v>
      </c>
      <c r="F68" s="16">
        <f t="shared" ref="F68:P68" si="468">3000*1.3</f>
        <v>3900</v>
      </c>
      <c r="G68" s="16">
        <f t="shared" si="468"/>
        <v>3900</v>
      </c>
      <c r="H68" s="16">
        <f t="shared" si="468"/>
        <v>3900</v>
      </c>
      <c r="I68" s="16">
        <f t="shared" si="468"/>
        <v>3900</v>
      </c>
      <c r="J68" s="16">
        <f t="shared" si="468"/>
        <v>3900</v>
      </c>
      <c r="K68" s="16">
        <f t="shared" si="468"/>
        <v>3900</v>
      </c>
      <c r="L68" s="16">
        <f t="shared" si="468"/>
        <v>3900</v>
      </c>
      <c r="M68" s="16">
        <f t="shared" si="468"/>
        <v>3900</v>
      </c>
      <c r="N68" s="16">
        <f t="shared" si="468"/>
        <v>3900</v>
      </c>
      <c r="O68" s="16">
        <f t="shared" si="468"/>
        <v>3900</v>
      </c>
      <c r="P68" s="16">
        <f t="shared" si="468"/>
        <v>3900</v>
      </c>
      <c r="R68" s="16">
        <f>6000*1.3</f>
        <v>7800</v>
      </c>
      <c r="S68" s="16">
        <f t="shared" ref="S68:AC68" si="469">6000*1.3</f>
        <v>7800</v>
      </c>
      <c r="T68" s="16">
        <f t="shared" si="469"/>
        <v>7800</v>
      </c>
      <c r="U68" s="16">
        <f t="shared" si="469"/>
        <v>7800</v>
      </c>
      <c r="V68" s="16">
        <f t="shared" si="469"/>
        <v>7800</v>
      </c>
      <c r="W68" s="16">
        <f t="shared" si="469"/>
        <v>7800</v>
      </c>
      <c r="X68" s="16">
        <f t="shared" si="469"/>
        <v>7800</v>
      </c>
      <c r="Y68" s="16">
        <f t="shared" si="469"/>
        <v>7800</v>
      </c>
      <c r="Z68" s="16">
        <f t="shared" si="469"/>
        <v>7800</v>
      </c>
      <c r="AA68" s="16">
        <f t="shared" si="469"/>
        <v>7800</v>
      </c>
      <c r="AB68" s="16">
        <f t="shared" si="469"/>
        <v>7800</v>
      </c>
      <c r="AC68" s="16">
        <f t="shared" si="469"/>
        <v>7800</v>
      </c>
      <c r="AE68" s="16">
        <f>6000*1.3*1.03</f>
        <v>8034</v>
      </c>
      <c r="AF68" s="16">
        <f t="shared" ref="AF68:AP68" si="470">6000*1.3*1.03</f>
        <v>8034</v>
      </c>
      <c r="AG68" s="16">
        <f t="shared" si="470"/>
        <v>8034</v>
      </c>
      <c r="AH68" s="16">
        <f t="shared" si="470"/>
        <v>8034</v>
      </c>
      <c r="AI68" s="16">
        <f t="shared" si="470"/>
        <v>8034</v>
      </c>
      <c r="AJ68" s="16">
        <f t="shared" si="470"/>
        <v>8034</v>
      </c>
      <c r="AK68" s="16">
        <f t="shared" si="470"/>
        <v>8034</v>
      </c>
      <c r="AL68" s="16">
        <f t="shared" si="470"/>
        <v>8034</v>
      </c>
      <c r="AM68" s="16">
        <f t="shared" si="470"/>
        <v>8034</v>
      </c>
      <c r="AN68" s="16">
        <f t="shared" si="470"/>
        <v>8034</v>
      </c>
      <c r="AO68" s="16">
        <f t="shared" si="470"/>
        <v>8034</v>
      </c>
      <c r="AP68" s="16">
        <f t="shared" si="470"/>
        <v>8034</v>
      </c>
      <c r="AR68" s="16">
        <f t="shared" si="450"/>
        <v>46800</v>
      </c>
      <c r="AS68" s="16">
        <f t="shared" si="451"/>
        <v>11700</v>
      </c>
      <c r="AT68" s="16">
        <f t="shared" si="452"/>
        <v>11700</v>
      </c>
      <c r="AU68" s="16">
        <f t="shared" si="453"/>
        <v>11700</v>
      </c>
      <c r="AV68" s="16">
        <f t="shared" si="454"/>
        <v>11700</v>
      </c>
      <c r="AX68" s="16">
        <f t="shared" si="455"/>
        <v>93600</v>
      </c>
      <c r="AY68" s="16">
        <f t="shared" si="456"/>
        <v>23400</v>
      </c>
      <c r="AZ68" s="16">
        <f t="shared" si="457"/>
        <v>23400</v>
      </c>
      <c r="BA68" s="16">
        <f t="shared" si="458"/>
        <v>23400</v>
      </c>
      <c r="BB68" s="16">
        <f t="shared" si="459"/>
        <v>23400</v>
      </c>
      <c r="BD68" s="16">
        <f t="shared" si="460"/>
        <v>96408</v>
      </c>
      <c r="BE68" s="16">
        <f t="shared" si="461"/>
        <v>24102</v>
      </c>
      <c r="BF68" s="16">
        <f t="shared" si="462"/>
        <v>24102</v>
      </c>
      <c r="BG68" s="16">
        <f t="shared" si="463"/>
        <v>24102</v>
      </c>
      <c r="BH68" s="16">
        <f t="shared" si="464"/>
        <v>24102</v>
      </c>
      <c r="BJ68" s="16">
        <f t="shared" ref="BJ68" si="471">SUM(BK68:BN68)</f>
        <v>142317.4896</v>
      </c>
      <c r="BK68" s="16">
        <f t="shared" ref="BK68" si="472">BH68*(1+BK$2)</f>
        <v>26512.2</v>
      </c>
      <c r="BL68" s="16">
        <f>BK68*(1+BL$2)</f>
        <v>31814.639999999999</v>
      </c>
      <c r="BM68" s="16">
        <f t="shared" ref="BM68:BN68" si="473">BL68*(1+BM$2)</f>
        <v>38177.567999999999</v>
      </c>
      <c r="BN68" s="16">
        <f t="shared" si="473"/>
        <v>45813.081599999998</v>
      </c>
      <c r="BP68" s="16">
        <f t="shared" ref="BP68" si="474">SUM(BQ68:BT68)</f>
        <v>284059.43115263997</v>
      </c>
      <c r="BQ68" s="16">
        <f>BN68*(1+BQ$2)</f>
        <v>54975.697919999999</v>
      </c>
      <c r="BR68" s="16">
        <f>BQ68*(1+BR$2)</f>
        <v>65970.837503999996</v>
      </c>
      <c r="BS68" s="16">
        <f t="shared" ref="BS68:BT68" si="475">BR68*(1+BS$2)</f>
        <v>75866.463129599986</v>
      </c>
      <c r="BT68" s="16">
        <f t="shared" si="475"/>
        <v>87246.432599039981</v>
      </c>
      <c r="BV68" s="16">
        <f t="shared" ref="BV68" si="476">SUM(BW68:BZ68)</f>
        <v>409285.01170657895</v>
      </c>
      <c r="BW68" s="16">
        <f t="shared" ref="BW68" si="477">BT68*(1+BW$2)</f>
        <v>91608.75422899198</v>
      </c>
      <c r="BX68" s="16">
        <f>BW68*(1+BX$2)</f>
        <v>100769.62965189118</v>
      </c>
      <c r="BY68" s="16">
        <f t="shared" ref="BY68:BZ68" si="478">BX68*(1+BY$2)</f>
        <v>105808.11113448575</v>
      </c>
      <c r="BZ68" s="16">
        <f t="shared" si="478"/>
        <v>111098.51669121004</v>
      </c>
    </row>
    <row r="69" spans="1:78" s="16" customFormat="1" x14ac:dyDescent="0.25">
      <c r="B69" s="16" t="s">
        <v>52</v>
      </c>
      <c r="E69" s="16">
        <f>120+100+150</f>
        <v>370</v>
      </c>
      <c r="F69" s="16">
        <f t="shared" ref="F69:P69" si="479">120+100+150</f>
        <v>370</v>
      </c>
      <c r="G69" s="16">
        <f t="shared" si="479"/>
        <v>370</v>
      </c>
      <c r="H69" s="16">
        <f t="shared" si="479"/>
        <v>370</v>
      </c>
      <c r="I69" s="16">
        <f t="shared" si="479"/>
        <v>370</v>
      </c>
      <c r="J69" s="16">
        <f t="shared" si="479"/>
        <v>370</v>
      </c>
      <c r="K69" s="16">
        <f t="shared" si="479"/>
        <v>370</v>
      </c>
      <c r="L69" s="16">
        <f t="shared" si="479"/>
        <v>370</v>
      </c>
      <c r="M69" s="16">
        <f t="shared" si="479"/>
        <v>370</v>
      </c>
      <c r="N69" s="16">
        <f t="shared" si="479"/>
        <v>370</v>
      </c>
      <c r="O69" s="16">
        <f t="shared" si="479"/>
        <v>370</v>
      </c>
      <c r="P69" s="16">
        <f t="shared" si="479"/>
        <v>370</v>
      </c>
      <c r="R69" s="16">
        <f t="shared" ref="R69:AC69" si="480">120+100+150</f>
        <v>370</v>
      </c>
      <c r="S69" s="16">
        <f t="shared" si="480"/>
        <v>370</v>
      </c>
      <c r="T69" s="16">
        <f t="shared" si="480"/>
        <v>370</v>
      </c>
      <c r="U69" s="16">
        <f t="shared" si="480"/>
        <v>370</v>
      </c>
      <c r="V69" s="16">
        <f t="shared" si="480"/>
        <v>370</v>
      </c>
      <c r="W69" s="16">
        <f t="shared" si="480"/>
        <v>370</v>
      </c>
      <c r="X69" s="16">
        <f t="shared" si="480"/>
        <v>370</v>
      </c>
      <c r="Y69" s="16">
        <f t="shared" si="480"/>
        <v>370</v>
      </c>
      <c r="Z69" s="16">
        <f t="shared" si="480"/>
        <v>370</v>
      </c>
      <c r="AA69" s="16">
        <f t="shared" si="480"/>
        <v>370</v>
      </c>
      <c r="AB69" s="16">
        <f t="shared" si="480"/>
        <v>370</v>
      </c>
      <c r="AC69" s="16">
        <f t="shared" si="480"/>
        <v>370</v>
      </c>
      <c r="AE69" s="16">
        <f>(120+100+150)*1.05</f>
        <v>388.5</v>
      </c>
      <c r="AF69" s="16">
        <f t="shared" ref="AF69:AP69" si="481">(120+100+150)*1.05</f>
        <v>388.5</v>
      </c>
      <c r="AG69" s="16">
        <f t="shared" si="481"/>
        <v>388.5</v>
      </c>
      <c r="AH69" s="16">
        <f t="shared" si="481"/>
        <v>388.5</v>
      </c>
      <c r="AI69" s="16">
        <f t="shared" si="481"/>
        <v>388.5</v>
      </c>
      <c r="AJ69" s="16">
        <f t="shared" si="481"/>
        <v>388.5</v>
      </c>
      <c r="AK69" s="16">
        <f t="shared" si="481"/>
        <v>388.5</v>
      </c>
      <c r="AL69" s="16">
        <f t="shared" si="481"/>
        <v>388.5</v>
      </c>
      <c r="AM69" s="16">
        <f t="shared" si="481"/>
        <v>388.5</v>
      </c>
      <c r="AN69" s="16">
        <f t="shared" si="481"/>
        <v>388.5</v>
      </c>
      <c r="AO69" s="16">
        <f t="shared" si="481"/>
        <v>388.5</v>
      </c>
      <c r="AP69" s="16">
        <f t="shared" si="481"/>
        <v>388.5</v>
      </c>
      <c r="AR69" s="16">
        <f t="shared" si="450"/>
        <v>4440</v>
      </c>
      <c r="AS69" s="16">
        <f t="shared" si="451"/>
        <v>1110</v>
      </c>
      <c r="AT69" s="16">
        <f t="shared" si="452"/>
        <v>1110</v>
      </c>
      <c r="AU69" s="16">
        <f t="shared" si="453"/>
        <v>1110</v>
      </c>
      <c r="AV69" s="16">
        <f t="shared" si="454"/>
        <v>1110</v>
      </c>
      <c r="AX69" s="16">
        <f t="shared" si="455"/>
        <v>4440</v>
      </c>
      <c r="AY69" s="16">
        <f t="shared" si="456"/>
        <v>1110</v>
      </c>
      <c r="AZ69" s="16">
        <f t="shared" si="457"/>
        <v>1110</v>
      </c>
      <c r="BA69" s="16">
        <f t="shared" si="458"/>
        <v>1110</v>
      </c>
      <c r="BB69" s="16">
        <f t="shared" si="459"/>
        <v>1110</v>
      </c>
      <c r="BD69" s="16">
        <f t="shared" si="460"/>
        <v>4662</v>
      </c>
      <c r="BE69" s="16">
        <f t="shared" si="461"/>
        <v>1165.5</v>
      </c>
      <c r="BF69" s="16">
        <f t="shared" si="462"/>
        <v>1165.5</v>
      </c>
      <c r="BG69" s="16">
        <f t="shared" si="463"/>
        <v>1165.5</v>
      </c>
      <c r="BH69" s="16">
        <f t="shared" si="464"/>
        <v>1165.5</v>
      </c>
      <c r="BJ69" s="16">
        <f>SUM(BK69:BN69)</f>
        <v>6882.0444000000007</v>
      </c>
      <c r="BK69" s="16">
        <f>BH69*(1+BK$2)</f>
        <v>1282.0500000000002</v>
      </c>
      <c r="BL69" s="16">
        <f>BK69*(1+BL$2)</f>
        <v>1538.4600000000003</v>
      </c>
      <c r="BM69" s="16">
        <f t="shared" ref="BM69:BN69" si="482">BL69*(1+BM$2)</f>
        <v>1846.1520000000003</v>
      </c>
      <c r="BN69" s="16">
        <f t="shared" si="482"/>
        <v>2215.3824000000004</v>
      </c>
      <c r="BP69" s="16">
        <f>SUM(BQ69:BT69)</f>
        <v>13736.257032960002</v>
      </c>
      <c r="BQ69" s="16">
        <f>BN69*(1+BQ$2)</f>
        <v>2658.4588800000006</v>
      </c>
      <c r="BR69" s="16">
        <f>BQ69*(1+BR$2)</f>
        <v>3190.1506560000007</v>
      </c>
      <c r="BS69" s="16">
        <f t="shared" ref="BS69:BT69" si="483">BR69*(1+BS$2)</f>
        <v>3668.6732544000006</v>
      </c>
      <c r="BT69" s="16">
        <f t="shared" si="483"/>
        <v>4218.9742425600007</v>
      </c>
      <c r="BV69" s="16">
        <f>SUM(BW69:BZ69)</f>
        <v>19791.788280807315</v>
      </c>
      <c r="BW69" s="16">
        <f>BT69*(1+BW$2)</f>
        <v>4429.9229546880006</v>
      </c>
      <c r="BX69" s="16">
        <f>BW69*(1+BX$2)</f>
        <v>4872.9152501568014</v>
      </c>
      <c r="BY69" s="16">
        <f t="shared" ref="BY69:BZ69" si="484">BX69*(1+BY$2)</f>
        <v>5116.5610126646416</v>
      </c>
      <c r="BZ69" s="16">
        <f t="shared" si="484"/>
        <v>5372.3890632978737</v>
      </c>
    </row>
    <row r="70" spans="1:78" s="16" customFormat="1" x14ac:dyDescent="0.25">
      <c r="B70" s="16" t="s">
        <v>206</v>
      </c>
      <c r="AR70" s="16">
        <f t="shared" si="450"/>
        <v>0</v>
      </c>
      <c r="AS70" s="16">
        <f t="shared" si="451"/>
        <v>0</v>
      </c>
      <c r="AT70" s="16">
        <f t="shared" si="452"/>
        <v>0</v>
      </c>
      <c r="AU70" s="16">
        <f t="shared" si="453"/>
        <v>0</v>
      </c>
      <c r="AV70" s="16">
        <f t="shared" si="454"/>
        <v>0</v>
      </c>
      <c r="AX70" s="16">
        <f t="shared" si="455"/>
        <v>0</v>
      </c>
      <c r="AY70" s="16">
        <f t="shared" si="456"/>
        <v>0</v>
      </c>
      <c r="AZ70" s="16">
        <f t="shared" si="457"/>
        <v>0</v>
      </c>
      <c r="BA70" s="16">
        <f t="shared" si="458"/>
        <v>0</v>
      </c>
      <c r="BB70" s="16">
        <f t="shared" si="459"/>
        <v>0</v>
      </c>
      <c r="BD70" s="16">
        <f t="shared" si="460"/>
        <v>0</v>
      </c>
      <c r="BE70" s="16">
        <f t="shared" si="461"/>
        <v>0</v>
      </c>
      <c r="BF70" s="16">
        <f t="shared" si="462"/>
        <v>0</v>
      </c>
      <c r="BG70" s="16">
        <f t="shared" si="463"/>
        <v>0</v>
      </c>
      <c r="BH70" s="16">
        <f t="shared" si="464"/>
        <v>0</v>
      </c>
      <c r="BJ70" s="16">
        <f t="shared" ref="BJ70:BJ71" si="485">SUM(BK70:BN70)</f>
        <v>0</v>
      </c>
      <c r="BK70" s="16">
        <f t="shared" ref="BK70:BK71" si="486">BH70*(1+BK$2)</f>
        <v>0</v>
      </c>
      <c r="BL70" s="16">
        <f>BK70*(1+BL$2)</f>
        <v>0</v>
      </c>
      <c r="BM70" s="16">
        <f t="shared" ref="BM70:BN70" si="487">BL70*(1+BM$2)</f>
        <v>0</v>
      </c>
      <c r="BN70" s="16">
        <f t="shared" si="487"/>
        <v>0</v>
      </c>
      <c r="BP70" s="16">
        <f t="shared" ref="BP70:BP71" si="488">SUM(BQ70:BT70)</f>
        <v>0</v>
      </c>
      <c r="BQ70" s="16">
        <f>BN70*(1+BQ$2)</f>
        <v>0</v>
      </c>
      <c r="BR70" s="16">
        <f>BQ70*(1+BR$2)</f>
        <v>0</v>
      </c>
      <c r="BS70" s="16">
        <f t="shared" ref="BS70:BT70" si="489">BR70*(1+BS$2)</f>
        <v>0</v>
      </c>
      <c r="BT70" s="16">
        <f t="shared" si="489"/>
        <v>0</v>
      </c>
      <c r="BV70" s="16">
        <f t="shared" ref="BV70:BV71" si="490">SUM(BW70:BZ70)</f>
        <v>0</v>
      </c>
      <c r="BW70" s="16">
        <f t="shared" ref="BW70:BW71" si="491">BT70*(1+BW$2)</f>
        <v>0</v>
      </c>
      <c r="BX70" s="16">
        <f>BW70*(1+BX$2)</f>
        <v>0</v>
      </c>
      <c r="BY70" s="16">
        <f t="shared" ref="BY70:BZ70" si="492">BX70*(1+BY$2)</f>
        <v>0</v>
      </c>
      <c r="BZ70" s="16">
        <f t="shared" si="492"/>
        <v>0</v>
      </c>
    </row>
    <row r="71" spans="1:78" s="16" customFormat="1" x14ac:dyDescent="0.25">
      <c r="B71" s="16" t="s">
        <v>53</v>
      </c>
      <c r="E71" s="16">
        <f>+CAPEX!E63</f>
        <v>212.5</v>
      </c>
      <c r="F71" s="16">
        <f>+CAPEX!F63</f>
        <v>212.5</v>
      </c>
      <c r="G71" s="16">
        <f>+CAPEX!G63</f>
        <v>212.5</v>
      </c>
      <c r="H71" s="16">
        <f>+CAPEX!H63</f>
        <v>237.5</v>
      </c>
      <c r="I71" s="16">
        <f>+CAPEX!I63</f>
        <v>237.5</v>
      </c>
      <c r="J71" s="16">
        <f>+CAPEX!J63</f>
        <v>237.5</v>
      </c>
      <c r="K71" s="16">
        <f>+CAPEX!K63</f>
        <v>237.5</v>
      </c>
      <c r="L71" s="16">
        <f>+CAPEX!L63</f>
        <v>237.5</v>
      </c>
      <c r="M71" s="16">
        <f>+CAPEX!M63</f>
        <v>237.5</v>
      </c>
      <c r="N71" s="16">
        <f>+CAPEX!N63</f>
        <v>237.5</v>
      </c>
      <c r="O71" s="16">
        <f>+CAPEX!O63</f>
        <v>237.5</v>
      </c>
      <c r="P71" s="16">
        <f>+CAPEX!P63</f>
        <v>237.5</v>
      </c>
      <c r="R71" s="16">
        <f>+CAPEX!R63</f>
        <v>287.5</v>
      </c>
      <c r="S71" s="16">
        <f>+CAPEX!S63</f>
        <v>287.5</v>
      </c>
      <c r="T71" s="16">
        <f>+CAPEX!T63</f>
        <v>287.5</v>
      </c>
      <c r="U71" s="16">
        <f>+CAPEX!U63</f>
        <v>287.5</v>
      </c>
      <c r="V71" s="16">
        <f>+CAPEX!V63</f>
        <v>287.5</v>
      </c>
      <c r="W71" s="16">
        <f>+CAPEX!W63</f>
        <v>287.5</v>
      </c>
      <c r="X71" s="16">
        <f>+CAPEX!X63</f>
        <v>287.5</v>
      </c>
      <c r="Y71" s="16">
        <f>+CAPEX!Y63</f>
        <v>287.5</v>
      </c>
      <c r="Z71" s="16">
        <f>+CAPEX!Z63</f>
        <v>287.5</v>
      </c>
      <c r="AA71" s="16">
        <f>+CAPEX!AA63</f>
        <v>287.5</v>
      </c>
      <c r="AB71" s="16">
        <f>+CAPEX!AB63</f>
        <v>287.5</v>
      </c>
      <c r="AC71" s="16">
        <f>+CAPEX!AC63</f>
        <v>287.5</v>
      </c>
      <c r="AE71" s="16">
        <f>+CAPEX!AE63</f>
        <v>287.5</v>
      </c>
      <c r="AF71" s="16">
        <f>+CAPEX!AF63</f>
        <v>287.5</v>
      </c>
      <c r="AG71" s="16">
        <f>+CAPEX!AG63</f>
        <v>287.5</v>
      </c>
      <c r="AH71" s="16">
        <f>+CAPEX!AH63</f>
        <v>287.5</v>
      </c>
      <c r="AI71" s="16">
        <f>+CAPEX!AI63</f>
        <v>287.5</v>
      </c>
      <c r="AJ71" s="16">
        <f>+CAPEX!AJ63</f>
        <v>287.5</v>
      </c>
      <c r="AK71" s="16">
        <f>+CAPEX!AK63</f>
        <v>287.5</v>
      </c>
      <c r="AL71" s="16">
        <f>+CAPEX!AL63</f>
        <v>287.5</v>
      </c>
      <c r="AM71" s="16">
        <f>+CAPEX!AM63</f>
        <v>287.5</v>
      </c>
      <c r="AN71" s="16">
        <f>+CAPEX!AN63</f>
        <v>287.5</v>
      </c>
      <c r="AO71" s="16">
        <f>+CAPEX!AO63</f>
        <v>287.5</v>
      </c>
      <c r="AP71" s="16">
        <f>+CAPEX!AP63</f>
        <v>287.5</v>
      </c>
      <c r="AR71" s="16">
        <f t="shared" si="450"/>
        <v>2775</v>
      </c>
      <c r="AS71" s="16">
        <f t="shared" si="451"/>
        <v>637.5</v>
      </c>
      <c r="AT71" s="16">
        <f t="shared" si="452"/>
        <v>712.5</v>
      </c>
      <c r="AU71" s="16">
        <f t="shared" si="453"/>
        <v>712.5</v>
      </c>
      <c r="AV71" s="16">
        <f t="shared" si="454"/>
        <v>712.5</v>
      </c>
      <c r="AX71" s="16">
        <f t="shared" si="455"/>
        <v>3450</v>
      </c>
      <c r="AY71" s="16">
        <f t="shared" si="456"/>
        <v>862.5</v>
      </c>
      <c r="AZ71" s="16">
        <f t="shared" si="457"/>
        <v>862.5</v>
      </c>
      <c r="BA71" s="16">
        <f t="shared" si="458"/>
        <v>862.5</v>
      </c>
      <c r="BB71" s="16">
        <f t="shared" si="459"/>
        <v>862.5</v>
      </c>
      <c r="BD71" s="16">
        <f t="shared" si="460"/>
        <v>3450</v>
      </c>
      <c r="BE71" s="16">
        <f t="shared" si="461"/>
        <v>862.5</v>
      </c>
      <c r="BF71" s="16">
        <f t="shared" si="462"/>
        <v>862.5</v>
      </c>
      <c r="BG71" s="16">
        <f t="shared" si="463"/>
        <v>862.5</v>
      </c>
      <c r="BH71" s="16">
        <f t="shared" si="464"/>
        <v>862.5</v>
      </c>
      <c r="BJ71" s="16">
        <f t="shared" si="485"/>
        <v>5092.8899999999994</v>
      </c>
      <c r="BK71" s="16">
        <f t="shared" si="486"/>
        <v>948.75000000000011</v>
      </c>
      <c r="BL71" s="16">
        <f>BK71*(1+BL$2)</f>
        <v>1138.5</v>
      </c>
      <c r="BM71" s="16">
        <f t="shared" ref="BM71:BN71" si="493">BL71*(1+BM$2)</f>
        <v>1366.2</v>
      </c>
      <c r="BN71" s="16">
        <f t="shared" si="493"/>
        <v>1639.44</v>
      </c>
      <c r="BP71" s="16">
        <f t="shared" si="488"/>
        <v>10165.183776</v>
      </c>
      <c r="BQ71" s="16">
        <f>BN71*(1+BQ$2)</f>
        <v>1967.328</v>
      </c>
      <c r="BR71" s="16">
        <f>BQ71*(1+BR$2)</f>
        <v>2360.7936</v>
      </c>
      <c r="BS71" s="16">
        <f t="shared" ref="BS71:BT71" si="494">BR71*(1+BS$2)</f>
        <v>2714.9126399999996</v>
      </c>
      <c r="BT71" s="16">
        <f t="shared" si="494"/>
        <v>3122.1495359999994</v>
      </c>
      <c r="BV71" s="16">
        <f t="shared" si="490"/>
        <v>14646.432768937202</v>
      </c>
      <c r="BW71" s="16">
        <f t="shared" si="491"/>
        <v>3278.2570127999998</v>
      </c>
      <c r="BX71" s="16">
        <f>BW71*(1+BX$2)</f>
        <v>3606.0827140800002</v>
      </c>
      <c r="BY71" s="16">
        <f t="shared" ref="BY71:BZ71" si="495">BX71*(1+BY$2)</f>
        <v>3786.3868497840003</v>
      </c>
      <c r="BZ71" s="16">
        <f t="shared" si="495"/>
        <v>3975.7061922732005</v>
      </c>
    </row>
    <row r="72" spans="1:78" s="16" customFormat="1" x14ac:dyDescent="0.25"/>
    <row r="73" spans="1:78" s="16" customFormat="1" x14ac:dyDescent="0.25">
      <c r="B73" s="16" t="s">
        <v>54</v>
      </c>
      <c r="E73" s="17">
        <f>SUBTOTAL(9,E67:E72)</f>
        <v>13482.5</v>
      </c>
      <c r="F73" s="17">
        <f t="shared" ref="F73:P73" si="496">SUBTOTAL(9,F67:F72)</f>
        <v>13482.5</v>
      </c>
      <c r="G73" s="17">
        <f t="shared" si="496"/>
        <v>13482.5</v>
      </c>
      <c r="H73" s="17">
        <f t="shared" si="496"/>
        <v>13507.5</v>
      </c>
      <c r="I73" s="17">
        <f t="shared" si="496"/>
        <v>13507.5</v>
      </c>
      <c r="J73" s="17">
        <f t="shared" si="496"/>
        <v>13507.5</v>
      </c>
      <c r="K73" s="17">
        <f t="shared" si="496"/>
        <v>13507.5</v>
      </c>
      <c r="L73" s="17">
        <f t="shared" si="496"/>
        <v>13507.5</v>
      </c>
      <c r="M73" s="17">
        <f t="shared" si="496"/>
        <v>13507.5</v>
      </c>
      <c r="N73" s="17">
        <f t="shared" si="496"/>
        <v>13507.5</v>
      </c>
      <c r="O73" s="17">
        <f t="shared" si="496"/>
        <v>13507.5</v>
      </c>
      <c r="P73" s="17">
        <f t="shared" si="496"/>
        <v>13507.5</v>
      </c>
      <c r="R73" s="17">
        <f>SUBTOTAL(9,R67:R72)</f>
        <v>26457.5</v>
      </c>
      <c r="S73" s="17">
        <f t="shared" ref="S73" si="497">SUBTOTAL(9,S67:S72)</f>
        <v>26457.5</v>
      </c>
      <c r="T73" s="17">
        <f t="shared" ref="T73" si="498">SUBTOTAL(9,T67:T72)</f>
        <v>26457.5</v>
      </c>
      <c r="U73" s="17">
        <f t="shared" ref="U73" si="499">SUBTOTAL(9,U67:U72)</f>
        <v>26457.5</v>
      </c>
      <c r="V73" s="17">
        <f t="shared" ref="V73" si="500">SUBTOTAL(9,V67:V72)</f>
        <v>26457.5</v>
      </c>
      <c r="W73" s="17">
        <f t="shared" ref="W73" si="501">SUBTOTAL(9,W67:W72)</f>
        <v>26457.5</v>
      </c>
      <c r="X73" s="17">
        <f t="shared" ref="X73" si="502">SUBTOTAL(9,X67:X72)</f>
        <v>26457.5</v>
      </c>
      <c r="Y73" s="17">
        <f t="shared" ref="Y73" si="503">SUBTOTAL(9,Y67:Y72)</f>
        <v>26457.5</v>
      </c>
      <c r="Z73" s="17">
        <f t="shared" ref="Z73" si="504">SUBTOTAL(9,Z67:Z72)</f>
        <v>26457.5</v>
      </c>
      <c r="AA73" s="17">
        <f t="shared" ref="AA73" si="505">SUBTOTAL(9,AA67:AA72)</f>
        <v>26457.5</v>
      </c>
      <c r="AB73" s="17">
        <f t="shared" ref="AB73" si="506">SUBTOTAL(9,AB67:AB72)</f>
        <v>26457.5</v>
      </c>
      <c r="AC73" s="17">
        <f t="shared" ref="AC73:AP73" si="507">SUBTOTAL(9,AC67:AC72)</f>
        <v>26457.5</v>
      </c>
      <c r="AE73" s="17">
        <f t="shared" si="507"/>
        <v>27250</v>
      </c>
      <c r="AF73" s="17">
        <f t="shared" si="507"/>
        <v>27250</v>
      </c>
      <c r="AG73" s="17">
        <f t="shared" si="507"/>
        <v>27250</v>
      </c>
      <c r="AH73" s="17">
        <f t="shared" si="507"/>
        <v>27250</v>
      </c>
      <c r="AI73" s="17">
        <f t="shared" si="507"/>
        <v>27250</v>
      </c>
      <c r="AJ73" s="17">
        <f t="shared" si="507"/>
        <v>27250</v>
      </c>
      <c r="AK73" s="17">
        <f t="shared" si="507"/>
        <v>27250</v>
      </c>
      <c r="AL73" s="17">
        <f t="shared" si="507"/>
        <v>27250</v>
      </c>
      <c r="AM73" s="17">
        <f t="shared" si="507"/>
        <v>27250</v>
      </c>
      <c r="AN73" s="17">
        <f t="shared" si="507"/>
        <v>27250</v>
      </c>
      <c r="AO73" s="17">
        <f t="shared" si="507"/>
        <v>27250</v>
      </c>
      <c r="AP73" s="17">
        <f t="shared" si="507"/>
        <v>27250</v>
      </c>
      <c r="AR73" s="17">
        <f t="shared" ref="AR73:AV73" si="508">SUBTOTAL(9,AR67:AR72)</f>
        <v>162015</v>
      </c>
      <c r="AS73" s="17">
        <f t="shared" si="508"/>
        <v>40447.5</v>
      </c>
      <c r="AT73" s="17">
        <f t="shared" si="508"/>
        <v>40522.5</v>
      </c>
      <c r="AU73" s="17">
        <f t="shared" si="508"/>
        <v>40522.5</v>
      </c>
      <c r="AV73" s="17">
        <f t="shared" si="508"/>
        <v>40522.5</v>
      </c>
      <c r="AX73" s="17">
        <f t="shared" ref="AX73:BB73" si="509">SUBTOTAL(9,AX67:AX72)</f>
        <v>317490</v>
      </c>
      <c r="AY73" s="17">
        <f t="shared" si="509"/>
        <v>79372.5</v>
      </c>
      <c r="AZ73" s="17">
        <f t="shared" si="509"/>
        <v>79372.5</v>
      </c>
      <c r="BA73" s="17">
        <f t="shared" si="509"/>
        <v>79372.5</v>
      </c>
      <c r="BB73" s="17">
        <f t="shared" si="509"/>
        <v>79372.5</v>
      </c>
      <c r="BD73" s="17">
        <f t="shared" ref="BD73:BH73" si="510">SUBTOTAL(9,BD67:BD72)</f>
        <v>327000</v>
      </c>
      <c r="BE73" s="17">
        <f t="shared" si="510"/>
        <v>81750</v>
      </c>
      <c r="BF73" s="17">
        <f t="shared" si="510"/>
        <v>81750</v>
      </c>
      <c r="BG73" s="17">
        <f t="shared" si="510"/>
        <v>81750</v>
      </c>
      <c r="BH73" s="17">
        <f t="shared" si="510"/>
        <v>81750</v>
      </c>
      <c r="BJ73" s="17">
        <f t="shared" ref="BJ73:BZ73" si="511">SUBTOTAL(9,BJ67:BJ72)</f>
        <v>482717.4</v>
      </c>
      <c r="BK73" s="17">
        <f t="shared" si="511"/>
        <v>89925.000000000015</v>
      </c>
      <c r="BL73" s="17">
        <f t="shared" si="511"/>
        <v>107910.00000000001</v>
      </c>
      <c r="BM73" s="17">
        <f t="shared" si="511"/>
        <v>129492</v>
      </c>
      <c r="BN73" s="17">
        <f t="shared" si="511"/>
        <v>155390.39999999999</v>
      </c>
      <c r="BP73" s="17">
        <f t="shared" si="511"/>
        <v>963482.63615999999</v>
      </c>
      <c r="BQ73" s="17">
        <f t="shared" si="511"/>
        <v>186468.47999999998</v>
      </c>
      <c r="BR73" s="17">
        <f t="shared" si="511"/>
        <v>223762.17600000001</v>
      </c>
      <c r="BS73" s="17">
        <f t="shared" si="511"/>
        <v>257326.50239999997</v>
      </c>
      <c r="BT73" s="17">
        <f t="shared" si="511"/>
        <v>295925.47775999992</v>
      </c>
      <c r="BV73" s="17">
        <f t="shared" si="511"/>
        <v>1388227.1059253518</v>
      </c>
      <c r="BW73" s="17">
        <f t="shared" si="511"/>
        <v>310721.75164799998</v>
      </c>
      <c r="BX73" s="17">
        <f t="shared" si="511"/>
        <v>341793.92681279994</v>
      </c>
      <c r="BY73" s="17">
        <f t="shared" si="511"/>
        <v>358883.62315343996</v>
      </c>
      <c r="BZ73" s="17">
        <f t="shared" si="511"/>
        <v>376827.80431111204</v>
      </c>
    </row>
    <row r="74" spans="1:78" s="16" customFormat="1" x14ac:dyDescent="0.25"/>
    <row r="75" spans="1:78" s="16" customFormat="1" x14ac:dyDescent="0.25">
      <c r="B75" s="16" t="s">
        <v>55</v>
      </c>
      <c r="E75" s="17">
        <f>SUBTOTAL(9,E5:E74)</f>
        <v>153860</v>
      </c>
      <c r="F75" s="17">
        <f t="shared" ref="F75:P75" si="512">SUBTOTAL(9,F5:F74)</f>
        <v>92210</v>
      </c>
      <c r="G75" s="17">
        <f t="shared" si="512"/>
        <v>117210</v>
      </c>
      <c r="H75" s="17">
        <f t="shared" si="512"/>
        <v>92985</v>
      </c>
      <c r="I75" s="17">
        <f t="shared" si="512"/>
        <v>102235</v>
      </c>
      <c r="J75" s="17">
        <f t="shared" si="512"/>
        <v>118335</v>
      </c>
      <c r="K75" s="17">
        <f t="shared" si="512"/>
        <v>92985</v>
      </c>
      <c r="L75" s="17">
        <f t="shared" si="512"/>
        <v>92235</v>
      </c>
      <c r="M75" s="17">
        <f t="shared" si="512"/>
        <v>102235</v>
      </c>
      <c r="N75" s="17">
        <f t="shared" si="512"/>
        <v>92985</v>
      </c>
      <c r="O75" s="17">
        <f t="shared" si="512"/>
        <v>92235</v>
      </c>
      <c r="P75" s="17">
        <f t="shared" si="512"/>
        <v>112235</v>
      </c>
      <c r="R75" s="17">
        <f>SUBTOTAL(9,R5:R74)</f>
        <v>124035</v>
      </c>
      <c r="S75" s="17">
        <f t="shared" ref="S75" si="513">SUBTOTAL(9,S5:S74)</f>
        <v>108185</v>
      </c>
      <c r="T75" s="17">
        <f t="shared" ref="T75" si="514">SUBTOTAL(9,T5:T74)</f>
        <v>118185</v>
      </c>
      <c r="U75" s="17">
        <f t="shared" ref="U75" si="515">SUBTOTAL(9,U5:U74)</f>
        <v>108935</v>
      </c>
      <c r="V75" s="17">
        <f t="shared" ref="V75" si="516">SUBTOTAL(9,V5:V74)</f>
        <v>123485</v>
      </c>
      <c r="W75" s="17">
        <f t="shared" ref="W75" si="517">SUBTOTAL(9,W5:W74)</f>
        <v>134585</v>
      </c>
      <c r="X75" s="17">
        <f t="shared" ref="X75" si="518">SUBTOTAL(9,X5:X74)</f>
        <v>121965</v>
      </c>
      <c r="Y75" s="17">
        <f t="shared" ref="Y75" si="519">SUBTOTAL(9,Y5:Y74)</f>
        <v>121215</v>
      </c>
      <c r="Z75" s="17">
        <f t="shared" ref="Z75" si="520">SUBTOTAL(9,Z5:Z74)</f>
        <v>131215</v>
      </c>
      <c r="AA75" s="17">
        <f t="shared" ref="AA75" si="521">SUBTOTAL(9,AA5:AA74)</f>
        <v>121965</v>
      </c>
      <c r="AB75" s="17">
        <f t="shared" ref="AB75" si="522">SUBTOTAL(9,AB5:AB74)</f>
        <v>121215</v>
      </c>
      <c r="AC75" s="17">
        <f t="shared" ref="AC75:AP75" si="523">SUBTOTAL(9,AC5:AC74)</f>
        <v>121215</v>
      </c>
      <c r="AE75" s="17">
        <f t="shared" si="523"/>
        <v>123857.5</v>
      </c>
      <c r="AF75" s="17">
        <f t="shared" si="523"/>
        <v>123007.5</v>
      </c>
      <c r="AG75" s="17">
        <f t="shared" si="523"/>
        <v>133007.5</v>
      </c>
      <c r="AH75" s="17">
        <f t="shared" si="523"/>
        <v>123757.5</v>
      </c>
      <c r="AI75" s="17">
        <f t="shared" si="523"/>
        <v>128007.5</v>
      </c>
      <c r="AJ75" s="17">
        <f t="shared" si="523"/>
        <v>129107.5</v>
      </c>
      <c r="AK75" s="17">
        <f t="shared" si="523"/>
        <v>159947.5</v>
      </c>
      <c r="AL75" s="17">
        <f t="shared" si="523"/>
        <v>159197.5</v>
      </c>
      <c r="AM75" s="17">
        <f t="shared" si="523"/>
        <v>164197.5</v>
      </c>
      <c r="AN75" s="17">
        <f t="shared" si="523"/>
        <v>159947.5</v>
      </c>
      <c r="AO75" s="17">
        <f t="shared" si="523"/>
        <v>159197.5</v>
      </c>
      <c r="AP75" s="17">
        <f t="shared" si="523"/>
        <v>164197.5</v>
      </c>
      <c r="AR75" s="17">
        <f t="shared" ref="AR75:AV75" si="524">SUBTOTAL(9,AR5:AR74)</f>
        <v>1261745</v>
      </c>
      <c r="AS75" s="17">
        <f t="shared" si="524"/>
        <v>363280</v>
      </c>
      <c r="AT75" s="17">
        <f t="shared" si="524"/>
        <v>313555</v>
      </c>
      <c r="AU75" s="17">
        <f t="shared" si="524"/>
        <v>287455</v>
      </c>
      <c r="AV75" s="17">
        <f t="shared" si="524"/>
        <v>297455</v>
      </c>
      <c r="AX75" s="17">
        <f t="shared" ref="AX75:BB75" si="525">SUBTOTAL(9,AX5:AX74)</f>
        <v>1456200</v>
      </c>
      <c r="AY75" s="17">
        <f t="shared" si="525"/>
        <v>350405</v>
      </c>
      <c r="AZ75" s="17">
        <f t="shared" si="525"/>
        <v>367005</v>
      </c>
      <c r="BA75" s="17">
        <f t="shared" si="525"/>
        <v>374395</v>
      </c>
      <c r="BB75" s="17">
        <f t="shared" si="525"/>
        <v>364395</v>
      </c>
      <c r="BD75" s="17">
        <f t="shared" ref="BD75:BM75" si="526">SUBTOTAL(9,BD5:BD74)</f>
        <v>1727430</v>
      </c>
      <c r="BE75" s="17">
        <f t="shared" si="526"/>
        <v>379872.5</v>
      </c>
      <c r="BF75" s="17">
        <f t="shared" si="526"/>
        <v>380872.5</v>
      </c>
      <c r="BG75" s="17">
        <f t="shared" si="526"/>
        <v>483342.5</v>
      </c>
      <c r="BH75" s="17">
        <f>SUBTOTAL(9,BH5:BH74)</f>
        <v>483342.5</v>
      </c>
      <c r="BJ75" s="17">
        <f t="shared" si="526"/>
        <v>2024607.46</v>
      </c>
      <c r="BK75" s="17">
        <f t="shared" si="526"/>
        <v>442885</v>
      </c>
      <c r="BL75" s="17">
        <f t="shared" si="526"/>
        <v>472904.00000000006</v>
      </c>
      <c r="BM75" s="17">
        <f t="shared" si="526"/>
        <v>508926.8</v>
      </c>
      <c r="BN75" s="17">
        <f>SUBTOTAL(9,BN5:BN74)</f>
        <v>599891.66</v>
      </c>
      <c r="BP75" s="17">
        <f t="shared" ref="BP75:BS75" si="527">SUBTOTAL(9,BP5:BP74)</f>
        <v>3145309.0376640004</v>
      </c>
      <c r="BQ75" s="17">
        <f t="shared" si="527"/>
        <v>683589.49199999997</v>
      </c>
      <c r="BR75" s="17">
        <f t="shared" si="527"/>
        <v>761749.39039999992</v>
      </c>
      <c r="BS75" s="17">
        <f t="shared" si="527"/>
        <v>817772.04896000004</v>
      </c>
      <c r="BT75" s="17">
        <f>SUBTOTAL(9,BT5:BT74)</f>
        <v>882198.1063039999</v>
      </c>
      <c r="BV75" s="17">
        <f t="shared" ref="BV75:BY75" si="528">SUBTOTAL(9,BV5:BV74)</f>
        <v>5748196.2563684601</v>
      </c>
      <c r="BW75" s="17">
        <f t="shared" si="528"/>
        <v>1359178.7723392001</v>
      </c>
      <c r="BX75" s="17">
        <f t="shared" si="528"/>
        <v>1425770.1495731198</v>
      </c>
      <c r="BY75" s="17">
        <f t="shared" si="528"/>
        <v>1462395.4070517758</v>
      </c>
      <c r="BZ75" s="17">
        <f>SUBTOTAL(9,BZ5:BZ74)</f>
        <v>1500851.9274043646</v>
      </c>
    </row>
    <row r="76" spans="1:78" s="16" customFormat="1" x14ac:dyDescent="0.25"/>
    <row r="77" spans="1:78" s="16" customFormat="1" x14ac:dyDescent="0.25">
      <c r="A77" s="16" t="s">
        <v>56</v>
      </c>
    </row>
    <row r="78" spans="1:78" s="16" customFormat="1" x14ac:dyDescent="0.25">
      <c r="B78" s="16" t="s">
        <v>59</v>
      </c>
      <c r="C78" s="16" t="s">
        <v>60</v>
      </c>
      <c r="D78" s="16" t="s">
        <v>61</v>
      </c>
    </row>
    <row r="79" spans="1:78" s="16" customFormat="1" x14ac:dyDescent="0.25">
      <c r="B79" s="16" t="s">
        <v>62</v>
      </c>
    </row>
    <row r="80" spans="1:78" s="16" customFormat="1" x14ac:dyDescent="0.25">
      <c r="B80" s="16" t="s">
        <v>81</v>
      </c>
      <c r="C80" s="16">
        <v>150000</v>
      </c>
      <c r="D80" s="16" t="s">
        <v>0</v>
      </c>
      <c r="E80" s="16">
        <f>$C80/12</f>
        <v>12500</v>
      </c>
      <c r="F80" s="16">
        <f t="shared" ref="F80:P81" si="529">$C80/12</f>
        <v>12500</v>
      </c>
      <c r="G80" s="16">
        <f t="shared" si="529"/>
        <v>12500</v>
      </c>
      <c r="H80" s="16">
        <f t="shared" si="529"/>
        <v>12500</v>
      </c>
      <c r="I80" s="16">
        <f t="shared" si="529"/>
        <v>12500</v>
      </c>
      <c r="J80" s="16">
        <f t="shared" si="529"/>
        <v>12500</v>
      </c>
      <c r="K80" s="16">
        <f t="shared" si="529"/>
        <v>12500</v>
      </c>
      <c r="L80" s="16">
        <f t="shared" si="529"/>
        <v>12500</v>
      </c>
      <c r="M80" s="16">
        <f t="shared" si="529"/>
        <v>12500</v>
      </c>
      <c r="N80" s="16">
        <f t="shared" si="529"/>
        <v>12500</v>
      </c>
      <c r="O80" s="16">
        <f t="shared" si="529"/>
        <v>12500</v>
      </c>
      <c r="P80" s="16">
        <f t="shared" si="529"/>
        <v>12500</v>
      </c>
      <c r="R80" s="16">
        <f>$C80/12</f>
        <v>12500</v>
      </c>
      <c r="S80" s="16">
        <f t="shared" ref="S80:AH81" si="530">$C80/12</f>
        <v>12500</v>
      </c>
      <c r="T80" s="16">
        <f t="shared" si="530"/>
        <v>12500</v>
      </c>
      <c r="U80" s="16">
        <f t="shared" si="530"/>
        <v>12500</v>
      </c>
      <c r="V80" s="16">
        <f t="shared" si="530"/>
        <v>12500</v>
      </c>
      <c r="W80" s="16">
        <f t="shared" si="530"/>
        <v>12500</v>
      </c>
      <c r="X80" s="16">
        <f t="shared" si="530"/>
        <v>12500</v>
      </c>
      <c r="Y80" s="16">
        <f t="shared" si="530"/>
        <v>12500</v>
      </c>
      <c r="Z80" s="16">
        <f t="shared" si="530"/>
        <v>12500</v>
      </c>
      <c r="AA80" s="16">
        <f t="shared" si="530"/>
        <v>12500</v>
      </c>
      <c r="AB80" s="16">
        <f t="shared" si="530"/>
        <v>12500</v>
      </c>
      <c r="AC80" s="16">
        <f t="shared" si="530"/>
        <v>12500</v>
      </c>
      <c r="AE80" s="16">
        <f t="shared" si="530"/>
        <v>12500</v>
      </c>
      <c r="AF80" s="16">
        <f t="shared" si="530"/>
        <v>12500</v>
      </c>
      <c r="AG80" s="16">
        <f t="shared" si="530"/>
        <v>12500</v>
      </c>
      <c r="AH80" s="16">
        <f t="shared" si="530"/>
        <v>12500</v>
      </c>
      <c r="AI80" s="16">
        <f t="shared" ref="AH80:AP81" si="531">$C80/12</f>
        <v>12500</v>
      </c>
      <c r="AJ80" s="16">
        <f t="shared" si="531"/>
        <v>12500</v>
      </c>
      <c r="AK80" s="16">
        <f t="shared" si="531"/>
        <v>12500</v>
      </c>
      <c r="AL80" s="16">
        <f t="shared" si="531"/>
        <v>12500</v>
      </c>
      <c r="AM80" s="16">
        <f t="shared" si="531"/>
        <v>12500</v>
      </c>
      <c r="AN80" s="16">
        <f t="shared" si="531"/>
        <v>12500</v>
      </c>
      <c r="AO80" s="16">
        <f t="shared" si="531"/>
        <v>12500</v>
      </c>
      <c r="AP80" s="16">
        <f t="shared" si="531"/>
        <v>12500</v>
      </c>
      <c r="AR80" s="16">
        <f>SUM(AS80:AV80)</f>
        <v>150000</v>
      </c>
      <c r="AS80" s="16">
        <f t="shared" ref="AS80:AS81" si="532">SUM(E80:G80)</f>
        <v>37500</v>
      </c>
      <c r="AT80" s="16">
        <f t="shared" ref="AT80:AT81" si="533">SUM(H80:J80)</f>
        <v>37500</v>
      </c>
      <c r="AU80" s="16">
        <f t="shared" ref="AU80:AU81" si="534">SUM(K80:M80)</f>
        <v>37500</v>
      </c>
      <c r="AV80" s="16">
        <f t="shared" ref="AV80" si="535">SUM(N80:P80)</f>
        <v>37500</v>
      </c>
      <c r="AX80" s="16">
        <f t="shared" ref="AX80" si="536">SUM(R80:AC80)</f>
        <v>150000</v>
      </c>
      <c r="AY80" s="16">
        <f t="shared" ref="AY80" si="537">SUM(R80:T80)</f>
        <v>37500</v>
      </c>
      <c r="AZ80" s="16">
        <f t="shared" ref="AZ80" si="538">SUM(U80:W80)</f>
        <v>37500</v>
      </c>
      <c r="BA80" s="16">
        <f t="shared" ref="BA80" si="539">SUM(X80:Z80)</f>
        <v>37500</v>
      </c>
      <c r="BB80" s="16">
        <f t="shared" ref="BB80" si="540">SUM(AA80:AC80)</f>
        <v>37500</v>
      </c>
      <c r="BD80" s="16">
        <f t="shared" ref="BD80" si="541">SUM(AE80:AP80)</f>
        <v>150000</v>
      </c>
      <c r="BE80" s="16">
        <f t="shared" ref="BE80" si="542">SUM(AE80:AG80)</f>
        <v>37500</v>
      </c>
      <c r="BF80" s="16">
        <f t="shared" ref="BF80" si="543">SUM(AH80:AJ80)</f>
        <v>37500</v>
      </c>
      <c r="BG80" s="16">
        <f t="shared" ref="BG80" si="544">SUM(AK80:AM80)</f>
        <v>37500</v>
      </c>
      <c r="BH80" s="16">
        <f t="shared" ref="BH80" si="545">SUM(AN80:AP80)</f>
        <v>37500</v>
      </c>
      <c r="BJ80" s="16">
        <f t="shared" ref="BJ80:BJ85" si="546">SUM(BK80:BN80)</f>
        <v>150000</v>
      </c>
      <c r="BK80" s="16">
        <f>$C80/4</f>
        <v>37500</v>
      </c>
      <c r="BL80" s="16">
        <f t="shared" ref="BL80:BN81" si="547">$C80/4</f>
        <v>37500</v>
      </c>
      <c r="BM80" s="16">
        <f t="shared" si="547"/>
        <v>37500</v>
      </c>
      <c r="BN80" s="16">
        <f t="shared" si="547"/>
        <v>37500</v>
      </c>
      <c r="BP80" s="16">
        <f t="shared" ref="BP80:BP88" si="548">SUM(BQ80:BT80)</f>
        <v>150000</v>
      </c>
      <c r="BQ80" s="16">
        <f t="shared" ref="BQ80:BT88" si="549">$C80/4</f>
        <v>37500</v>
      </c>
      <c r="BR80" s="16">
        <f t="shared" si="549"/>
        <v>37500</v>
      </c>
      <c r="BS80" s="16">
        <f t="shared" si="549"/>
        <v>37500</v>
      </c>
      <c r="BT80" s="16">
        <f t="shared" si="549"/>
        <v>37500</v>
      </c>
      <c r="BV80" s="16">
        <f t="shared" ref="BV80:BV88" si="550">SUM(BW80:BZ80)</f>
        <v>150000</v>
      </c>
      <c r="BW80" s="16">
        <f t="shared" ref="BW80:BZ88" si="551">$C80/4</f>
        <v>37500</v>
      </c>
      <c r="BX80" s="16">
        <f t="shared" si="551"/>
        <v>37500</v>
      </c>
      <c r="BY80" s="16">
        <f t="shared" si="551"/>
        <v>37500</v>
      </c>
      <c r="BZ80" s="16">
        <f t="shared" ref="BZ80:BZ81" si="552">$C80/4</f>
        <v>37500</v>
      </c>
    </row>
    <row r="81" spans="1:78" s="16" customFormat="1" x14ac:dyDescent="0.25">
      <c r="B81" s="16" t="s">
        <v>82</v>
      </c>
      <c r="C81" s="16">
        <v>150000</v>
      </c>
      <c r="D81" s="16" t="s">
        <v>0</v>
      </c>
      <c r="E81" s="16">
        <f t="shared" ref="E81:R81" si="553">$C81/12</f>
        <v>12500</v>
      </c>
      <c r="F81" s="16">
        <f t="shared" si="529"/>
        <v>12500</v>
      </c>
      <c r="G81" s="16">
        <f t="shared" si="529"/>
        <v>12500</v>
      </c>
      <c r="H81" s="16">
        <f t="shared" si="529"/>
        <v>12500</v>
      </c>
      <c r="I81" s="16">
        <f t="shared" si="529"/>
        <v>12500</v>
      </c>
      <c r="J81" s="16">
        <f t="shared" si="529"/>
        <v>12500</v>
      </c>
      <c r="K81" s="16">
        <f t="shared" si="529"/>
        <v>12500</v>
      </c>
      <c r="L81" s="16">
        <f t="shared" si="529"/>
        <v>12500</v>
      </c>
      <c r="M81" s="16">
        <f t="shared" si="529"/>
        <v>12500</v>
      </c>
      <c r="N81" s="16">
        <f t="shared" si="529"/>
        <v>12500</v>
      </c>
      <c r="O81" s="16">
        <f t="shared" si="529"/>
        <v>12500</v>
      </c>
      <c r="P81" s="16">
        <f t="shared" si="529"/>
        <v>12500</v>
      </c>
      <c r="R81" s="16">
        <f t="shared" si="553"/>
        <v>12500</v>
      </c>
      <c r="S81" s="16">
        <f t="shared" si="530"/>
        <v>12500</v>
      </c>
      <c r="T81" s="16">
        <f t="shared" si="530"/>
        <v>12500</v>
      </c>
      <c r="U81" s="16">
        <f t="shared" si="530"/>
        <v>12500</v>
      </c>
      <c r="V81" s="16">
        <f t="shared" si="530"/>
        <v>12500</v>
      </c>
      <c r="W81" s="16">
        <f t="shared" si="530"/>
        <v>12500</v>
      </c>
      <c r="X81" s="16">
        <f t="shared" si="530"/>
        <v>12500</v>
      </c>
      <c r="Y81" s="16">
        <f t="shared" si="530"/>
        <v>12500</v>
      </c>
      <c r="Z81" s="16">
        <f t="shared" si="530"/>
        <v>12500</v>
      </c>
      <c r="AA81" s="16">
        <f t="shared" si="530"/>
        <v>12500</v>
      </c>
      <c r="AB81" s="16">
        <f t="shared" si="530"/>
        <v>12500</v>
      </c>
      <c r="AC81" s="16">
        <f t="shared" si="530"/>
        <v>12500</v>
      </c>
      <c r="AE81" s="16">
        <f t="shared" si="530"/>
        <v>12500</v>
      </c>
      <c r="AF81" s="16">
        <f t="shared" si="530"/>
        <v>12500</v>
      </c>
      <c r="AG81" s="16">
        <f t="shared" si="530"/>
        <v>12500</v>
      </c>
      <c r="AH81" s="16">
        <f t="shared" si="531"/>
        <v>12500</v>
      </c>
      <c r="AI81" s="16">
        <f t="shared" si="531"/>
        <v>12500</v>
      </c>
      <c r="AJ81" s="16">
        <f t="shared" si="531"/>
        <v>12500</v>
      </c>
      <c r="AK81" s="16">
        <f t="shared" si="531"/>
        <v>12500</v>
      </c>
      <c r="AL81" s="16">
        <f t="shared" si="531"/>
        <v>12500</v>
      </c>
      <c r="AM81" s="16">
        <f t="shared" si="531"/>
        <v>12500</v>
      </c>
      <c r="AN81" s="16">
        <f t="shared" si="531"/>
        <v>12500</v>
      </c>
      <c r="AO81" s="16">
        <f t="shared" si="531"/>
        <v>12500</v>
      </c>
      <c r="AP81" s="16">
        <f t="shared" si="531"/>
        <v>12500</v>
      </c>
      <c r="AR81" s="16">
        <f>SUM(AS81:AV81)</f>
        <v>150000</v>
      </c>
      <c r="AS81" s="16">
        <f t="shared" si="532"/>
        <v>37500</v>
      </c>
      <c r="AT81" s="16">
        <f t="shared" si="533"/>
        <v>37500</v>
      </c>
      <c r="AU81" s="16">
        <f t="shared" si="534"/>
        <v>37500</v>
      </c>
      <c r="AV81" s="16">
        <f>SUM(N81:P81)</f>
        <v>37500</v>
      </c>
      <c r="AX81" s="16">
        <f t="shared" ref="AX81" si="554">SUM(R81:AC81)</f>
        <v>150000</v>
      </c>
      <c r="AY81" s="16">
        <f t="shared" ref="AY81" si="555">SUM(R81:T81)</f>
        <v>37500</v>
      </c>
      <c r="AZ81" s="16">
        <f t="shared" ref="AZ81" si="556">SUM(U81:W81)</f>
        <v>37500</v>
      </c>
      <c r="BA81" s="16">
        <f t="shared" ref="BA81" si="557">SUM(X81:Z81)</f>
        <v>37500</v>
      </c>
      <c r="BB81" s="16">
        <f t="shared" ref="BB81" si="558">SUM(AA81:AC81)</f>
        <v>37500</v>
      </c>
      <c r="BD81" s="16">
        <f t="shared" ref="BD81" si="559">SUM(AE81:AP81)</f>
        <v>150000</v>
      </c>
      <c r="BE81" s="16">
        <f t="shared" ref="BE81" si="560">SUM(AE81:AG81)</f>
        <v>37500</v>
      </c>
      <c r="BF81" s="16">
        <f t="shared" ref="BF81" si="561">SUM(AH81:AJ81)</f>
        <v>37500</v>
      </c>
      <c r="BG81" s="16">
        <f t="shared" ref="BG81" si="562">SUM(AK81:AM81)</f>
        <v>37500</v>
      </c>
      <c r="BH81" s="16">
        <f t="shared" ref="BH81" si="563">SUM(AN81:AP81)</f>
        <v>37500</v>
      </c>
      <c r="BJ81" s="16">
        <f t="shared" si="546"/>
        <v>150000</v>
      </c>
      <c r="BK81" s="16">
        <f>$C81/4</f>
        <v>37500</v>
      </c>
      <c r="BL81" s="16">
        <f t="shared" si="547"/>
        <v>37500</v>
      </c>
      <c r="BM81" s="16">
        <f t="shared" si="547"/>
        <v>37500</v>
      </c>
      <c r="BN81" s="16">
        <f t="shared" si="547"/>
        <v>37500</v>
      </c>
      <c r="BP81" s="16">
        <f t="shared" si="548"/>
        <v>150000</v>
      </c>
      <c r="BQ81" s="16">
        <f t="shared" si="549"/>
        <v>37500</v>
      </c>
      <c r="BR81" s="16">
        <f t="shared" si="549"/>
        <v>37500</v>
      </c>
      <c r="BS81" s="16">
        <f t="shared" si="549"/>
        <v>37500</v>
      </c>
      <c r="BT81" s="16">
        <f t="shared" si="549"/>
        <v>37500</v>
      </c>
      <c r="BV81" s="16">
        <f t="shared" si="550"/>
        <v>150000</v>
      </c>
      <c r="BW81" s="16">
        <f t="shared" si="551"/>
        <v>37500</v>
      </c>
      <c r="BX81" s="16">
        <f t="shared" si="551"/>
        <v>37500</v>
      </c>
      <c r="BY81" s="16">
        <f t="shared" si="551"/>
        <v>37500</v>
      </c>
      <c r="BZ81" s="16">
        <f t="shared" si="552"/>
        <v>37500</v>
      </c>
    </row>
    <row r="82" spans="1:78" s="16" customFormat="1" x14ac:dyDescent="0.25">
      <c r="B82" s="16" t="s">
        <v>846</v>
      </c>
      <c r="C82" s="16">
        <v>200000</v>
      </c>
      <c r="D82" s="16" t="s">
        <v>847</v>
      </c>
      <c r="BJ82" s="16">
        <f t="shared" si="546"/>
        <v>25000</v>
      </c>
      <c r="BN82" s="16">
        <f>$C82/4/2</f>
        <v>25000</v>
      </c>
      <c r="BP82" s="16">
        <f t="shared" si="548"/>
        <v>200000</v>
      </c>
      <c r="BQ82" s="16">
        <f>$C82/4</f>
        <v>50000</v>
      </c>
      <c r="BR82" s="16">
        <f t="shared" si="549"/>
        <v>50000</v>
      </c>
      <c r="BS82" s="16">
        <f t="shared" si="549"/>
        <v>50000</v>
      </c>
      <c r="BT82" s="16">
        <f t="shared" si="549"/>
        <v>50000</v>
      </c>
      <c r="BV82" s="16">
        <f t="shared" si="550"/>
        <v>200000</v>
      </c>
      <c r="BW82" s="16">
        <f t="shared" ref="BW82:BW88" si="564">$C82/4</f>
        <v>50000</v>
      </c>
      <c r="BX82" s="16">
        <f t="shared" si="551"/>
        <v>50000</v>
      </c>
      <c r="BY82" s="16">
        <f t="shared" si="551"/>
        <v>50000</v>
      </c>
      <c r="BZ82" s="16">
        <f t="shared" si="551"/>
        <v>50000</v>
      </c>
    </row>
    <row r="83" spans="1:78" s="16" customFormat="1" x14ac:dyDescent="0.25">
      <c r="B83" s="16" t="s">
        <v>850</v>
      </c>
      <c r="C83" s="16">
        <v>120000</v>
      </c>
      <c r="D83" s="16" t="s">
        <v>851</v>
      </c>
      <c r="AK83" s="16">
        <f>$C83/4</f>
        <v>30000</v>
      </c>
      <c r="AL83" s="16">
        <f t="shared" ref="AL83:AP83" si="565">$C83/4</f>
        <v>30000</v>
      </c>
      <c r="AM83" s="16">
        <f t="shared" si="565"/>
        <v>30000</v>
      </c>
      <c r="AN83" s="16">
        <f t="shared" si="565"/>
        <v>30000</v>
      </c>
      <c r="AO83" s="16">
        <f t="shared" si="565"/>
        <v>30000</v>
      </c>
      <c r="AP83" s="16">
        <f t="shared" si="565"/>
        <v>30000</v>
      </c>
      <c r="BD83" s="16">
        <f t="shared" ref="BD83:BD88" si="566">SUM(AE83:AP83)</f>
        <v>180000</v>
      </c>
      <c r="BE83" s="16">
        <f t="shared" ref="BE83:BE88" si="567">SUM(AE83:AG83)</f>
        <v>0</v>
      </c>
      <c r="BF83" s="16">
        <f t="shared" ref="BF83:BF88" si="568">SUM(AH83:AJ83)</f>
        <v>0</v>
      </c>
      <c r="BG83" s="16">
        <f t="shared" ref="BG83:BG88" si="569">SUM(AK83:AM83)</f>
        <v>90000</v>
      </c>
      <c r="BH83" s="16">
        <f t="shared" ref="BH83:BH88" si="570">SUM(AN83:AP83)</f>
        <v>90000</v>
      </c>
      <c r="BJ83" s="16">
        <f t="shared" si="546"/>
        <v>120000</v>
      </c>
      <c r="BK83" s="16">
        <f>$C83/4</f>
        <v>30000</v>
      </c>
      <c r="BL83" s="16">
        <f t="shared" ref="BK83:BN88" si="571">$C83/4</f>
        <v>30000</v>
      </c>
      <c r="BM83" s="16">
        <f t="shared" si="571"/>
        <v>30000</v>
      </c>
      <c r="BN83" s="16">
        <f t="shared" si="571"/>
        <v>30000</v>
      </c>
      <c r="BP83" s="16">
        <f t="shared" si="548"/>
        <v>120000</v>
      </c>
      <c r="BQ83" s="16">
        <f>$C83/4</f>
        <v>30000</v>
      </c>
      <c r="BR83" s="16">
        <f t="shared" si="549"/>
        <v>30000</v>
      </c>
      <c r="BS83" s="16">
        <f t="shared" si="549"/>
        <v>30000</v>
      </c>
      <c r="BT83" s="16">
        <f t="shared" si="549"/>
        <v>30000</v>
      </c>
      <c r="BV83" s="16">
        <f t="shared" si="550"/>
        <v>120000</v>
      </c>
      <c r="BW83" s="16">
        <f t="shared" si="564"/>
        <v>30000</v>
      </c>
      <c r="BX83" s="16">
        <f t="shared" si="551"/>
        <v>30000</v>
      </c>
      <c r="BY83" s="16">
        <f t="shared" si="551"/>
        <v>30000</v>
      </c>
      <c r="BZ83" s="16">
        <f t="shared" si="551"/>
        <v>30000</v>
      </c>
    </row>
    <row r="84" spans="1:78" s="16" customFormat="1" x14ac:dyDescent="0.25">
      <c r="B84" s="16" t="s">
        <v>852</v>
      </c>
      <c r="C84" s="16">
        <v>70000</v>
      </c>
      <c r="D84" s="16" t="s">
        <v>855</v>
      </c>
      <c r="BJ84" s="16">
        <f t="shared" si="546"/>
        <v>70000</v>
      </c>
      <c r="BK84" s="16">
        <f>$C84/4</f>
        <v>17500</v>
      </c>
      <c r="BL84" s="16">
        <f t="shared" si="571"/>
        <v>17500</v>
      </c>
      <c r="BM84" s="16">
        <f t="shared" si="571"/>
        <v>17500</v>
      </c>
      <c r="BN84" s="16">
        <f t="shared" si="571"/>
        <v>17500</v>
      </c>
      <c r="BP84" s="16">
        <f t="shared" si="548"/>
        <v>70000</v>
      </c>
      <c r="BQ84" s="16">
        <f>$C84/4</f>
        <v>17500</v>
      </c>
      <c r="BR84" s="16">
        <f t="shared" si="549"/>
        <v>17500</v>
      </c>
      <c r="BS84" s="16">
        <f t="shared" si="549"/>
        <v>17500</v>
      </c>
      <c r="BT84" s="16">
        <f t="shared" si="549"/>
        <v>17500</v>
      </c>
      <c r="BV84" s="16">
        <f t="shared" si="550"/>
        <v>70000</v>
      </c>
      <c r="BW84" s="16">
        <f t="shared" si="564"/>
        <v>17500</v>
      </c>
      <c r="BX84" s="16">
        <f t="shared" si="551"/>
        <v>17500</v>
      </c>
      <c r="BY84" s="16">
        <f t="shared" si="551"/>
        <v>17500</v>
      </c>
      <c r="BZ84" s="16">
        <f t="shared" si="551"/>
        <v>17500</v>
      </c>
    </row>
    <row r="85" spans="1:78" s="16" customFormat="1" x14ac:dyDescent="0.25">
      <c r="B85" s="16" t="s">
        <v>853</v>
      </c>
      <c r="C85" s="16">
        <v>50000</v>
      </c>
      <c r="D85" s="16" t="s">
        <v>856</v>
      </c>
      <c r="BJ85" s="16">
        <f t="shared" si="546"/>
        <v>12500</v>
      </c>
      <c r="BN85" s="16">
        <f t="shared" si="571"/>
        <v>12500</v>
      </c>
      <c r="BP85" s="16">
        <f t="shared" si="548"/>
        <v>50000</v>
      </c>
      <c r="BQ85" s="16">
        <f>$C85/4</f>
        <v>12500</v>
      </c>
      <c r="BR85" s="16">
        <f t="shared" si="549"/>
        <v>12500</v>
      </c>
      <c r="BS85" s="16">
        <f t="shared" si="549"/>
        <v>12500</v>
      </c>
      <c r="BT85" s="16">
        <f t="shared" si="549"/>
        <v>12500</v>
      </c>
      <c r="BV85" s="16">
        <f t="shared" si="550"/>
        <v>50000</v>
      </c>
      <c r="BW85" s="16">
        <f t="shared" si="564"/>
        <v>12500</v>
      </c>
      <c r="BX85" s="16">
        <f t="shared" si="551"/>
        <v>12500</v>
      </c>
      <c r="BY85" s="16">
        <f t="shared" si="551"/>
        <v>12500</v>
      </c>
      <c r="BZ85" s="16">
        <f t="shared" si="551"/>
        <v>12500</v>
      </c>
    </row>
    <row r="86" spans="1:78" s="16" customFormat="1" x14ac:dyDescent="0.25">
      <c r="B86" s="16" t="s">
        <v>854</v>
      </c>
      <c r="C86" s="16">
        <v>50000</v>
      </c>
      <c r="D86" s="16" t="s">
        <v>857</v>
      </c>
      <c r="BP86" s="16">
        <f t="shared" si="548"/>
        <v>37500</v>
      </c>
      <c r="BR86" s="16">
        <f t="shared" si="549"/>
        <v>12500</v>
      </c>
      <c r="BS86" s="16">
        <f t="shared" si="549"/>
        <v>12500</v>
      </c>
      <c r="BT86" s="16">
        <f t="shared" si="549"/>
        <v>12500</v>
      </c>
      <c r="BV86" s="16">
        <f t="shared" si="550"/>
        <v>50000</v>
      </c>
      <c r="BW86" s="16">
        <f t="shared" si="564"/>
        <v>12500</v>
      </c>
      <c r="BX86" s="16">
        <f t="shared" si="551"/>
        <v>12500</v>
      </c>
      <c r="BY86" s="16">
        <f t="shared" si="551"/>
        <v>12500</v>
      </c>
      <c r="BZ86" s="16">
        <f t="shared" si="551"/>
        <v>12500</v>
      </c>
    </row>
    <row r="87" spans="1:78" s="16" customFormat="1" x14ac:dyDescent="0.25">
      <c r="B87" s="16" t="s">
        <v>860</v>
      </c>
      <c r="C87" s="16">
        <v>120000</v>
      </c>
      <c r="D87" s="16" t="s">
        <v>861</v>
      </c>
      <c r="X87" s="16">
        <f>$C87/12</f>
        <v>10000</v>
      </c>
      <c r="Y87" s="16">
        <f t="shared" ref="Y87:AP88" si="572">$C87/12</f>
        <v>10000</v>
      </c>
      <c r="Z87" s="16">
        <f t="shared" si="572"/>
        <v>10000</v>
      </c>
      <c r="AA87" s="16">
        <f t="shared" si="572"/>
        <v>10000</v>
      </c>
      <c r="AB87" s="16">
        <f t="shared" si="572"/>
        <v>10000</v>
      </c>
      <c r="AC87" s="16">
        <f t="shared" si="572"/>
        <v>10000</v>
      </c>
      <c r="AE87" s="16">
        <f t="shared" si="572"/>
        <v>10000</v>
      </c>
      <c r="AF87" s="16">
        <f t="shared" si="572"/>
        <v>10000</v>
      </c>
      <c r="AG87" s="16">
        <f t="shared" si="572"/>
        <v>10000</v>
      </c>
      <c r="AH87" s="16">
        <f t="shared" si="572"/>
        <v>10000</v>
      </c>
      <c r="AI87" s="16">
        <f t="shared" si="572"/>
        <v>10000</v>
      </c>
      <c r="AJ87" s="16">
        <f t="shared" si="572"/>
        <v>10000</v>
      </c>
      <c r="AK87" s="16">
        <f t="shared" si="572"/>
        <v>10000</v>
      </c>
      <c r="AL87" s="16">
        <f t="shared" si="572"/>
        <v>10000</v>
      </c>
      <c r="AM87" s="16">
        <f t="shared" si="572"/>
        <v>10000</v>
      </c>
      <c r="AN87" s="16">
        <f t="shared" si="572"/>
        <v>10000</v>
      </c>
      <c r="AO87" s="16">
        <f t="shared" si="572"/>
        <v>10000</v>
      </c>
      <c r="AP87" s="16">
        <f t="shared" si="572"/>
        <v>10000</v>
      </c>
      <c r="AX87" s="16">
        <f t="shared" ref="AX87:AX88" si="573">SUM(R87:AC87)</f>
        <v>60000</v>
      </c>
      <c r="BA87" s="16">
        <f t="shared" ref="BA87:BA88" si="574">SUM(X87:Z87)</f>
        <v>30000</v>
      </c>
      <c r="BB87" s="16">
        <f t="shared" ref="BB87:BB88" si="575">SUM(AA87:AC87)</f>
        <v>30000</v>
      </c>
      <c r="BD87" s="16">
        <f t="shared" si="566"/>
        <v>120000</v>
      </c>
      <c r="BE87" s="16">
        <f t="shared" si="567"/>
        <v>30000</v>
      </c>
      <c r="BF87" s="16">
        <f t="shared" si="568"/>
        <v>30000</v>
      </c>
      <c r="BG87" s="16">
        <f t="shared" si="569"/>
        <v>30000</v>
      </c>
      <c r="BH87" s="16">
        <f t="shared" si="570"/>
        <v>30000</v>
      </c>
      <c r="BJ87" s="16">
        <f t="shared" ref="BJ87:BJ88" si="576">SUM(BK87:BN87)</f>
        <v>120000</v>
      </c>
      <c r="BK87" s="16">
        <f t="shared" si="571"/>
        <v>30000</v>
      </c>
      <c r="BL87" s="16">
        <f t="shared" si="571"/>
        <v>30000</v>
      </c>
      <c r="BM87" s="16">
        <f t="shared" si="571"/>
        <v>30000</v>
      </c>
      <c r="BN87" s="16">
        <f t="shared" si="571"/>
        <v>30000</v>
      </c>
      <c r="BP87" s="16">
        <f t="shared" si="548"/>
        <v>120000</v>
      </c>
      <c r="BQ87" s="16">
        <f t="shared" si="549"/>
        <v>30000</v>
      </c>
      <c r="BR87" s="16">
        <f t="shared" si="549"/>
        <v>30000</v>
      </c>
      <c r="BS87" s="16">
        <f t="shared" si="549"/>
        <v>30000</v>
      </c>
      <c r="BT87" s="16">
        <f t="shared" si="549"/>
        <v>30000</v>
      </c>
      <c r="BV87" s="16">
        <f t="shared" si="550"/>
        <v>120000</v>
      </c>
      <c r="BW87" s="16">
        <f t="shared" si="564"/>
        <v>30000</v>
      </c>
      <c r="BX87" s="16">
        <f t="shared" si="551"/>
        <v>30000</v>
      </c>
      <c r="BY87" s="16">
        <f t="shared" si="551"/>
        <v>30000</v>
      </c>
      <c r="BZ87" s="16">
        <f t="shared" si="551"/>
        <v>30000</v>
      </c>
    </row>
    <row r="88" spans="1:78" s="16" customFormat="1" x14ac:dyDescent="0.25">
      <c r="B88" s="16" t="s">
        <v>1131</v>
      </c>
      <c r="C88" s="16">
        <v>310000</v>
      </c>
      <c r="D88" s="16" t="s">
        <v>0</v>
      </c>
      <c r="E88" s="16">
        <f>$C88/12</f>
        <v>25833.333333333332</v>
      </c>
      <c r="F88" s="16">
        <f t="shared" ref="F88:P88" si="577">$C88/12</f>
        <v>25833.333333333332</v>
      </c>
      <c r="G88" s="16">
        <f t="shared" si="577"/>
        <v>25833.333333333332</v>
      </c>
      <c r="H88" s="16">
        <f t="shared" si="577"/>
        <v>25833.333333333332</v>
      </c>
      <c r="I88" s="16">
        <f t="shared" si="577"/>
        <v>25833.333333333332</v>
      </c>
      <c r="J88" s="16">
        <f t="shared" si="577"/>
        <v>25833.333333333332</v>
      </c>
      <c r="K88" s="16">
        <f t="shared" si="577"/>
        <v>25833.333333333332</v>
      </c>
      <c r="L88" s="16">
        <f t="shared" si="577"/>
        <v>25833.333333333332</v>
      </c>
      <c r="M88" s="16">
        <f t="shared" si="577"/>
        <v>25833.333333333332</v>
      </c>
      <c r="N88" s="16">
        <f t="shared" si="577"/>
        <v>25833.333333333332</v>
      </c>
      <c r="O88" s="16">
        <f t="shared" si="577"/>
        <v>25833.333333333332</v>
      </c>
      <c r="P88" s="16">
        <f t="shared" si="577"/>
        <v>25833.333333333332</v>
      </c>
      <c r="R88" s="16">
        <f>$C88/12</f>
        <v>25833.333333333332</v>
      </c>
      <c r="S88" s="16">
        <f t="shared" ref="S88:X88" si="578">$C88/12</f>
        <v>25833.333333333332</v>
      </c>
      <c r="T88" s="16">
        <f t="shared" si="578"/>
        <v>25833.333333333332</v>
      </c>
      <c r="U88" s="16">
        <f t="shared" si="578"/>
        <v>25833.333333333332</v>
      </c>
      <c r="V88" s="16">
        <f t="shared" si="578"/>
        <v>25833.333333333332</v>
      </c>
      <c r="W88" s="16">
        <f t="shared" si="578"/>
        <v>25833.333333333332</v>
      </c>
      <c r="X88" s="16">
        <f t="shared" si="578"/>
        <v>25833.333333333332</v>
      </c>
      <c r="Y88" s="16">
        <f t="shared" si="572"/>
        <v>25833.333333333332</v>
      </c>
      <c r="Z88" s="16">
        <f t="shared" si="572"/>
        <v>25833.333333333332</v>
      </c>
      <c r="AA88" s="16">
        <f t="shared" si="572"/>
        <v>25833.333333333332</v>
      </c>
      <c r="AB88" s="16">
        <f t="shared" si="572"/>
        <v>25833.333333333332</v>
      </c>
      <c r="AC88" s="16">
        <f t="shared" si="572"/>
        <v>25833.333333333332</v>
      </c>
      <c r="AE88" s="16">
        <f>$C88/12</f>
        <v>25833.333333333332</v>
      </c>
      <c r="AF88" s="16">
        <f t="shared" si="572"/>
        <v>25833.333333333332</v>
      </c>
      <c r="AG88" s="16">
        <f t="shared" si="572"/>
        <v>25833.333333333332</v>
      </c>
      <c r="AH88" s="16">
        <f t="shared" si="572"/>
        <v>25833.333333333332</v>
      </c>
      <c r="AI88" s="16">
        <f t="shared" si="572"/>
        <v>25833.333333333332</v>
      </c>
      <c r="AJ88" s="16">
        <f t="shared" si="572"/>
        <v>25833.333333333332</v>
      </c>
      <c r="AK88" s="16">
        <f t="shared" si="572"/>
        <v>25833.333333333332</v>
      </c>
      <c r="AL88" s="16">
        <f t="shared" si="572"/>
        <v>25833.333333333332</v>
      </c>
      <c r="AM88" s="16">
        <f t="shared" si="572"/>
        <v>25833.333333333332</v>
      </c>
      <c r="AN88" s="16">
        <f t="shared" si="572"/>
        <v>25833.333333333332</v>
      </c>
      <c r="AO88" s="16">
        <f t="shared" si="572"/>
        <v>25833.333333333332</v>
      </c>
      <c r="AP88" s="16">
        <f t="shared" si="572"/>
        <v>25833.333333333332</v>
      </c>
      <c r="AR88" s="16">
        <f>SUM(AS88:AV88)</f>
        <v>310000</v>
      </c>
      <c r="AS88" s="16">
        <f t="shared" ref="AS88" si="579">SUM(E88:G88)</f>
        <v>77500</v>
      </c>
      <c r="AT88" s="16">
        <f t="shared" ref="AT88" si="580">SUM(H88:J88)</f>
        <v>77500</v>
      </c>
      <c r="AU88" s="16">
        <f t="shared" ref="AU88" si="581">SUM(K88:M88)</f>
        <v>77500</v>
      </c>
      <c r="AV88" s="16">
        <f>SUM(N88:P88)</f>
        <v>77500</v>
      </c>
      <c r="AX88" s="16">
        <f t="shared" si="573"/>
        <v>310000</v>
      </c>
      <c r="AY88" s="16">
        <f t="shared" ref="AY88" si="582">SUM(R88:T88)</f>
        <v>77500</v>
      </c>
      <c r="AZ88" s="16">
        <f t="shared" ref="AZ88" si="583">SUM(U88:W88)</f>
        <v>77500</v>
      </c>
      <c r="BA88" s="16">
        <f t="shared" si="574"/>
        <v>77500</v>
      </c>
      <c r="BB88" s="16">
        <f t="shared" si="575"/>
        <v>77500</v>
      </c>
      <c r="BD88" s="16">
        <f t="shared" si="566"/>
        <v>310000</v>
      </c>
      <c r="BE88" s="16">
        <f t="shared" si="567"/>
        <v>77500</v>
      </c>
      <c r="BF88" s="16">
        <f t="shared" si="568"/>
        <v>77500</v>
      </c>
      <c r="BG88" s="16">
        <f t="shared" si="569"/>
        <v>77500</v>
      </c>
      <c r="BH88" s="16">
        <f t="shared" si="570"/>
        <v>77500</v>
      </c>
      <c r="BJ88" s="16">
        <f t="shared" si="576"/>
        <v>310000</v>
      </c>
      <c r="BK88" s="16">
        <f t="shared" si="571"/>
        <v>77500</v>
      </c>
      <c r="BL88" s="16">
        <f t="shared" si="571"/>
        <v>77500</v>
      </c>
      <c r="BM88" s="16">
        <f t="shared" si="571"/>
        <v>77500</v>
      </c>
      <c r="BN88" s="16">
        <f t="shared" si="571"/>
        <v>77500</v>
      </c>
      <c r="BP88" s="16">
        <f t="shared" si="548"/>
        <v>310000</v>
      </c>
      <c r="BQ88" s="16">
        <f t="shared" si="549"/>
        <v>77500</v>
      </c>
      <c r="BR88" s="16">
        <f t="shared" si="549"/>
        <v>77500</v>
      </c>
      <c r="BS88" s="16">
        <f t="shared" si="549"/>
        <v>77500</v>
      </c>
      <c r="BT88" s="16">
        <f t="shared" si="549"/>
        <v>77500</v>
      </c>
      <c r="BV88" s="16">
        <f t="shared" si="550"/>
        <v>310000</v>
      </c>
      <c r="BW88" s="16">
        <f t="shared" si="564"/>
        <v>77500</v>
      </c>
      <c r="BX88" s="16">
        <f t="shared" si="551"/>
        <v>77500</v>
      </c>
      <c r="BY88" s="16">
        <f t="shared" si="551"/>
        <v>77500</v>
      </c>
      <c r="BZ88" s="16">
        <f t="shared" si="551"/>
        <v>77500</v>
      </c>
    </row>
    <row r="89" spans="1:78" s="16" customFormat="1" x14ac:dyDescent="0.25">
      <c r="B89" s="16" t="s">
        <v>58</v>
      </c>
    </row>
    <row r="90" spans="1:78" s="16" customFormat="1" x14ac:dyDescent="0.25"/>
    <row r="91" spans="1:78" s="16" customFormat="1" x14ac:dyDescent="0.25">
      <c r="B91" s="16" t="s">
        <v>80</v>
      </c>
      <c r="E91" s="17">
        <f>SUM(E80:E90)</f>
        <v>50833.333333333328</v>
      </c>
      <c r="F91" s="17">
        <f t="shared" ref="F91:P91" si="584">SUM(F80:F90)</f>
        <v>50833.333333333328</v>
      </c>
      <c r="G91" s="17">
        <f t="shared" si="584"/>
        <v>50833.333333333328</v>
      </c>
      <c r="H91" s="17">
        <f t="shared" si="584"/>
        <v>50833.333333333328</v>
      </c>
      <c r="I91" s="17">
        <f t="shared" si="584"/>
        <v>50833.333333333328</v>
      </c>
      <c r="J91" s="17">
        <f t="shared" si="584"/>
        <v>50833.333333333328</v>
      </c>
      <c r="K91" s="17">
        <f t="shared" si="584"/>
        <v>50833.333333333328</v>
      </c>
      <c r="L91" s="17">
        <f t="shared" si="584"/>
        <v>50833.333333333328</v>
      </c>
      <c r="M91" s="17">
        <f t="shared" si="584"/>
        <v>50833.333333333328</v>
      </c>
      <c r="N91" s="17">
        <f t="shared" si="584"/>
        <v>50833.333333333328</v>
      </c>
      <c r="O91" s="17">
        <f t="shared" si="584"/>
        <v>50833.333333333328</v>
      </c>
      <c r="P91" s="17">
        <f t="shared" si="584"/>
        <v>50833.333333333328</v>
      </c>
      <c r="R91" s="17">
        <f>SUM(R80:R90)</f>
        <v>50833.333333333328</v>
      </c>
      <c r="S91" s="17">
        <f t="shared" ref="S91" si="585">SUM(S80:S90)</f>
        <v>50833.333333333328</v>
      </c>
      <c r="T91" s="17">
        <f t="shared" ref="T91" si="586">SUM(T80:T90)</f>
        <v>50833.333333333328</v>
      </c>
      <c r="U91" s="17">
        <f t="shared" ref="U91" si="587">SUM(U80:U90)</f>
        <v>50833.333333333328</v>
      </c>
      <c r="V91" s="17">
        <f t="shared" ref="V91" si="588">SUM(V80:V90)</f>
        <v>50833.333333333328</v>
      </c>
      <c r="W91" s="17">
        <f t="shared" ref="W91" si="589">SUM(W80:W90)</f>
        <v>50833.333333333328</v>
      </c>
      <c r="X91" s="17">
        <f t="shared" ref="X91" si="590">SUM(X80:X90)</f>
        <v>60833.333333333328</v>
      </c>
      <c r="Y91" s="17">
        <f t="shared" ref="Y91" si="591">SUM(Y80:Y90)</f>
        <v>60833.333333333328</v>
      </c>
      <c r="Z91" s="17">
        <f t="shared" ref="Z91" si="592">SUM(Z80:Z90)</f>
        <v>60833.333333333328</v>
      </c>
      <c r="AA91" s="17">
        <f t="shared" ref="AA91" si="593">SUM(AA80:AA90)</f>
        <v>60833.333333333328</v>
      </c>
      <c r="AB91" s="17">
        <f t="shared" ref="AB91" si="594">SUM(AB80:AB90)</f>
        <v>60833.333333333328</v>
      </c>
      <c r="AC91" s="17">
        <f t="shared" ref="AC91:BZ91" si="595">SUM(AC80:AC90)</f>
        <v>60833.333333333328</v>
      </c>
      <c r="AE91" s="17">
        <f t="shared" si="595"/>
        <v>60833.333333333328</v>
      </c>
      <c r="AF91" s="17">
        <f t="shared" si="595"/>
        <v>60833.333333333328</v>
      </c>
      <c r="AG91" s="17">
        <f t="shared" si="595"/>
        <v>60833.333333333328</v>
      </c>
      <c r="AH91" s="17">
        <f t="shared" si="595"/>
        <v>60833.333333333328</v>
      </c>
      <c r="AI91" s="17">
        <f t="shared" si="595"/>
        <v>60833.333333333328</v>
      </c>
      <c r="AJ91" s="17">
        <f t="shared" si="595"/>
        <v>60833.333333333328</v>
      </c>
      <c r="AK91" s="17">
        <f t="shared" si="595"/>
        <v>90833.333333333328</v>
      </c>
      <c r="AL91" s="17">
        <f t="shared" si="595"/>
        <v>90833.333333333328</v>
      </c>
      <c r="AM91" s="17">
        <f t="shared" si="595"/>
        <v>90833.333333333328</v>
      </c>
      <c r="AN91" s="17">
        <f t="shared" si="595"/>
        <v>90833.333333333328</v>
      </c>
      <c r="AO91" s="17">
        <f t="shared" si="595"/>
        <v>90833.333333333328</v>
      </c>
      <c r="AP91" s="17">
        <f t="shared" si="595"/>
        <v>90833.333333333328</v>
      </c>
      <c r="AR91" s="17">
        <f t="shared" si="595"/>
        <v>610000</v>
      </c>
      <c r="AS91" s="17">
        <f t="shared" si="595"/>
        <v>152500</v>
      </c>
      <c r="AT91" s="17">
        <f t="shared" si="595"/>
        <v>152500</v>
      </c>
      <c r="AU91" s="17">
        <f t="shared" si="595"/>
        <v>152500</v>
      </c>
      <c r="AV91" s="17">
        <f t="shared" si="595"/>
        <v>152500</v>
      </c>
      <c r="AX91" s="17">
        <f t="shared" si="595"/>
        <v>670000</v>
      </c>
      <c r="AY91" s="17">
        <f t="shared" si="595"/>
        <v>152500</v>
      </c>
      <c r="AZ91" s="17">
        <f t="shared" si="595"/>
        <v>152500</v>
      </c>
      <c r="BA91" s="17">
        <f t="shared" si="595"/>
        <v>182500</v>
      </c>
      <c r="BB91" s="17">
        <f t="shared" si="595"/>
        <v>182500</v>
      </c>
      <c r="BD91" s="17">
        <f t="shared" si="595"/>
        <v>910000</v>
      </c>
      <c r="BE91" s="17">
        <f t="shared" si="595"/>
        <v>182500</v>
      </c>
      <c r="BF91" s="17">
        <f t="shared" si="595"/>
        <v>182500</v>
      </c>
      <c r="BG91" s="17">
        <f t="shared" si="595"/>
        <v>272500</v>
      </c>
      <c r="BH91" s="17">
        <f t="shared" si="595"/>
        <v>272500</v>
      </c>
      <c r="BJ91" s="17">
        <f t="shared" si="595"/>
        <v>957500</v>
      </c>
      <c r="BK91" s="17">
        <f t="shared" si="595"/>
        <v>230000</v>
      </c>
      <c r="BL91" s="17">
        <f t="shared" si="595"/>
        <v>230000</v>
      </c>
      <c r="BM91" s="17">
        <f t="shared" si="595"/>
        <v>230000</v>
      </c>
      <c r="BN91" s="17">
        <f t="shared" si="595"/>
        <v>267500</v>
      </c>
      <c r="BP91" s="17">
        <f t="shared" si="595"/>
        <v>1207500</v>
      </c>
      <c r="BQ91" s="17">
        <f t="shared" si="595"/>
        <v>292500</v>
      </c>
      <c r="BR91" s="17">
        <f t="shared" si="595"/>
        <v>305000</v>
      </c>
      <c r="BS91" s="17">
        <f t="shared" si="595"/>
        <v>305000</v>
      </c>
      <c r="BT91" s="17">
        <f t="shared" si="595"/>
        <v>305000</v>
      </c>
      <c r="BV91" s="17">
        <f t="shared" si="595"/>
        <v>1220000</v>
      </c>
      <c r="BW91" s="17">
        <f t="shared" si="595"/>
        <v>305000</v>
      </c>
      <c r="BX91" s="17">
        <f t="shared" si="595"/>
        <v>305000</v>
      </c>
      <c r="BY91" s="17">
        <f t="shared" si="595"/>
        <v>305000</v>
      </c>
      <c r="BZ91" s="17">
        <f t="shared" si="595"/>
        <v>305000</v>
      </c>
    </row>
    <row r="92" spans="1:78" s="16" customFormat="1" x14ac:dyDescent="0.25"/>
    <row r="93" spans="1:78" s="16" customFormat="1" x14ac:dyDescent="0.25">
      <c r="A93" s="16" t="s">
        <v>63</v>
      </c>
    </row>
    <row r="94" spans="1:78" s="16" customFormat="1" x14ac:dyDescent="0.25">
      <c r="B94" s="16" t="s">
        <v>64</v>
      </c>
    </row>
    <row r="95" spans="1:78" s="16" customFormat="1" x14ac:dyDescent="0.25">
      <c r="B95" s="16" t="s">
        <v>65</v>
      </c>
    </row>
    <row r="96" spans="1:78" s="16" customFormat="1" x14ac:dyDescent="0.25">
      <c r="B96" s="16" t="s">
        <v>66</v>
      </c>
    </row>
    <row r="97" spans="2:60" s="16" customFormat="1" x14ac:dyDescent="0.25">
      <c r="B97" s="16" t="s">
        <v>67</v>
      </c>
    </row>
    <row r="98" spans="2:60" s="16" customFormat="1" x14ac:dyDescent="0.25">
      <c r="B98" s="16" t="s">
        <v>68</v>
      </c>
    </row>
    <row r="99" spans="2:60" s="16" customFormat="1" x14ac:dyDescent="0.25">
      <c r="B99" s="16" t="s">
        <v>69</v>
      </c>
    </row>
    <row r="100" spans="2:60" s="16" customFormat="1" x14ac:dyDescent="0.25">
      <c r="B100" s="16" t="s">
        <v>70</v>
      </c>
    </row>
    <row r="101" spans="2:60" s="16" customFormat="1" x14ac:dyDescent="0.25">
      <c r="B101" s="16" t="s">
        <v>71</v>
      </c>
    </row>
    <row r="102" spans="2:60" s="16" customFormat="1" x14ac:dyDescent="0.25">
      <c r="B102" s="16" t="s">
        <v>72</v>
      </c>
    </row>
    <row r="103" spans="2:60" s="16" customFormat="1" x14ac:dyDescent="0.25">
      <c r="B103" s="16" t="s">
        <v>73</v>
      </c>
    </row>
    <row r="104" spans="2:60" s="16" customFormat="1" x14ac:dyDescent="0.25">
      <c r="B104" s="16" t="s">
        <v>74</v>
      </c>
    </row>
    <row r="105" spans="2:60" s="16" customFormat="1" x14ac:dyDescent="0.25">
      <c r="B105" s="16" t="s">
        <v>75</v>
      </c>
    </row>
    <row r="106" spans="2:60" s="16" customFormat="1" x14ac:dyDescent="0.25">
      <c r="B106" s="16" t="s">
        <v>76</v>
      </c>
    </row>
    <row r="107" spans="2:60" s="16" customFormat="1" x14ac:dyDescent="0.25">
      <c r="B107" s="16" t="s">
        <v>77</v>
      </c>
    </row>
    <row r="108" spans="2:60" s="16" customFormat="1" x14ac:dyDescent="0.25">
      <c r="B108" s="16" t="s">
        <v>78</v>
      </c>
    </row>
    <row r="109" spans="2:60" s="16" customFormat="1" x14ac:dyDescent="0.25"/>
    <row r="110" spans="2:60" s="16" customFormat="1" x14ac:dyDescent="0.25">
      <c r="B110" s="16" t="s">
        <v>79</v>
      </c>
      <c r="E110" s="17">
        <f>SUM(E94:E108)</f>
        <v>0</v>
      </c>
      <c r="F110" s="17">
        <f t="shared" ref="F110:P110" si="596">SUM(F94:F108)</f>
        <v>0</v>
      </c>
      <c r="G110" s="17">
        <f t="shared" si="596"/>
        <v>0</v>
      </c>
      <c r="H110" s="17">
        <f t="shared" si="596"/>
        <v>0</v>
      </c>
      <c r="I110" s="17">
        <f t="shared" si="596"/>
        <v>0</v>
      </c>
      <c r="J110" s="17">
        <f t="shared" si="596"/>
        <v>0</v>
      </c>
      <c r="K110" s="17">
        <f t="shared" si="596"/>
        <v>0</v>
      </c>
      <c r="L110" s="17">
        <f t="shared" si="596"/>
        <v>0</v>
      </c>
      <c r="M110" s="17">
        <f t="shared" si="596"/>
        <v>0</v>
      </c>
      <c r="N110" s="17">
        <f t="shared" si="596"/>
        <v>0</v>
      </c>
      <c r="O110" s="17">
        <f t="shared" si="596"/>
        <v>0</v>
      </c>
      <c r="P110" s="17">
        <f t="shared" si="596"/>
        <v>0</v>
      </c>
      <c r="R110" s="17">
        <f>SUM(R94:R108)</f>
        <v>0</v>
      </c>
      <c r="S110" s="17">
        <f t="shared" ref="S110:AC110" si="597">SUM(S94:S108)</f>
        <v>0</v>
      </c>
      <c r="T110" s="17">
        <f t="shared" si="597"/>
        <v>0</v>
      </c>
      <c r="U110" s="17">
        <f t="shared" si="597"/>
        <v>0</v>
      </c>
      <c r="V110" s="17">
        <f t="shared" si="597"/>
        <v>0</v>
      </c>
      <c r="W110" s="17">
        <f t="shared" si="597"/>
        <v>0</v>
      </c>
      <c r="X110" s="17">
        <f t="shared" si="597"/>
        <v>0</v>
      </c>
      <c r="Y110" s="17">
        <f t="shared" si="597"/>
        <v>0</v>
      </c>
      <c r="Z110" s="17">
        <f t="shared" si="597"/>
        <v>0</v>
      </c>
      <c r="AA110" s="17">
        <f t="shared" si="597"/>
        <v>0</v>
      </c>
      <c r="AB110" s="17">
        <f t="shared" si="597"/>
        <v>0</v>
      </c>
      <c r="AC110" s="17">
        <f t="shared" si="597"/>
        <v>0</v>
      </c>
      <c r="AE110" s="17">
        <f t="shared" ref="AE110:AP110" si="598">SUM(AE94:AE108)</f>
        <v>0</v>
      </c>
      <c r="AF110" s="17">
        <f t="shared" si="598"/>
        <v>0</v>
      </c>
      <c r="AG110" s="17">
        <f t="shared" si="598"/>
        <v>0</v>
      </c>
      <c r="AH110" s="17">
        <f t="shared" si="598"/>
        <v>0</v>
      </c>
      <c r="AI110" s="17">
        <f t="shared" si="598"/>
        <v>0</v>
      </c>
      <c r="AJ110" s="17">
        <f t="shared" si="598"/>
        <v>0</v>
      </c>
      <c r="AK110" s="17">
        <f t="shared" si="598"/>
        <v>0</v>
      </c>
      <c r="AL110" s="17">
        <f t="shared" si="598"/>
        <v>0</v>
      </c>
      <c r="AM110" s="17">
        <f t="shared" si="598"/>
        <v>0</v>
      </c>
      <c r="AN110" s="17">
        <f t="shared" si="598"/>
        <v>0</v>
      </c>
      <c r="AO110" s="17">
        <f t="shared" si="598"/>
        <v>0</v>
      </c>
      <c r="AP110" s="17">
        <f t="shared" si="598"/>
        <v>0</v>
      </c>
      <c r="AR110" s="17"/>
      <c r="AS110" s="17"/>
      <c r="AT110" s="17"/>
      <c r="AU110" s="17"/>
      <c r="AV110" s="17"/>
      <c r="AX110" s="17"/>
      <c r="AY110" s="17"/>
      <c r="AZ110" s="17"/>
      <c r="BA110" s="17"/>
      <c r="BB110" s="17"/>
      <c r="BD110" s="17"/>
      <c r="BE110" s="17"/>
      <c r="BF110" s="17"/>
      <c r="BG110" s="17"/>
      <c r="BH110" s="17"/>
    </row>
    <row r="111" spans="2:60" s="16" customFormat="1" x14ac:dyDescent="0.25"/>
    <row r="112" spans="2:60" s="16" customFormat="1" x14ac:dyDescent="0.25"/>
    <row r="113" s="16" customFormat="1" x14ac:dyDescent="0.25"/>
    <row r="114" s="16" customFormat="1" x14ac:dyDescent="0.25"/>
    <row r="115" s="16" customFormat="1" x14ac:dyDescent="0.25"/>
    <row r="116" s="16" customFormat="1" x14ac:dyDescent="0.25"/>
    <row r="117" s="16" customFormat="1" x14ac:dyDescent="0.25"/>
    <row r="118" s="16" customFormat="1" x14ac:dyDescent="0.25"/>
    <row r="119" s="16" customFormat="1" x14ac:dyDescent="0.25"/>
    <row r="120" s="16" customFormat="1" x14ac:dyDescent="0.25"/>
    <row r="121" s="16" customFormat="1" x14ac:dyDescent="0.25"/>
    <row r="122" s="16" customFormat="1" x14ac:dyDescent="0.25"/>
    <row r="123" s="16" customFormat="1" x14ac:dyDescent="0.25"/>
    <row r="124" s="16" customFormat="1" x14ac:dyDescent="0.25"/>
    <row r="125" s="16" customFormat="1" x14ac:dyDescent="0.25"/>
    <row r="126" s="16" customFormat="1" x14ac:dyDescent="0.25"/>
    <row r="127" s="16" customFormat="1" x14ac:dyDescent="0.25"/>
    <row r="128" s="16" customFormat="1" x14ac:dyDescent="0.25"/>
    <row r="129" s="16" customFormat="1" x14ac:dyDescent="0.25"/>
    <row r="130" s="16" customFormat="1" x14ac:dyDescent="0.25"/>
    <row r="131" s="16" customFormat="1" x14ac:dyDescent="0.25"/>
    <row r="132" s="16" customFormat="1" x14ac:dyDescent="0.25"/>
    <row r="133" s="16" customFormat="1" x14ac:dyDescent="0.25"/>
    <row r="134" s="16" customFormat="1" x14ac:dyDescent="0.25"/>
    <row r="135" s="16" customFormat="1" x14ac:dyDescent="0.25"/>
    <row r="136" s="16" customFormat="1" x14ac:dyDescent="0.25"/>
    <row r="137" s="16" customFormat="1" x14ac:dyDescent="0.25"/>
    <row r="138" s="16" customFormat="1" x14ac:dyDescent="0.25"/>
    <row r="139" s="16" customFormat="1" x14ac:dyDescent="0.25"/>
    <row r="140" s="16" customFormat="1" x14ac:dyDescent="0.25"/>
    <row r="141" s="16" customFormat="1" x14ac:dyDescent="0.25"/>
    <row r="142" s="16" customFormat="1" x14ac:dyDescent="0.25"/>
    <row r="143" s="16" customFormat="1" x14ac:dyDescent="0.25"/>
    <row r="144" s="16" customFormat="1" x14ac:dyDescent="0.25"/>
    <row r="145" s="16" customFormat="1" x14ac:dyDescent="0.25"/>
    <row r="146" s="16" customFormat="1" x14ac:dyDescent="0.25"/>
    <row r="147" s="16" customFormat="1" x14ac:dyDescent="0.25"/>
    <row r="148" s="16" customFormat="1" x14ac:dyDescent="0.25"/>
    <row r="149" s="16" customFormat="1" x14ac:dyDescent="0.25"/>
    <row r="150" s="16" customFormat="1" x14ac:dyDescent="0.25"/>
    <row r="151" s="16" customFormat="1" x14ac:dyDescent="0.25"/>
    <row r="152" s="16" customFormat="1" x14ac:dyDescent="0.25"/>
    <row r="153" s="16" customFormat="1" x14ac:dyDescent="0.25"/>
    <row r="154" s="16" customFormat="1" x14ac:dyDescent="0.25"/>
    <row r="155" s="16" customFormat="1" x14ac:dyDescent="0.25"/>
    <row r="156" s="16" customFormat="1" x14ac:dyDescent="0.25"/>
    <row r="157" s="16" customFormat="1" x14ac:dyDescent="0.25"/>
    <row r="158" s="16" customFormat="1" x14ac:dyDescent="0.25"/>
    <row r="159" s="16" customFormat="1" x14ac:dyDescent="0.25"/>
    <row r="160" s="16" customFormat="1" x14ac:dyDescent="0.25"/>
    <row r="161" s="16" customFormat="1" x14ac:dyDescent="0.25"/>
    <row r="162" s="16" customFormat="1" x14ac:dyDescent="0.25"/>
    <row r="163" s="16" customFormat="1" x14ac:dyDescent="0.25"/>
    <row r="164" s="16" customFormat="1" x14ac:dyDescent="0.25"/>
    <row r="165" s="16" customFormat="1" x14ac:dyDescent="0.25"/>
    <row r="166" s="16" customFormat="1" x14ac:dyDescent="0.25"/>
    <row r="167" s="16" customFormat="1" x14ac:dyDescent="0.25"/>
    <row r="168" s="16" customFormat="1" x14ac:dyDescent="0.25"/>
    <row r="169" s="16" customFormat="1" x14ac:dyDescent="0.25"/>
    <row r="170" s="16" customFormat="1" x14ac:dyDescent="0.25"/>
    <row r="171" s="16" customFormat="1" x14ac:dyDescent="0.25"/>
    <row r="172" s="16" customFormat="1" x14ac:dyDescent="0.25"/>
    <row r="173" s="16" customFormat="1" x14ac:dyDescent="0.25"/>
    <row r="174" s="16" customFormat="1" x14ac:dyDescent="0.25"/>
    <row r="175" s="16" customFormat="1" x14ac:dyDescent="0.25"/>
    <row r="176" s="16" customFormat="1" x14ac:dyDescent="0.25"/>
    <row r="177" s="16" customFormat="1" x14ac:dyDescent="0.25"/>
    <row r="178" s="16" customFormat="1" x14ac:dyDescent="0.25"/>
    <row r="179" s="16" customFormat="1" x14ac:dyDescent="0.25"/>
    <row r="180" s="16" customFormat="1" x14ac:dyDescent="0.25"/>
    <row r="181" s="16" customFormat="1" x14ac:dyDescent="0.25"/>
    <row r="182" s="16" customFormat="1" x14ac:dyDescent="0.25"/>
    <row r="183" s="16" customFormat="1" x14ac:dyDescent="0.25"/>
    <row r="184" s="16" customFormat="1" x14ac:dyDescent="0.25"/>
    <row r="185" s="16" customFormat="1" x14ac:dyDescent="0.25"/>
    <row r="186" s="16" customFormat="1" x14ac:dyDescent="0.25"/>
    <row r="187" s="16" customFormat="1" x14ac:dyDescent="0.25"/>
    <row r="188" s="16" customFormat="1" x14ac:dyDescent="0.25"/>
    <row r="189" s="16" customFormat="1" x14ac:dyDescent="0.25"/>
    <row r="190" s="16" customFormat="1" x14ac:dyDescent="0.25"/>
    <row r="191" s="16" customFormat="1" x14ac:dyDescent="0.25"/>
    <row r="19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row r="363" s="16" customFormat="1" x14ac:dyDescent="0.25"/>
  </sheetData>
  <mergeCells count="9">
    <mergeCell ref="BJ3:BN3"/>
    <mergeCell ref="BP3:BT3"/>
    <mergeCell ref="BV3:BZ3"/>
    <mergeCell ref="BD3:BH3"/>
    <mergeCell ref="E3:P3"/>
    <mergeCell ref="R3:AC3"/>
    <mergeCell ref="AE3:AP3"/>
    <mergeCell ref="AR3:AV3"/>
    <mergeCell ref="AX3:BB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520"/>
  <sheetViews>
    <sheetView workbookViewId="0">
      <pane xSplit="3" ySplit="4" topLeftCell="AB63" activePane="bottomRight" state="frozen"/>
      <selection activeCell="A5" sqref="A5:XFD363"/>
      <selection pane="topRight" activeCell="A5" sqref="A5:XFD363"/>
      <selection pane="bottomLeft" activeCell="A5" sqref="A5:XFD363"/>
      <selection pane="bottomRight" activeCell="AB70" sqref="AB70"/>
    </sheetView>
  </sheetViews>
  <sheetFormatPr defaultColWidth="10.25" defaultRowHeight="15.75" outlineLevelCol="1" x14ac:dyDescent="0.25"/>
  <cols>
    <col min="1" max="1" width="3.375" style="7" customWidth="1"/>
    <col min="2" max="2" width="38.875" style="7" customWidth="1"/>
    <col min="3" max="3" width="10.25" style="7"/>
    <col min="4" max="4" width="9.75" style="7" customWidth="1"/>
    <col min="5" max="16" width="10.25" style="7" customWidth="1" outlineLevel="1"/>
    <col min="17" max="17" width="2" style="7" customWidth="1"/>
    <col min="18" max="29" width="10.25" style="7" customWidth="1" outlineLevel="1"/>
    <col min="30" max="30" width="1.625" style="7" customWidth="1"/>
    <col min="31" max="42" width="0" style="7" hidden="1" customWidth="1" outlineLevel="1"/>
    <col min="43" max="43" width="1.625" style="7" customWidth="1" collapsed="1"/>
    <col min="44" max="48" width="10.25" style="7" hidden="1" customWidth="1" outlineLevel="1"/>
    <col min="49" max="49" width="1.625" style="7" customWidth="1" collapsed="1"/>
    <col min="50" max="54" width="10.25" style="7" hidden="1" customWidth="1" outlineLevel="1"/>
    <col min="55" max="55" width="1.625" style="7" customWidth="1" collapsed="1"/>
    <col min="56" max="60" width="10.25" style="7" customWidth="1" outlineLevel="1"/>
    <col min="61" max="16384" width="10.25" style="7"/>
  </cols>
  <sheetData>
    <row r="1" spans="1:78" customFormat="1" x14ac:dyDescent="0.25">
      <c r="B1" s="4" t="s">
        <v>36</v>
      </c>
    </row>
    <row r="2" spans="1:78" customFormat="1" x14ac:dyDescent="0.25">
      <c r="B2" s="4" t="s">
        <v>210</v>
      </c>
    </row>
    <row r="3" spans="1:78"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32" t="s">
        <v>12</v>
      </c>
      <c r="AS3" s="432"/>
      <c r="AT3" s="432"/>
      <c r="AU3" s="432"/>
      <c r="AV3" s="432"/>
      <c r="AX3" s="433" t="s">
        <v>13</v>
      </c>
      <c r="AY3" s="433"/>
      <c r="AZ3" s="433"/>
      <c r="BA3" s="433"/>
      <c r="BB3" s="433"/>
      <c r="BD3" s="431" t="s">
        <v>166</v>
      </c>
      <c r="BE3" s="431"/>
      <c r="BF3" s="431"/>
      <c r="BG3" s="431"/>
      <c r="BH3" s="431"/>
      <c r="BJ3" s="435" t="s">
        <v>383</v>
      </c>
      <c r="BK3" s="435"/>
      <c r="BL3" s="435"/>
      <c r="BM3" s="435"/>
      <c r="BN3" s="435"/>
      <c r="BP3" s="436" t="s">
        <v>388</v>
      </c>
      <c r="BQ3" s="436"/>
      <c r="BR3" s="436"/>
      <c r="BS3" s="436"/>
      <c r="BT3" s="436"/>
      <c r="BV3" s="434" t="s">
        <v>389</v>
      </c>
      <c r="BW3" s="434"/>
      <c r="BX3" s="434"/>
      <c r="BY3" s="434"/>
      <c r="BZ3" s="434"/>
    </row>
    <row r="4" spans="1:78" customFormat="1" ht="16.5" thickBot="1" x14ac:dyDescent="0.3">
      <c r="A4" s="1"/>
      <c r="B4" s="3"/>
      <c r="C4" s="6"/>
      <c r="D4" s="6"/>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c r="AR4" s="10" t="s">
        <v>167</v>
      </c>
      <c r="AS4" s="10" t="s">
        <v>168</v>
      </c>
      <c r="AT4" s="10" t="s">
        <v>169</v>
      </c>
      <c r="AU4" s="10" t="s">
        <v>170</v>
      </c>
      <c r="AV4" s="10" t="s">
        <v>171</v>
      </c>
      <c r="AX4" s="10" t="s">
        <v>167</v>
      </c>
      <c r="AY4" s="10" t="s">
        <v>168</v>
      </c>
      <c r="AZ4" s="10" t="s">
        <v>169</v>
      </c>
      <c r="BA4" s="10" t="s">
        <v>170</v>
      </c>
      <c r="BB4" s="10" t="s">
        <v>171</v>
      </c>
      <c r="BD4" s="10" t="s">
        <v>167</v>
      </c>
      <c r="BE4" s="10" t="s">
        <v>168</v>
      </c>
      <c r="BF4" s="10" t="s">
        <v>169</v>
      </c>
      <c r="BG4" s="10" t="s">
        <v>170</v>
      </c>
      <c r="BH4" s="10" t="s">
        <v>171</v>
      </c>
      <c r="BJ4" s="10" t="s">
        <v>167</v>
      </c>
      <c r="BK4" s="10" t="s">
        <v>168</v>
      </c>
      <c r="BL4" s="10" t="s">
        <v>169</v>
      </c>
      <c r="BM4" s="10" t="s">
        <v>170</v>
      </c>
      <c r="BN4" s="10" t="s">
        <v>171</v>
      </c>
      <c r="BP4" s="10" t="s">
        <v>167</v>
      </c>
      <c r="BQ4" s="10" t="s">
        <v>168</v>
      </c>
      <c r="BR4" s="10" t="s">
        <v>169</v>
      </c>
      <c r="BS4" s="10" t="s">
        <v>170</v>
      </c>
      <c r="BT4" s="10" t="s">
        <v>171</v>
      </c>
      <c r="BV4" s="10" t="s">
        <v>167</v>
      </c>
      <c r="BW4" s="10" t="s">
        <v>168</v>
      </c>
      <c r="BX4" s="10" t="s">
        <v>169</v>
      </c>
      <c r="BY4" s="10" t="s">
        <v>170</v>
      </c>
      <c r="BZ4" s="10" t="s">
        <v>171</v>
      </c>
    </row>
    <row r="5" spans="1:78" s="16" customFormat="1" x14ac:dyDescent="0.25">
      <c r="B5" s="16" t="s">
        <v>14</v>
      </c>
      <c r="AR5" s="16">
        <f t="shared" ref="AR5" si="0">SUM(E5:P5)</f>
        <v>0</v>
      </c>
      <c r="AS5" s="16">
        <f t="shared" ref="AS5" si="1">SUM(E5:G5)</f>
        <v>0</v>
      </c>
      <c r="AT5" s="16">
        <f t="shared" ref="AT5" si="2">SUM(H5:J5)</f>
        <v>0</v>
      </c>
      <c r="AU5" s="16">
        <f t="shared" ref="AU5" si="3">SUM(K5:M5)</f>
        <v>0</v>
      </c>
      <c r="AV5" s="16">
        <f t="shared" ref="AV5" si="4">SUM(N5:P5)</f>
        <v>0</v>
      </c>
      <c r="AX5" s="16">
        <f t="shared" ref="AX5" si="5">SUM(R5:AC5)</f>
        <v>0</v>
      </c>
      <c r="AY5" s="16">
        <f t="shared" ref="AY5" si="6">SUM(R5:T5)</f>
        <v>0</v>
      </c>
      <c r="AZ5" s="16">
        <f t="shared" ref="AZ5" si="7">SUM(U5:W5)</f>
        <v>0</v>
      </c>
      <c r="BA5" s="16">
        <f t="shared" ref="BA5" si="8">SUM(X5:Z5)</f>
        <v>0</v>
      </c>
      <c r="BB5" s="16">
        <f t="shared" ref="BB5" si="9">SUM(AA5:AC5)</f>
        <v>0</v>
      </c>
      <c r="BD5" s="16">
        <f t="shared" ref="BD5" si="10">SUM(AE5:AP5)</f>
        <v>0</v>
      </c>
      <c r="BE5" s="16">
        <f t="shared" ref="BE5" si="11">SUM(AE5:AG5)</f>
        <v>0</v>
      </c>
      <c r="BF5" s="16">
        <f t="shared" ref="BF5" si="12">SUM(AH5:AJ5)</f>
        <v>0</v>
      </c>
      <c r="BG5" s="16">
        <f t="shared" ref="BG5" si="13">SUM(AK5:AM5)</f>
        <v>0</v>
      </c>
      <c r="BH5" s="16">
        <f t="shared" ref="BH5" si="14">SUM(AN5:AP5)</f>
        <v>0</v>
      </c>
    </row>
    <row r="6" spans="1:78" s="16" customFormat="1" x14ac:dyDescent="0.25">
      <c r="B6" s="16" t="s">
        <v>15</v>
      </c>
      <c r="E6" s="16">
        <f>+E248</f>
        <v>0</v>
      </c>
      <c r="F6" s="16">
        <f t="shared" ref="F6:P6" si="15">+F248</f>
        <v>0</v>
      </c>
      <c r="G6" s="16">
        <f t="shared" si="15"/>
        <v>0</v>
      </c>
      <c r="H6" s="16">
        <f t="shared" si="15"/>
        <v>0</v>
      </c>
      <c r="I6" s="16">
        <f t="shared" si="15"/>
        <v>0</v>
      </c>
      <c r="J6" s="16">
        <f t="shared" si="15"/>
        <v>0</v>
      </c>
      <c r="K6" s="16">
        <f t="shared" si="15"/>
        <v>0</v>
      </c>
      <c r="L6" s="16">
        <f t="shared" si="15"/>
        <v>0</v>
      </c>
      <c r="M6" s="16">
        <f t="shared" si="15"/>
        <v>0</v>
      </c>
      <c r="N6" s="16">
        <f t="shared" si="15"/>
        <v>0</v>
      </c>
      <c r="O6" s="16">
        <f t="shared" si="15"/>
        <v>0</v>
      </c>
      <c r="P6" s="16">
        <f t="shared" si="15"/>
        <v>0</v>
      </c>
      <c r="R6" s="16">
        <f>+R248</f>
        <v>0</v>
      </c>
      <c r="S6" s="16">
        <f t="shared" ref="S6:AC6" si="16">+S248</f>
        <v>0</v>
      </c>
      <c r="T6" s="16">
        <f t="shared" si="16"/>
        <v>14166.666666666668</v>
      </c>
      <c r="U6" s="16">
        <f t="shared" si="16"/>
        <v>14166.666666666668</v>
      </c>
      <c r="V6" s="16">
        <f t="shared" si="16"/>
        <v>14166.666666666668</v>
      </c>
      <c r="W6" s="16">
        <f t="shared" si="16"/>
        <v>14166.666666666668</v>
      </c>
      <c r="X6" s="16">
        <f t="shared" si="16"/>
        <v>14166.666666666668</v>
      </c>
      <c r="Y6" s="16">
        <f t="shared" si="16"/>
        <v>14166.666666666668</v>
      </c>
      <c r="Z6" s="16">
        <f t="shared" si="16"/>
        <v>14166.666666666668</v>
      </c>
      <c r="AA6" s="16">
        <f t="shared" si="16"/>
        <v>14166.666666666668</v>
      </c>
      <c r="AB6" s="16">
        <f t="shared" si="16"/>
        <v>14166.666666666668</v>
      </c>
      <c r="AC6" s="16">
        <f t="shared" si="16"/>
        <v>14166.666666666668</v>
      </c>
      <c r="AE6" s="16">
        <f t="shared" ref="AE6:AP6" si="17">+AE248</f>
        <v>25833.333333333336</v>
      </c>
      <c r="AF6" s="16">
        <f t="shared" si="17"/>
        <v>25833.333333333336</v>
      </c>
      <c r="AG6" s="16">
        <f t="shared" si="17"/>
        <v>25833.333333333336</v>
      </c>
      <c r="AH6" s="16">
        <f t="shared" si="17"/>
        <v>25833.333333333336</v>
      </c>
      <c r="AI6" s="16">
        <f t="shared" si="17"/>
        <v>25833.333333333336</v>
      </c>
      <c r="AJ6" s="16">
        <f t="shared" si="17"/>
        <v>25833.333333333336</v>
      </c>
      <c r="AK6" s="16">
        <f t="shared" si="17"/>
        <v>25833.333333333336</v>
      </c>
      <c r="AL6" s="16">
        <f t="shared" si="17"/>
        <v>25833.333333333336</v>
      </c>
      <c r="AM6" s="16">
        <f t="shared" si="17"/>
        <v>25833.333333333336</v>
      </c>
      <c r="AN6" s="16">
        <f t="shared" si="17"/>
        <v>25833.333333333336</v>
      </c>
      <c r="AO6" s="16">
        <f t="shared" si="17"/>
        <v>25833.333333333336</v>
      </c>
      <c r="AP6" s="16">
        <f t="shared" si="17"/>
        <v>25833.333333333336</v>
      </c>
      <c r="AR6" s="16">
        <f>SUM(E6:P6)</f>
        <v>0</v>
      </c>
      <c r="AS6" s="16">
        <f>SUM(E6:G6)</f>
        <v>0</v>
      </c>
      <c r="AT6" s="16">
        <f>SUM(H6:J6)</f>
        <v>0</v>
      </c>
      <c r="AU6" s="16">
        <f>SUM(K6:M6)</f>
        <v>0</v>
      </c>
      <c r="AV6" s="16">
        <f>SUM(N6:P6)</f>
        <v>0</v>
      </c>
      <c r="AX6" s="16">
        <f>SUM(R6:AC6)</f>
        <v>141666.66666666669</v>
      </c>
      <c r="AY6" s="16">
        <f>SUM(R6:T6)</f>
        <v>14166.666666666668</v>
      </c>
      <c r="AZ6" s="16">
        <f>SUM(U6:W6)</f>
        <v>42500</v>
      </c>
      <c r="BA6" s="16">
        <f>SUM(X6:Z6)</f>
        <v>42500</v>
      </c>
      <c r="BB6" s="16">
        <f>SUM(AA6:AC6)</f>
        <v>42500</v>
      </c>
      <c r="BD6" s="16">
        <f>SUM(AE6:AP6)</f>
        <v>310000.00000000006</v>
      </c>
      <c r="BE6" s="16">
        <f>SUM(AE6:AG6)</f>
        <v>77500</v>
      </c>
      <c r="BF6" s="16">
        <f>SUM(AH6:AJ6)</f>
        <v>77500</v>
      </c>
      <c r="BG6" s="16">
        <f>SUM(AK6:AM6)</f>
        <v>77500</v>
      </c>
      <c r="BH6" s="16">
        <f>SUM(AN6:AP6)</f>
        <v>77500</v>
      </c>
      <c r="BJ6" s="16">
        <f>SUM(BK6:BN6)</f>
        <v>3150000</v>
      </c>
      <c r="BK6" s="16">
        <f t="shared" ref="BK6:BN6" si="18">+BK248</f>
        <v>787500</v>
      </c>
      <c r="BL6" s="16">
        <f t="shared" si="18"/>
        <v>787500</v>
      </c>
      <c r="BM6" s="16">
        <f t="shared" si="18"/>
        <v>787500</v>
      </c>
      <c r="BN6" s="16">
        <f t="shared" si="18"/>
        <v>787500</v>
      </c>
      <c r="BP6" s="16">
        <f>SUM(BQ6:BT6)</f>
        <v>5965000</v>
      </c>
      <c r="BQ6" s="16">
        <f t="shared" ref="BQ6:BT6" si="19">+BQ248</f>
        <v>1491250</v>
      </c>
      <c r="BR6" s="16">
        <f t="shared" si="19"/>
        <v>1491250</v>
      </c>
      <c r="BS6" s="16">
        <f t="shared" si="19"/>
        <v>1491250</v>
      </c>
      <c r="BT6" s="16">
        <f t="shared" si="19"/>
        <v>1491250</v>
      </c>
      <c r="BV6" s="16">
        <f>SUM(BW6:BZ6)</f>
        <v>7265000</v>
      </c>
      <c r="BW6" s="16">
        <f t="shared" ref="BW6:BZ6" si="20">+BW248</f>
        <v>1816250</v>
      </c>
      <c r="BX6" s="16">
        <f t="shared" si="20"/>
        <v>1816250</v>
      </c>
      <c r="BY6" s="16">
        <f t="shared" si="20"/>
        <v>1816250</v>
      </c>
      <c r="BZ6" s="16">
        <f t="shared" si="20"/>
        <v>1816250</v>
      </c>
    </row>
    <row r="7" spans="1:78" s="16" customFormat="1" x14ac:dyDescent="0.25">
      <c r="B7" s="16" t="s">
        <v>16</v>
      </c>
      <c r="AR7" s="16">
        <f t="shared" ref="AR7" si="21">SUM(E7:P7)</f>
        <v>0</v>
      </c>
      <c r="AS7" s="16">
        <f t="shared" ref="AS7" si="22">SUM(E7:G7)</f>
        <v>0</v>
      </c>
      <c r="AT7" s="16">
        <f t="shared" ref="AT7" si="23">SUM(H7:J7)</f>
        <v>0</v>
      </c>
      <c r="AU7" s="16">
        <f t="shared" ref="AU7" si="24">SUM(K7:M7)</f>
        <v>0</v>
      </c>
      <c r="AV7" s="16">
        <f t="shared" ref="AV7" si="25">SUM(N7:P7)</f>
        <v>0</v>
      </c>
      <c r="AX7" s="16">
        <f t="shared" ref="AX7" si="26">SUM(R7:AC7)</f>
        <v>0</v>
      </c>
      <c r="AY7" s="16">
        <f t="shared" ref="AY7" si="27">SUM(R7:T7)</f>
        <v>0</v>
      </c>
      <c r="AZ7" s="16">
        <f t="shared" ref="AZ7" si="28">SUM(U7:W7)</f>
        <v>0</v>
      </c>
      <c r="BA7" s="16">
        <f t="shared" ref="BA7" si="29">SUM(X7:Z7)</f>
        <v>0</v>
      </c>
      <c r="BB7" s="16">
        <f t="shared" ref="BB7" si="30">SUM(AA7:AC7)</f>
        <v>0</v>
      </c>
      <c r="BD7" s="16">
        <f t="shared" ref="BD7" si="31">SUM(AE7:AP7)</f>
        <v>0</v>
      </c>
      <c r="BE7" s="16">
        <f t="shared" ref="BE7" si="32">SUM(AE7:AG7)</f>
        <v>0</v>
      </c>
      <c r="BF7" s="16">
        <f t="shared" ref="BF7" si="33">SUM(AH7:AJ7)</f>
        <v>0</v>
      </c>
      <c r="BG7" s="16">
        <f t="shared" ref="BG7" si="34">SUM(AK7:AM7)</f>
        <v>0</v>
      </c>
      <c r="BH7" s="16">
        <f t="shared" ref="BH7" si="35">SUM(AN7:AP7)</f>
        <v>0</v>
      </c>
      <c r="BJ7" s="16">
        <f t="shared" ref="BJ7:BJ8" si="36">SUM(BK7:BN7)</f>
        <v>0</v>
      </c>
      <c r="BP7" s="16">
        <f t="shared" ref="BP7:BP8" si="37">SUM(BQ7:BT7)</f>
        <v>0</v>
      </c>
      <c r="BV7" s="16">
        <f t="shared" ref="BV7:BV8" si="38">SUM(BW7:BZ7)</f>
        <v>0</v>
      </c>
    </row>
    <row r="8" spans="1:78" s="16" customFormat="1" x14ac:dyDescent="0.25">
      <c r="BJ8" s="16">
        <f t="shared" si="36"/>
        <v>0</v>
      </c>
      <c r="BP8" s="16">
        <f t="shared" si="37"/>
        <v>0</v>
      </c>
      <c r="BV8" s="16">
        <f t="shared" si="38"/>
        <v>0</v>
      </c>
    </row>
    <row r="9" spans="1:78" s="16" customFormat="1" x14ac:dyDescent="0.25">
      <c r="B9" s="16" t="s">
        <v>17</v>
      </c>
      <c r="E9" s="17">
        <f>SUBTOTAL(9,E5:E8)</f>
        <v>0</v>
      </c>
      <c r="F9" s="17">
        <f t="shared" ref="F9:P9" si="39">SUBTOTAL(9,F5:F8)</f>
        <v>0</v>
      </c>
      <c r="G9" s="17">
        <f t="shared" si="39"/>
        <v>0</v>
      </c>
      <c r="H9" s="17">
        <f t="shared" si="39"/>
        <v>0</v>
      </c>
      <c r="I9" s="17">
        <f t="shared" si="39"/>
        <v>0</v>
      </c>
      <c r="J9" s="17">
        <f t="shared" si="39"/>
        <v>0</v>
      </c>
      <c r="K9" s="17">
        <f t="shared" si="39"/>
        <v>0</v>
      </c>
      <c r="L9" s="17">
        <f t="shared" si="39"/>
        <v>0</v>
      </c>
      <c r="M9" s="17">
        <f t="shared" si="39"/>
        <v>0</v>
      </c>
      <c r="N9" s="17">
        <f t="shared" si="39"/>
        <v>0</v>
      </c>
      <c r="O9" s="17">
        <f t="shared" si="39"/>
        <v>0</v>
      </c>
      <c r="P9" s="17">
        <f t="shared" si="39"/>
        <v>0</v>
      </c>
      <c r="R9" s="17">
        <f>SUBTOTAL(9,R5:R8)</f>
        <v>0</v>
      </c>
      <c r="S9" s="17">
        <f t="shared" ref="S9" si="40">SUBTOTAL(9,S5:S8)</f>
        <v>0</v>
      </c>
      <c r="T9" s="17">
        <f t="shared" ref="T9" si="41">SUBTOTAL(9,T5:T8)</f>
        <v>14166.666666666668</v>
      </c>
      <c r="U9" s="17">
        <f t="shared" ref="U9" si="42">SUBTOTAL(9,U5:U8)</f>
        <v>14166.666666666668</v>
      </c>
      <c r="V9" s="17">
        <f t="shared" ref="V9" si="43">SUBTOTAL(9,V5:V8)</f>
        <v>14166.666666666668</v>
      </c>
      <c r="W9" s="17">
        <f t="shared" ref="W9" si="44">SUBTOTAL(9,W5:W8)</f>
        <v>14166.666666666668</v>
      </c>
      <c r="X9" s="17">
        <f t="shared" ref="X9" si="45">SUBTOTAL(9,X5:X8)</f>
        <v>14166.666666666668</v>
      </c>
      <c r="Y9" s="17">
        <f t="shared" ref="Y9" si="46">SUBTOTAL(9,Y5:Y8)</f>
        <v>14166.666666666668</v>
      </c>
      <c r="Z9" s="17">
        <f t="shared" ref="Z9" si="47">SUBTOTAL(9,Z5:Z8)</f>
        <v>14166.666666666668</v>
      </c>
      <c r="AA9" s="17">
        <f t="shared" ref="AA9" si="48">SUBTOTAL(9,AA5:AA8)</f>
        <v>14166.666666666668</v>
      </c>
      <c r="AB9" s="17">
        <f t="shared" ref="AB9" si="49">SUBTOTAL(9,AB5:AB8)</f>
        <v>14166.666666666668</v>
      </c>
      <c r="AC9" s="17">
        <f t="shared" ref="AC9:AP9" si="50">SUBTOTAL(9,AC5:AC8)</f>
        <v>14166.666666666668</v>
      </c>
      <c r="AE9" s="17">
        <f t="shared" si="50"/>
        <v>25833.333333333336</v>
      </c>
      <c r="AF9" s="17">
        <f t="shared" si="50"/>
        <v>25833.333333333336</v>
      </c>
      <c r="AG9" s="17">
        <f t="shared" si="50"/>
        <v>25833.333333333336</v>
      </c>
      <c r="AH9" s="17">
        <f t="shared" si="50"/>
        <v>25833.333333333336</v>
      </c>
      <c r="AI9" s="17">
        <f t="shared" si="50"/>
        <v>25833.333333333336</v>
      </c>
      <c r="AJ9" s="17">
        <f t="shared" si="50"/>
        <v>25833.333333333336</v>
      </c>
      <c r="AK9" s="17">
        <f t="shared" si="50"/>
        <v>25833.333333333336</v>
      </c>
      <c r="AL9" s="17">
        <f t="shared" si="50"/>
        <v>25833.333333333336</v>
      </c>
      <c r="AM9" s="17">
        <f t="shared" si="50"/>
        <v>25833.333333333336</v>
      </c>
      <c r="AN9" s="17">
        <f t="shared" si="50"/>
        <v>25833.333333333336</v>
      </c>
      <c r="AO9" s="17">
        <f t="shared" si="50"/>
        <v>25833.333333333336</v>
      </c>
      <c r="AP9" s="17">
        <f t="shared" si="50"/>
        <v>25833.333333333336</v>
      </c>
      <c r="AR9" s="17">
        <f t="shared" ref="AR9:AV9" si="51">SUBTOTAL(9,AR5:AR8)</f>
        <v>0</v>
      </c>
      <c r="AS9" s="17">
        <f t="shared" si="51"/>
        <v>0</v>
      </c>
      <c r="AT9" s="17">
        <f t="shared" si="51"/>
        <v>0</v>
      </c>
      <c r="AU9" s="17">
        <f t="shared" si="51"/>
        <v>0</v>
      </c>
      <c r="AV9" s="17">
        <f t="shared" si="51"/>
        <v>0</v>
      </c>
      <c r="AX9" s="17">
        <f t="shared" ref="AX9:BB9" si="52">SUBTOTAL(9,AX5:AX8)</f>
        <v>141666.66666666669</v>
      </c>
      <c r="AY9" s="17">
        <f t="shared" si="52"/>
        <v>14166.666666666668</v>
      </c>
      <c r="AZ9" s="17">
        <f t="shared" si="52"/>
        <v>42500</v>
      </c>
      <c r="BA9" s="17">
        <f t="shared" si="52"/>
        <v>42500</v>
      </c>
      <c r="BB9" s="17">
        <f t="shared" si="52"/>
        <v>42500</v>
      </c>
      <c r="BD9" s="17">
        <f t="shared" ref="BD9:BH9" si="53">SUBTOTAL(9,BD5:BD8)</f>
        <v>310000.00000000006</v>
      </c>
      <c r="BE9" s="17">
        <f t="shared" si="53"/>
        <v>77500</v>
      </c>
      <c r="BF9" s="17">
        <f t="shared" si="53"/>
        <v>77500</v>
      </c>
      <c r="BG9" s="17">
        <f t="shared" si="53"/>
        <v>77500</v>
      </c>
      <c r="BH9" s="17">
        <f t="shared" si="53"/>
        <v>77500</v>
      </c>
      <c r="BJ9" s="17">
        <f t="shared" ref="BJ9:BN9" si="54">SUBTOTAL(9,BJ5:BJ8)</f>
        <v>3150000</v>
      </c>
      <c r="BK9" s="17">
        <f t="shared" si="54"/>
        <v>787500</v>
      </c>
      <c r="BL9" s="17">
        <f t="shared" si="54"/>
        <v>787500</v>
      </c>
      <c r="BM9" s="17">
        <f t="shared" si="54"/>
        <v>787500</v>
      </c>
      <c r="BN9" s="17">
        <f t="shared" si="54"/>
        <v>787500</v>
      </c>
      <c r="BP9" s="17">
        <f t="shared" ref="BP9" si="55">SUBTOTAL(9,BP5:BP8)</f>
        <v>5965000</v>
      </c>
      <c r="BQ9" s="17">
        <f t="shared" ref="BQ9:BT9" si="56">SUBTOTAL(9,BQ5:BQ8)</f>
        <v>1491250</v>
      </c>
      <c r="BR9" s="17">
        <f t="shared" si="56"/>
        <v>1491250</v>
      </c>
      <c r="BS9" s="17">
        <f t="shared" si="56"/>
        <v>1491250</v>
      </c>
      <c r="BT9" s="17">
        <f t="shared" si="56"/>
        <v>1491250</v>
      </c>
      <c r="BV9" s="17">
        <f t="shared" ref="BV9" si="57">SUBTOTAL(9,BV5:BV8)</f>
        <v>7265000</v>
      </c>
      <c r="BW9" s="17">
        <f t="shared" ref="BW9:BZ9" si="58">SUBTOTAL(9,BW5:BW8)</f>
        <v>1816250</v>
      </c>
      <c r="BX9" s="17">
        <f t="shared" si="58"/>
        <v>1816250</v>
      </c>
      <c r="BY9" s="17">
        <f t="shared" si="58"/>
        <v>1816250</v>
      </c>
      <c r="BZ9" s="17">
        <f t="shared" si="58"/>
        <v>1816250</v>
      </c>
    </row>
    <row r="10" spans="1:78" s="16" customFormat="1" x14ac:dyDescent="0.25"/>
    <row r="11" spans="1:78" s="16" customFormat="1" x14ac:dyDescent="0.25">
      <c r="B11" s="16" t="s">
        <v>19</v>
      </c>
      <c r="C11" s="20">
        <f>+'G&amp;A'!C11</f>
        <v>0.04</v>
      </c>
      <c r="E11" s="16">
        <f>(E$5+E$6)*$C11</f>
        <v>0</v>
      </c>
      <c r="F11" s="16">
        <f t="shared" ref="F11:P15" si="59">(F$5+F$6)*$C11</f>
        <v>0</v>
      </c>
      <c r="G11" s="16">
        <f t="shared" si="59"/>
        <v>0</v>
      </c>
      <c r="H11" s="16">
        <f t="shared" si="59"/>
        <v>0</v>
      </c>
      <c r="I11" s="16">
        <f t="shared" si="59"/>
        <v>0</v>
      </c>
      <c r="J11" s="16">
        <f t="shared" si="59"/>
        <v>0</v>
      </c>
      <c r="K11" s="16">
        <f t="shared" si="59"/>
        <v>0</v>
      </c>
      <c r="L11" s="16">
        <f t="shared" si="59"/>
        <v>0</v>
      </c>
      <c r="M11" s="16">
        <f t="shared" si="59"/>
        <v>0</v>
      </c>
      <c r="N11" s="16">
        <f t="shared" si="59"/>
        <v>0</v>
      </c>
      <c r="O11" s="16">
        <f t="shared" si="59"/>
        <v>0</v>
      </c>
      <c r="P11" s="16">
        <f t="shared" si="59"/>
        <v>0</v>
      </c>
      <c r="R11" s="16">
        <f>(R$5+R$6)*$C11</f>
        <v>0</v>
      </c>
      <c r="S11" s="16">
        <f t="shared" ref="S11:AH15" si="60">(S$5+S$6)*$C11</f>
        <v>0</v>
      </c>
      <c r="T11" s="16">
        <f t="shared" si="60"/>
        <v>566.66666666666674</v>
      </c>
      <c r="U11" s="16">
        <f t="shared" si="60"/>
        <v>566.66666666666674</v>
      </c>
      <c r="V11" s="16">
        <f t="shared" si="60"/>
        <v>566.66666666666674</v>
      </c>
      <c r="W11" s="16">
        <f t="shared" si="60"/>
        <v>566.66666666666674</v>
      </c>
      <c r="X11" s="16">
        <f t="shared" si="60"/>
        <v>566.66666666666674</v>
      </c>
      <c r="Y11" s="16">
        <f t="shared" si="60"/>
        <v>566.66666666666674</v>
      </c>
      <c r="Z11" s="16">
        <f t="shared" si="60"/>
        <v>566.66666666666674</v>
      </c>
      <c r="AA11" s="16">
        <f t="shared" si="60"/>
        <v>566.66666666666674</v>
      </c>
      <c r="AB11" s="16">
        <f t="shared" si="60"/>
        <v>566.66666666666674</v>
      </c>
      <c r="AC11" s="16">
        <f t="shared" si="60"/>
        <v>566.66666666666674</v>
      </c>
      <c r="AE11" s="16">
        <f t="shared" si="60"/>
        <v>1033.3333333333335</v>
      </c>
      <c r="AF11" s="16">
        <f t="shared" si="60"/>
        <v>1033.3333333333335</v>
      </c>
      <c r="AG11" s="16">
        <f t="shared" si="60"/>
        <v>1033.3333333333335</v>
      </c>
      <c r="AH11" s="16">
        <f t="shared" si="60"/>
        <v>1033.3333333333335</v>
      </c>
      <c r="AI11" s="16">
        <f t="shared" ref="AE11:AP15" si="61">(AI$5+AI$6)*$C11</f>
        <v>1033.3333333333335</v>
      </c>
      <c r="AJ11" s="16">
        <f t="shared" si="61"/>
        <v>1033.3333333333335</v>
      </c>
      <c r="AK11" s="16">
        <f t="shared" si="61"/>
        <v>1033.3333333333335</v>
      </c>
      <c r="AL11" s="16">
        <f t="shared" si="61"/>
        <v>1033.3333333333335</v>
      </c>
      <c r="AM11" s="16">
        <f t="shared" si="61"/>
        <v>1033.3333333333335</v>
      </c>
      <c r="AN11" s="16">
        <f t="shared" si="61"/>
        <v>1033.3333333333335</v>
      </c>
      <c r="AO11" s="16">
        <f t="shared" si="61"/>
        <v>1033.3333333333335</v>
      </c>
      <c r="AP11" s="16">
        <f t="shared" si="61"/>
        <v>1033.3333333333335</v>
      </c>
      <c r="AR11" s="16">
        <f t="shared" ref="AR11:AR15" si="62">SUM(E11:P11)</f>
        <v>0</v>
      </c>
      <c r="AS11" s="16">
        <f t="shared" ref="AS11:AS15" si="63">SUM(E11:G11)</f>
        <v>0</v>
      </c>
      <c r="AT11" s="16">
        <f t="shared" ref="AT11:AT15" si="64">SUM(H11:J11)</f>
        <v>0</v>
      </c>
      <c r="AU11" s="16">
        <f t="shared" ref="AU11:AU15" si="65">SUM(K11:M11)</f>
        <v>0</v>
      </c>
      <c r="AV11" s="16">
        <f t="shared" ref="AV11:AV15" si="66">SUM(N11:P11)</f>
        <v>0</v>
      </c>
      <c r="AX11" s="16">
        <f t="shared" ref="AX11:AX15" si="67">SUM(R11:AC11)</f>
        <v>5666.6666666666688</v>
      </c>
      <c r="AY11" s="16">
        <f t="shared" ref="AY11:AY15" si="68">SUM(R11:T11)</f>
        <v>566.66666666666674</v>
      </c>
      <c r="AZ11" s="16">
        <f t="shared" ref="AZ11:AZ15" si="69">SUM(U11:W11)</f>
        <v>1700.0000000000002</v>
      </c>
      <c r="BA11" s="16">
        <f t="shared" ref="BA11:BA15" si="70">SUM(X11:Z11)</f>
        <v>1700.0000000000002</v>
      </c>
      <c r="BB11" s="16">
        <f t="shared" ref="BB11:BB15" si="71">SUM(AA11:AC11)</f>
        <v>1700.0000000000002</v>
      </c>
      <c r="BD11" s="16">
        <f t="shared" ref="BD11:BD15" si="72">SUM(AE11:AP11)</f>
        <v>12400.000000000005</v>
      </c>
      <c r="BE11" s="16">
        <f t="shared" ref="BE11:BE15" si="73">SUM(AE11:AG11)</f>
        <v>3100.0000000000005</v>
      </c>
      <c r="BF11" s="16">
        <f t="shared" ref="BF11:BF15" si="74">SUM(AH11:AJ11)</f>
        <v>3100.0000000000005</v>
      </c>
      <c r="BG11" s="16">
        <f t="shared" ref="BG11:BG15" si="75">SUM(AK11:AM11)</f>
        <v>3100.0000000000005</v>
      </c>
      <c r="BH11" s="16">
        <f t="shared" ref="BH11:BH15" si="76">SUM(AN11:AP11)</f>
        <v>3100.0000000000005</v>
      </c>
      <c r="BJ11" s="16">
        <f t="shared" ref="BJ11:BJ15" si="77">SUM(BK11:BN11)</f>
        <v>126000</v>
      </c>
      <c r="BK11" s="16">
        <f t="shared" ref="BK11:BN15" si="78">(BK$5+BK$6)*$C11</f>
        <v>31500</v>
      </c>
      <c r="BL11" s="16">
        <f t="shared" si="78"/>
        <v>31500</v>
      </c>
      <c r="BM11" s="16">
        <f t="shared" si="78"/>
        <v>31500</v>
      </c>
      <c r="BN11" s="16">
        <f t="shared" si="78"/>
        <v>31500</v>
      </c>
      <c r="BP11" s="16">
        <f t="shared" ref="BP11:BP15" si="79">SUM(BQ11:BT11)</f>
        <v>238600</v>
      </c>
      <c r="BQ11" s="16">
        <f t="shared" ref="BQ11:BT15" si="80">(BQ$5+BQ$6)*$C11</f>
        <v>59650</v>
      </c>
      <c r="BR11" s="16">
        <f t="shared" si="80"/>
        <v>59650</v>
      </c>
      <c r="BS11" s="16">
        <f t="shared" si="80"/>
        <v>59650</v>
      </c>
      <c r="BT11" s="16">
        <f t="shared" si="80"/>
        <v>59650</v>
      </c>
      <c r="BV11" s="16">
        <f t="shared" ref="BV11:BV15" si="81">SUM(BW11:BZ11)</f>
        <v>290600</v>
      </c>
      <c r="BW11" s="16">
        <f t="shared" ref="BW11:BZ15" si="82">(BW$5+BW$6)*$C11</f>
        <v>72650</v>
      </c>
      <c r="BX11" s="16">
        <f t="shared" si="82"/>
        <v>72650</v>
      </c>
      <c r="BY11" s="16">
        <f t="shared" si="82"/>
        <v>72650</v>
      </c>
      <c r="BZ11" s="16">
        <f t="shared" si="82"/>
        <v>72650</v>
      </c>
    </row>
    <row r="12" spans="1:78" s="16" customFormat="1" x14ac:dyDescent="0.25">
      <c r="B12" s="16" t="s">
        <v>18</v>
      </c>
      <c r="C12" s="20">
        <f>+'G&amp;A'!C12</f>
        <v>7.8E-2</v>
      </c>
      <c r="E12" s="16">
        <f t="shared" ref="E12:R15" si="83">(E$5+E$6)*$C12</f>
        <v>0</v>
      </c>
      <c r="F12" s="16">
        <f t="shared" si="59"/>
        <v>0</v>
      </c>
      <c r="G12" s="16">
        <f t="shared" si="59"/>
        <v>0</v>
      </c>
      <c r="H12" s="16">
        <f t="shared" si="59"/>
        <v>0</v>
      </c>
      <c r="I12" s="16">
        <f t="shared" si="59"/>
        <v>0</v>
      </c>
      <c r="J12" s="16">
        <f t="shared" si="59"/>
        <v>0</v>
      </c>
      <c r="K12" s="16">
        <f t="shared" si="59"/>
        <v>0</v>
      </c>
      <c r="L12" s="16">
        <f t="shared" si="59"/>
        <v>0</v>
      </c>
      <c r="M12" s="16">
        <f t="shared" si="59"/>
        <v>0</v>
      </c>
      <c r="N12" s="16">
        <f t="shared" si="59"/>
        <v>0</v>
      </c>
      <c r="O12" s="16">
        <f t="shared" si="59"/>
        <v>0</v>
      </c>
      <c r="P12" s="16">
        <f t="shared" si="59"/>
        <v>0</v>
      </c>
      <c r="R12" s="16">
        <f t="shared" si="83"/>
        <v>0</v>
      </c>
      <c r="S12" s="16">
        <f t="shared" si="60"/>
        <v>0</v>
      </c>
      <c r="T12" s="16">
        <f t="shared" si="60"/>
        <v>1105</v>
      </c>
      <c r="U12" s="16">
        <f t="shared" si="60"/>
        <v>1105</v>
      </c>
      <c r="V12" s="16">
        <f t="shared" si="60"/>
        <v>1105</v>
      </c>
      <c r="W12" s="16">
        <f t="shared" si="60"/>
        <v>1105</v>
      </c>
      <c r="X12" s="16">
        <f t="shared" si="60"/>
        <v>1105</v>
      </c>
      <c r="Y12" s="16">
        <f t="shared" si="60"/>
        <v>1105</v>
      </c>
      <c r="Z12" s="16">
        <f t="shared" si="60"/>
        <v>1105</v>
      </c>
      <c r="AA12" s="16">
        <f t="shared" si="60"/>
        <v>1105</v>
      </c>
      <c r="AB12" s="16">
        <f t="shared" si="60"/>
        <v>1105</v>
      </c>
      <c r="AC12" s="16">
        <f t="shared" si="60"/>
        <v>1105</v>
      </c>
      <c r="AE12" s="16">
        <f t="shared" si="61"/>
        <v>2015.0000000000002</v>
      </c>
      <c r="AF12" s="16">
        <f t="shared" si="61"/>
        <v>2015.0000000000002</v>
      </c>
      <c r="AG12" s="16">
        <f t="shared" si="61"/>
        <v>2015.0000000000002</v>
      </c>
      <c r="AH12" s="16">
        <f t="shared" si="61"/>
        <v>2015.0000000000002</v>
      </c>
      <c r="AI12" s="16">
        <f t="shared" si="61"/>
        <v>2015.0000000000002</v>
      </c>
      <c r="AJ12" s="16">
        <f t="shared" si="61"/>
        <v>2015.0000000000002</v>
      </c>
      <c r="AK12" s="16">
        <f t="shared" si="61"/>
        <v>2015.0000000000002</v>
      </c>
      <c r="AL12" s="16">
        <f t="shared" si="61"/>
        <v>2015.0000000000002</v>
      </c>
      <c r="AM12" s="16">
        <f t="shared" si="61"/>
        <v>2015.0000000000002</v>
      </c>
      <c r="AN12" s="16">
        <f t="shared" si="61"/>
        <v>2015.0000000000002</v>
      </c>
      <c r="AO12" s="16">
        <f t="shared" si="61"/>
        <v>2015.0000000000002</v>
      </c>
      <c r="AP12" s="16">
        <f t="shared" si="61"/>
        <v>2015.0000000000002</v>
      </c>
      <c r="AR12" s="16">
        <f t="shared" si="62"/>
        <v>0</v>
      </c>
      <c r="AS12" s="16">
        <f t="shared" si="63"/>
        <v>0</v>
      </c>
      <c r="AT12" s="16">
        <f t="shared" si="64"/>
        <v>0</v>
      </c>
      <c r="AU12" s="16">
        <f t="shared" si="65"/>
        <v>0</v>
      </c>
      <c r="AV12" s="16">
        <f t="shared" si="66"/>
        <v>0</v>
      </c>
      <c r="AX12" s="16">
        <f t="shared" si="67"/>
        <v>11050</v>
      </c>
      <c r="AY12" s="16">
        <f t="shared" si="68"/>
        <v>1105</v>
      </c>
      <c r="AZ12" s="16">
        <f t="shared" si="69"/>
        <v>3315</v>
      </c>
      <c r="BA12" s="16">
        <f t="shared" si="70"/>
        <v>3315</v>
      </c>
      <c r="BB12" s="16">
        <f t="shared" si="71"/>
        <v>3315</v>
      </c>
      <c r="BD12" s="16">
        <f t="shared" si="72"/>
        <v>24180.000000000004</v>
      </c>
      <c r="BE12" s="16">
        <f t="shared" si="73"/>
        <v>6045.0000000000009</v>
      </c>
      <c r="BF12" s="16">
        <f t="shared" si="74"/>
        <v>6045.0000000000009</v>
      </c>
      <c r="BG12" s="16">
        <f t="shared" si="75"/>
        <v>6045.0000000000009</v>
      </c>
      <c r="BH12" s="16">
        <f t="shared" si="76"/>
        <v>6045.0000000000009</v>
      </c>
      <c r="BJ12" s="16">
        <f t="shared" si="77"/>
        <v>245700</v>
      </c>
      <c r="BK12" s="16">
        <f t="shared" si="78"/>
        <v>61425</v>
      </c>
      <c r="BL12" s="16">
        <f t="shared" si="78"/>
        <v>61425</v>
      </c>
      <c r="BM12" s="16">
        <f t="shared" si="78"/>
        <v>61425</v>
      </c>
      <c r="BN12" s="16">
        <f t="shared" si="78"/>
        <v>61425</v>
      </c>
      <c r="BP12" s="16">
        <f t="shared" si="79"/>
        <v>465270</v>
      </c>
      <c r="BQ12" s="16">
        <f t="shared" si="80"/>
        <v>116317.5</v>
      </c>
      <c r="BR12" s="16">
        <f t="shared" si="80"/>
        <v>116317.5</v>
      </c>
      <c r="BS12" s="16">
        <f t="shared" si="80"/>
        <v>116317.5</v>
      </c>
      <c r="BT12" s="16">
        <f t="shared" si="80"/>
        <v>116317.5</v>
      </c>
      <c r="BV12" s="16">
        <f t="shared" si="81"/>
        <v>566670</v>
      </c>
      <c r="BW12" s="16">
        <f t="shared" si="82"/>
        <v>141667.5</v>
      </c>
      <c r="BX12" s="16">
        <f t="shared" si="82"/>
        <v>141667.5</v>
      </c>
      <c r="BY12" s="16">
        <f t="shared" si="82"/>
        <v>141667.5</v>
      </c>
      <c r="BZ12" s="16">
        <f t="shared" si="82"/>
        <v>141667.5</v>
      </c>
    </row>
    <row r="13" spans="1:78" s="16" customFormat="1" x14ac:dyDescent="0.25">
      <c r="B13" s="16" t="s">
        <v>20</v>
      </c>
      <c r="C13" s="20">
        <f>+'G&amp;A'!C13</f>
        <v>0.12</v>
      </c>
      <c r="E13" s="16">
        <f t="shared" si="83"/>
        <v>0</v>
      </c>
      <c r="F13" s="16">
        <f t="shared" si="59"/>
        <v>0</v>
      </c>
      <c r="G13" s="16">
        <f t="shared" si="59"/>
        <v>0</v>
      </c>
      <c r="H13" s="16">
        <f t="shared" si="59"/>
        <v>0</v>
      </c>
      <c r="I13" s="16">
        <f t="shared" si="59"/>
        <v>0</v>
      </c>
      <c r="J13" s="16">
        <f t="shared" si="59"/>
        <v>0</v>
      </c>
      <c r="K13" s="16">
        <f t="shared" si="59"/>
        <v>0</v>
      </c>
      <c r="L13" s="16">
        <f t="shared" si="59"/>
        <v>0</v>
      </c>
      <c r="M13" s="16">
        <f t="shared" si="59"/>
        <v>0</v>
      </c>
      <c r="N13" s="16">
        <f t="shared" si="59"/>
        <v>0</v>
      </c>
      <c r="O13" s="16">
        <f t="shared" si="59"/>
        <v>0</v>
      </c>
      <c r="P13" s="16">
        <f t="shared" si="59"/>
        <v>0</v>
      </c>
      <c r="R13" s="16">
        <f t="shared" si="83"/>
        <v>0</v>
      </c>
      <c r="S13" s="16">
        <f t="shared" si="60"/>
        <v>0</v>
      </c>
      <c r="T13" s="16">
        <f t="shared" si="60"/>
        <v>1700</v>
      </c>
      <c r="U13" s="16">
        <f t="shared" si="60"/>
        <v>1700</v>
      </c>
      <c r="V13" s="16">
        <f t="shared" si="60"/>
        <v>1700</v>
      </c>
      <c r="W13" s="16">
        <f t="shared" si="60"/>
        <v>1700</v>
      </c>
      <c r="X13" s="16">
        <f t="shared" si="60"/>
        <v>1700</v>
      </c>
      <c r="Y13" s="16">
        <f t="shared" si="60"/>
        <v>1700</v>
      </c>
      <c r="Z13" s="16">
        <f t="shared" si="60"/>
        <v>1700</v>
      </c>
      <c r="AA13" s="16">
        <f t="shared" si="60"/>
        <v>1700</v>
      </c>
      <c r="AB13" s="16">
        <f t="shared" si="60"/>
        <v>1700</v>
      </c>
      <c r="AC13" s="16">
        <f t="shared" si="60"/>
        <v>1700</v>
      </c>
      <c r="AE13" s="16">
        <f t="shared" si="61"/>
        <v>3100</v>
      </c>
      <c r="AF13" s="16">
        <f t="shared" si="61"/>
        <v>3100</v>
      </c>
      <c r="AG13" s="16">
        <f t="shared" si="61"/>
        <v>3100</v>
      </c>
      <c r="AH13" s="16">
        <f t="shared" si="61"/>
        <v>3100</v>
      </c>
      <c r="AI13" s="16">
        <f t="shared" si="61"/>
        <v>3100</v>
      </c>
      <c r="AJ13" s="16">
        <f t="shared" si="61"/>
        <v>3100</v>
      </c>
      <c r="AK13" s="16">
        <f t="shared" si="61"/>
        <v>3100</v>
      </c>
      <c r="AL13" s="16">
        <f t="shared" si="61"/>
        <v>3100</v>
      </c>
      <c r="AM13" s="16">
        <f t="shared" si="61"/>
        <v>3100</v>
      </c>
      <c r="AN13" s="16">
        <f t="shared" si="61"/>
        <v>3100</v>
      </c>
      <c r="AO13" s="16">
        <f t="shared" si="61"/>
        <v>3100</v>
      </c>
      <c r="AP13" s="16">
        <f t="shared" si="61"/>
        <v>3100</v>
      </c>
      <c r="AR13" s="16">
        <f t="shared" si="62"/>
        <v>0</v>
      </c>
      <c r="AS13" s="16">
        <f t="shared" si="63"/>
        <v>0</v>
      </c>
      <c r="AT13" s="16">
        <f t="shared" si="64"/>
        <v>0</v>
      </c>
      <c r="AU13" s="16">
        <f t="shared" si="65"/>
        <v>0</v>
      </c>
      <c r="AV13" s="16">
        <f t="shared" si="66"/>
        <v>0</v>
      </c>
      <c r="AX13" s="16">
        <f t="shared" si="67"/>
        <v>17000</v>
      </c>
      <c r="AY13" s="16">
        <f t="shared" si="68"/>
        <v>1700</v>
      </c>
      <c r="AZ13" s="16">
        <f t="shared" si="69"/>
        <v>5100</v>
      </c>
      <c r="BA13" s="16">
        <f t="shared" si="70"/>
        <v>5100</v>
      </c>
      <c r="BB13" s="16">
        <f t="shared" si="71"/>
        <v>5100</v>
      </c>
      <c r="BD13" s="16">
        <f t="shared" si="72"/>
        <v>37200</v>
      </c>
      <c r="BE13" s="16">
        <f t="shared" si="73"/>
        <v>9300</v>
      </c>
      <c r="BF13" s="16">
        <f t="shared" si="74"/>
        <v>9300</v>
      </c>
      <c r="BG13" s="16">
        <f t="shared" si="75"/>
        <v>9300</v>
      </c>
      <c r="BH13" s="16">
        <f t="shared" si="76"/>
        <v>9300</v>
      </c>
      <c r="BJ13" s="16">
        <f t="shared" si="77"/>
        <v>378000</v>
      </c>
      <c r="BK13" s="16">
        <f t="shared" si="78"/>
        <v>94500</v>
      </c>
      <c r="BL13" s="16">
        <f t="shared" si="78"/>
        <v>94500</v>
      </c>
      <c r="BM13" s="16">
        <f t="shared" si="78"/>
        <v>94500</v>
      </c>
      <c r="BN13" s="16">
        <f t="shared" si="78"/>
        <v>94500</v>
      </c>
      <c r="BP13" s="16">
        <f t="shared" si="79"/>
        <v>715800</v>
      </c>
      <c r="BQ13" s="16">
        <f t="shared" si="80"/>
        <v>178950</v>
      </c>
      <c r="BR13" s="16">
        <f t="shared" si="80"/>
        <v>178950</v>
      </c>
      <c r="BS13" s="16">
        <f t="shared" si="80"/>
        <v>178950</v>
      </c>
      <c r="BT13" s="16">
        <f t="shared" si="80"/>
        <v>178950</v>
      </c>
      <c r="BV13" s="16">
        <f t="shared" si="81"/>
        <v>871800</v>
      </c>
      <c r="BW13" s="16">
        <f t="shared" si="82"/>
        <v>217950</v>
      </c>
      <c r="BX13" s="16">
        <f t="shared" si="82"/>
        <v>217950</v>
      </c>
      <c r="BY13" s="16">
        <f t="shared" si="82"/>
        <v>217950</v>
      </c>
      <c r="BZ13" s="16">
        <f t="shared" si="82"/>
        <v>217950</v>
      </c>
    </row>
    <row r="14" spans="1:78" s="16" customFormat="1" x14ac:dyDescent="0.25">
      <c r="B14" s="16" t="s">
        <v>21</v>
      </c>
      <c r="C14" s="20">
        <f>+'G&amp;A'!C14</f>
        <v>3.5000000000000003E-2</v>
      </c>
      <c r="E14" s="16">
        <f t="shared" si="83"/>
        <v>0</v>
      </c>
      <c r="F14" s="16">
        <f t="shared" si="59"/>
        <v>0</v>
      </c>
      <c r="G14" s="16">
        <f t="shared" si="59"/>
        <v>0</v>
      </c>
      <c r="H14" s="16">
        <f t="shared" si="59"/>
        <v>0</v>
      </c>
      <c r="I14" s="16">
        <f t="shared" si="59"/>
        <v>0</v>
      </c>
      <c r="J14" s="16">
        <f t="shared" si="59"/>
        <v>0</v>
      </c>
      <c r="K14" s="16">
        <f t="shared" si="59"/>
        <v>0</v>
      </c>
      <c r="L14" s="16">
        <f t="shared" si="59"/>
        <v>0</v>
      </c>
      <c r="M14" s="16">
        <f t="shared" si="59"/>
        <v>0</v>
      </c>
      <c r="N14" s="16">
        <f t="shared" si="59"/>
        <v>0</v>
      </c>
      <c r="O14" s="16">
        <f t="shared" si="59"/>
        <v>0</v>
      </c>
      <c r="P14" s="16">
        <f t="shared" si="59"/>
        <v>0</v>
      </c>
      <c r="R14" s="16">
        <f t="shared" si="83"/>
        <v>0</v>
      </c>
      <c r="S14" s="16">
        <f t="shared" si="60"/>
        <v>0</v>
      </c>
      <c r="T14" s="16">
        <f t="shared" si="60"/>
        <v>495.83333333333343</v>
      </c>
      <c r="U14" s="16">
        <f t="shared" si="60"/>
        <v>495.83333333333343</v>
      </c>
      <c r="V14" s="16">
        <f t="shared" si="60"/>
        <v>495.83333333333343</v>
      </c>
      <c r="W14" s="16">
        <f t="shared" si="60"/>
        <v>495.83333333333343</v>
      </c>
      <c r="X14" s="16">
        <f t="shared" si="60"/>
        <v>495.83333333333343</v>
      </c>
      <c r="Y14" s="16">
        <f t="shared" si="60"/>
        <v>495.83333333333343</v>
      </c>
      <c r="Z14" s="16">
        <f t="shared" si="60"/>
        <v>495.83333333333343</v>
      </c>
      <c r="AA14" s="16">
        <f t="shared" si="60"/>
        <v>495.83333333333343</v>
      </c>
      <c r="AB14" s="16">
        <f t="shared" si="60"/>
        <v>495.83333333333343</v>
      </c>
      <c r="AC14" s="16">
        <f t="shared" si="60"/>
        <v>495.83333333333343</v>
      </c>
      <c r="AE14" s="16">
        <f t="shared" si="61"/>
        <v>904.16666666666686</v>
      </c>
      <c r="AF14" s="16">
        <f t="shared" si="61"/>
        <v>904.16666666666686</v>
      </c>
      <c r="AG14" s="16">
        <f t="shared" si="61"/>
        <v>904.16666666666686</v>
      </c>
      <c r="AH14" s="16">
        <f t="shared" si="61"/>
        <v>904.16666666666686</v>
      </c>
      <c r="AI14" s="16">
        <f t="shared" si="61"/>
        <v>904.16666666666686</v>
      </c>
      <c r="AJ14" s="16">
        <f t="shared" si="61"/>
        <v>904.16666666666686</v>
      </c>
      <c r="AK14" s="16">
        <f t="shared" si="61"/>
        <v>904.16666666666686</v>
      </c>
      <c r="AL14" s="16">
        <f t="shared" si="61"/>
        <v>904.16666666666686</v>
      </c>
      <c r="AM14" s="16">
        <f t="shared" si="61"/>
        <v>904.16666666666686</v>
      </c>
      <c r="AN14" s="16">
        <f t="shared" si="61"/>
        <v>904.16666666666686</v>
      </c>
      <c r="AO14" s="16">
        <f t="shared" si="61"/>
        <v>904.16666666666686</v>
      </c>
      <c r="AP14" s="16">
        <f t="shared" si="61"/>
        <v>904.16666666666686</v>
      </c>
      <c r="AR14" s="16">
        <f t="shared" si="62"/>
        <v>0</v>
      </c>
      <c r="AS14" s="16">
        <f t="shared" si="63"/>
        <v>0</v>
      </c>
      <c r="AT14" s="16">
        <f t="shared" si="64"/>
        <v>0</v>
      </c>
      <c r="AU14" s="16">
        <f t="shared" si="65"/>
        <v>0</v>
      </c>
      <c r="AV14" s="16">
        <f t="shared" si="66"/>
        <v>0</v>
      </c>
      <c r="AX14" s="16">
        <f t="shared" si="67"/>
        <v>4958.3333333333339</v>
      </c>
      <c r="AY14" s="16">
        <f t="shared" si="68"/>
        <v>495.83333333333343</v>
      </c>
      <c r="AZ14" s="16">
        <f t="shared" si="69"/>
        <v>1487.5000000000002</v>
      </c>
      <c r="BA14" s="16">
        <f t="shared" si="70"/>
        <v>1487.5000000000002</v>
      </c>
      <c r="BB14" s="16">
        <f t="shared" si="71"/>
        <v>1487.5000000000002</v>
      </c>
      <c r="BD14" s="16">
        <f t="shared" si="72"/>
        <v>10850</v>
      </c>
      <c r="BE14" s="16">
        <f t="shared" si="73"/>
        <v>2712.5000000000005</v>
      </c>
      <c r="BF14" s="16">
        <f t="shared" si="74"/>
        <v>2712.5000000000005</v>
      </c>
      <c r="BG14" s="16">
        <f t="shared" si="75"/>
        <v>2712.5000000000005</v>
      </c>
      <c r="BH14" s="16">
        <f t="shared" si="76"/>
        <v>2712.5000000000005</v>
      </c>
      <c r="BJ14" s="16">
        <f t="shared" si="77"/>
        <v>110250.00000000001</v>
      </c>
      <c r="BK14" s="16">
        <f t="shared" si="78"/>
        <v>27562.500000000004</v>
      </c>
      <c r="BL14" s="16">
        <f t="shared" si="78"/>
        <v>27562.500000000004</v>
      </c>
      <c r="BM14" s="16">
        <f t="shared" si="78"/>
        <v>27562.500000000004</v>
      </c>
      <c r="BN14" s="16">
        <f t="shared" si="78"/>
        <v>27562.500000000004</v>
      </c>
      <c r="BP14" s="16">
        <f t="shared" si="79"/>
        <v>208775.00000000003</v>
      </c>
      <c r="BQ14" s="16">
        <f t="shared" si="80"/>
        <v>52193.750000000007</v>
      </c>
      <c r="BR14" s="16">
        <f t="shared" si="80"/>
        <v>52193.750000000007</v>
      </c>
      <c r="BS14" s="16">
        <f t="shared" si="80"/>
        <v>52193.750000000007</v>
      </c>
      <c r="BT14" s="16">
        <f t="shared" si="80"/>
        <v>52193.750000000007</v>
      </c>
      <c r="BV14" s="16">
        <f t="shared" si="81"/>
        <v>254275.00000000003</v>
      </c>
      <c r="BW14" s="16">
        <f t="shared" si="82"/>
        <v>63568.750000000007</v>
      </c>
      <c r="BX14" s="16">
        <f t="shared" si="82"/>
        <v>63568.750000000007</v>
      </c>
      <c r="BY14" s="16">
        <f t="shared" si="82"/>
        <v>63568.750000000007</v>
      </c>
      <c r="BZ14" s="16">
        <f t="shared" si="82"/>
        <v>63568.750000000007</v>
      </c>
    </row>
    <row r="15" spans="1:78" s="16" customFormat="1" x14ac:dyDescent="0.25">
      <c r="B15" s="16" t="s">
        <v>22</v>
      </c>
      <c r="C15" s="20">
        <f>+'G&amp;A'!C15</f>
        <v>0</v>
      </c>
      <c r="E15" s="16">
        <f t="shared" si="83"/>
        <v>0</v>
      </c>
      <c r="F15" s="16">
        <f t="shared" si="59"/>
        <v>0</v>
      </c>
      <c r="G15" s="16">
        <f t="shared" si="59"/>
        <v>0</v>
      </c>
      <c r="H15" s="16">
        <f t="shared" si="59"/>
        <v>0</v>
      </c>
      <c r="I15" s="16">
        <f t="shared" si="59"/>
        <v>0</v>
      </c>
      <c r="J15" s="16">
        <f t="shared" si="59"/>
        <v>0</v>
      </c>
      <c r="K15" s="16">
        <f t="shared" si="59"/>
        <v>0</v>
      </c>
      <c r="L15" s="16">
        <f t="shared" si="59"/>
        <v>0</v>
      </c>
      <c r="M15" s="16">
        <f t="shared" si="59"/>
        <v>0</v>
      </c>
      <c r="N15" s="16">
        <f t="shared" si="59"/>
        <v>0</v>
      </c>
      <c r="O15" s="16">
        <f t="shared" si="59"/>
        <v>0</v>
      </c>
      <c r="P15" s="16">
        <f t="shared" si="59"/>
        <v>0</v>
      </c>
      <c r="R15" s="16">
        <f t="shared" si="83"/>
        <v>0</v>
      </c>
      <c r="S15" s="16">
        <f t="shared" si="60"/>
        <v>0</v>
      </c>
      <c r="T15" s="16">
        <f t="shared" si="60"/>
        <v>0</v>
      </c>
      <c r="U15" s="16">
        <f t="shared" si="60"/>
        <v>0</v>
      </c>
      <c r="V15" s="16">
        <f t="shared" si="60"/>
        <v>0</v>
      </c>
      <c r="W15" s="16">
        <f t="shared" si="60"/>
        <v>0</v>
      </c>
      <c r="X15" s="16">
        <f t="shared" si="60"/>
        <v>0</v>
      </c>
      <c r="Y15" s="16">
        <f t="shared" si="60"/>
        <v>0</v>
      </c>
      <c r="Z15" s="16">
        <f t="shared" si="60"/>
        <v>0</v>
      </c>
      <c r="AA15" s="16">
        <f t="shared" si="60"/>
        <v>0</v>
      </c>
      <c r="AB15" s="16">
        <f t="shared" si="60"/>
        <v>0</v>
      </c>
      <c r="AC15" s="16">
        <f t="shared" si="60"/>
        <v>0</v>
      </c>
      <c r="AE15" s="16">
        <f t="shared" si="61"/>
        <v>0</v>
      </c>
      <c r="AF15" s="16">
        <f t="shared" si="61"/>
        <v>0</v>
      </c>
      <c r="AG15" s="16">
        <f t="shared" si="61"/>
        <v>0</v>
      </c>
      <c r="AH15" s="16">
        <f t="shared" si="61"/>
        <v>0</v>
      </c>
      <c r="AI15" s="16">
        <f t="shared" si="61"/>
        <v>0</v>
      </c>
      <c r="AJ15" s="16">
        <f t="shared" si="61"/>
        <v>0</v>
      </c>
      <c r="AK15" s="16">
        <f t="shared" si="61"/>
        <v>0</v>
      </c>
      <c r="AL15" s="16">
        <f t="shared" si="61"/>
        <v>0</v>
      </c>
      <c r="AM15" s="16">
        <f t="shared" si="61"/>
        <v>0</v>
      </c>
      <c r="AN15" s="16">
        <f t="shared" si="61"/>
        <v>0</v>
      </c>
      <c r="AO15" s="16">
        <f t="shared" si="61"/>
        <v>0</v>
      </c>
      <c r="AP15" s="16">
        <f t="shared" si="61"/>
        <v>0</v>
      </c>
      <c r="AR15" s="16">
        <f t="shared" si="62"/>
        <v>0</v>
      </c>
      <c r="AS15" s="16">
        <f t="shared" si="63"/>
        <v>0</v>
      </c>
      <c r="AT15" s="16">
        <f t="shared" si="64"/>
        <v>0</v>
      </c>
      <c r="AU15" s="16">
        <f t="shared" si="65"/>
        <v>0</v>
      </c>
      <c r="AV15" s="16">
        <f t="shared" si="66"/>
        <v>0</v>
      </c>
      <c r="AX15" s="16">
        <f t="shared" si="67"/>
        <v>0</v>
      </c>
      <c r="AY15" s="16">
        <f t="shared" si="68"/>
        <v>0</v>
      </c>
      <c r="AZ15" s="16">
        <f t="shared" si="69"/>
        <v>0</v>
      </c>
      <c r="BA15" s="16">
        <f t="shared" si="70"/>
        <v>0</v>
      </c>
      <c r="BB15" s="16">
        <f t="shared" si="71"/>
        <v>0</v>
      </c>
      <c r="BD15" s="16">
        <f t="shared" si="72"/>
        <v>0</v>
      </c>
      <c r="BE15" s="16">
        <f t="shared" si="73"/>
        <v>0</v>
      </c>
      <c r="BF15" s="16">
        <f t="shared" si="74"/>
        <v>0</v>
      </c>
      <c r="BG15" s="16">
        <f t="shared" si="75"/>
        <v>0</v>
      </c>
      <c r="BH15" s="16">
        <f t="shared" si="76"/>
        <v>0</v>
      </c>
      <c r="BJ15" s="16">
        <f t="shared" si="77"/>
        <v>0</v>
      </c>
      <c r="BK15" s="16">
        <f t="shared" si="78"/>
        <v>0</v>
      </c>
      <c r="BL15" s="16">
        <f t="shared" si="78"/>
        <v>0</v>
      </c>
      <c r="BM15" s="16">
        <f t="shared" si="78"/>
        <v>0</v>
      </c>
      <c r="BN15" s="16">
        <f t="shared" si="78"/>
        <v>0</v>
      </c>
      <c r="BP15" s="16">
        <f t="shared" si="79"/>
        <v>0</v>
      </c>
      <c r="BQ15" s="16">
        <f t="shared" si="80"/>
        <v>0</v>
      </c>
      <c r="BR15" s="16">
        <f t="shared" si="80"/>
        <v>0</v>
      </c>
      <c r="BS15" s="16">
        <f t="shared" si="80"/>
        <v>0</v>
      </c>
      <c r="BT15" s="16">
        <f t="shared" si="80"/>
        <v>0</v>
      </c>
      <c r="BV15" s="16">
        <f t="shared" si="81"/>
        <v>0</v>
      </c>
      <c r="BW15" s="16">
        <f t="shared" si="82"/>
        <v>0</v>
      </c>
      <c r="BX15" s="16">
        <f t="shared" si="82"/>
        <v>0</v>
      </c>
      <c r="BY15" s="16">
        <f t="shared" si="82"/>
        <v>0</v>
      </c>
      <c r="BZ15" s="16">
        <f t="shared" si="82"/>
        <v>0</v>
      </c>
    </row>
    <row r="16" spans="1:78" s="16" customFormat="1" x14ac:dyDescent="0.25"/>
    <row r="17" spans="2:78" s="16" customFormat="1" x14ac:dyDescent="0.25">
      <c r="B17" s="16" t="s">
        <v>23</v>
      </c>
      <c r="C17" s="21">
        <f>SUM(C11:C16)</f>
        <v>0.27300000000000002</v>
      </c>
      <c r="E17" s="17">
        <f>SUBTOTAL(9,E11:E16)</f>
        <v>0</v>
      </c>
      <c r="F17" s="17">
        <f t="shared" ref="F17:O17" si="84">SUBTOTAL(9,F11:F16)</f>
        <v>0</v>
      </c>
      <c r="G17" s="17">
        <f t="shared" si="84"/>
        <v>0</v>
      </c>
      <c r="H17" s="17">
        <f t="shared" si="84"/>
        <v>0</v>
      </c>
      <c r="I17" s="17">
        <f t="shared" si="84"/>
        <v>0</v>
      </c>
      <c r="J17" s="17">
        <f t="shared" si="84"/>
        <v>0</v>
      </c>
      <c r="K17" s="17">
        <f t="shared" si="84"/>
        <v>0</v>
      </c>
      <c r="L17" s="17">
        <f t="shared" si="84"/>
        <v>0</v>
      </c>
      <c r="M17" s="17">
        <f t="shared" si="84"/>
        <v>0</v>
      </c>
      <c r="N17" s="17">
        <f t="shared" si="84"/>
        <v>0</v>
      </c>
      <c r="O17" s="17">
        <f t="shared" si="84"/>
        <v>0</v>
      </c>
      <c r="P17" s="17">
        <f t="shared" ref="P17" si="85">SUBTOTAL(9,P13:P16)</f>
        <v>0</v>
      </c>
      <c r="R17" s="17">
        <f>SUBTOTAL(9,R11:R16)</f>
        <v>0</v>
      </c>
      <c r="S17" s="17">
        <f t="shared" ref="S17" si="86">SUBTOTAL(9,S11:S16)</f>
        <v>0</v>
      </c>
      <c r="T17" s="17">
        <f t="shared" ref="T17" si="87">SUBTOTAL(9,T11:T16)</f>
        <v>3867.5000000000005</v>
      </c>
      <c r="U17" s="17">
        <f t="shared" ref="U17" si="88">SUBTOTAL(9,U11:U16)</f>
        <v>3867.5000000000005</v>
      </c>
      <c r="V17" s="17">
        <f t="shared" ref="V17" si="89">SUBTOTAL(9,V11:V16)</f>
        <v>3867.5000000000005</v>
      </c>
      <c r="W17" s="17">
        <f t="shared" ref="W17" si="90">SUBTOTAL(9,W11:W16)</f>
        <v>3867.5000000000005</v>
      </c>
      <c r="X17" s="17">
        <f t="shared" ref="X17" si="91">SUBTOTAL(9,X11:X16)</f>
        <v>3867.5000000000005</v>
      </c>
      <c r="Y17" s="17">
        <f t="shared" ref="Y17" si="92">SUBTOTAL(9,Y11:Y16)</f>
        <v>3867.5000000000005</v>
      </c>
      <c r="Z17" s="17">
        <f t="shared" ref="Z17" si="93">SUBTOTAL(9,Z11:Z16)</f>
        <v>3867.5000000000005</v>
      </c>
      <c r="AA17" s="17">
        <f t="shared" ref="AA17" si="94">SUBTOTAL(9,AA11:AA16)</f>
        <v>3867.5000000000005</v>
      </c>
      <c r="AB17" s="17">
        <f t="shared" ref="AB17" si="95">SUBTOTAL(9,AB11:AB16)</f>
        <v>3867.5000000000005</v>
      </c>
      <c r="AC17" s="17">
        <f t="shared" ref="AC17:AP17" si="96">SUBTOTAL(9,AC11:AC16)</f>
        <v>3867.5000000000005</v>
      </c>
      <c r="AE17" s="17">
        <f t="shared" si="96"/>
        <v>7052.5000000000009</v>
      </c>
      <c r="AF17" s="17">
        <f t="shared" si="96"/>
        <v>7052.5000000000009</v>
      </c>
      <c r="AG17" s="17">
        <f t="shared" si="96"/>
        <v>7052.5000000000009</v>
      </c>
      <c r="AH17" s="17">
        <f t="shared" si="96"/>
        <v>7052.5000000000009</v>
      </c>
      <c r="AI17" s="17">
        <f t="shared" si="96"/>
        <v>7052.5000000000009</v>
      </c>
      <c r="AJ17" s="17">
        <f t="shared" si="96"/>
        <v>7052.5000000000009</v>
      </c>
      <c r="AK17" s="17">
        <f t="shared" si="96"/>
        <v>7052.5000000000009</v>
      </c>
      <c r="AL17" s="17">
        <f t="shared" si="96"/>
        <v>7052.5000000000009</v>
      </c>
      <c r="AM17" s="17">
        <f t="shared" si="96"/>
        <v>7052.5000000000009</v>
      </c>
      <c r="AN17" s="17">
        <f t="shared" si="96"/>
        <v>7052.5000000000009</v>
      </c>
      <c r="AO17" s="17">
        <f t="shared" si="96"/>
        <v>7052.5000000000009</v>
      </c>
      <c r="AP17" s="17">
        <f t="shared" si="96"/>
        <v>7052.5000000000009</v>
      </c>
      <c r="AR17" s="17">
        <f t="shared" ref="AR17:AV18" si="97">SUBTOTAL(9,AR13:AR16)</f>
        <v>0</v>
      </c>
      <c r="AS17" s="17">
        <f t="shared" si="97"/>
        <v>0</v>
      </c>
      <c r="AT17" s="17">
        <f t="shared" si="97"/>
        <v>0</v>
      </c>
      <c r="AU17" s="17">
        <f t="shared" si="97"/>
        <v>0</v>
      </c>
      <c r="AV17" s="17">
        <f t="shared" si="97"/>
        <v>0</v>
      </c>
      <c r="AX17" s="17">
        <f t="shared" ref="AX17:BB18" si="98">SUBTOTAL(9,AX13:AX16)</f>
        <v>21958.333333333336</v>
      </c>
      <c r="AY17" s="17">
        <f t="shared" si="98"/>
        <v>2195.8333333333335</v>
      </c>
      <c r="AZ17" s="17">
        <f t="shared" si="98"/>
        <v>6587.5</v>
      </c>
      <c r="BA17" s="17">
        <f t="shared" si="98"/>
        <v>6587.5</v>
      </c>
      <c r="BB17" s="17">
        <f t="shared" si="98"/>
        <v>6587.5</v>
      </c>
      <c r="BD17" s="17">
        <f t="shared" ref="BD17:BH18" si="99">SUBTOTAL(9,BD13:BD16)</f>
        <v>48050</v>
      </c>
      <c r="BE17" s="17">
        <f t="shared" si="99"/>
        <v>12012.5</v>
      </c>
      <c r="BF17" s="17">
        <f t="shared" si="99"/>
        <v>12012.5</v>
      </c>
      <c r="BG17" s="17">
        <f t="shared" si="99"/>
        <v>12012.5</v>
      </c>
      <c r="BH17" s="17">
        <f t="shared" si="99"/>
        <v>12012.5</v>
      </c>
      <c r="BJ17" s="17">
        <f t="shared" ref="BJ17" si="100">SUBTOTAL(9,BJ11:BJ16)</f>
        <v>859950</v>
      </c>
      <c r="BK17" s="17">
        <f t="shared" ref="BK17:BN17" si="101">SUBTOTAL(9,BK11:BK16)</f>
        <v>214987.5</v>
      </c>
      <c r="BL17" s="17">
        <f t="shared" si="101"/>
        <v>214987.5</v>
      </c>
      <c r="BM17" s="17">
        <f t="shared" si="101"/>
        <v>214987.5</v>
      </c>
      <c r="BN17" s="17">
        <f t="shared" si="101"/>
        <v>214987.5</v>
      </c>
      <c r="BP17" s="17">
        <f t="shared" ref="BP17" si="102">SUBTOTAL(9,BP11:BP16)</f>
        <v>1628445</v>
      </c>
      <c r="BQ17" s="17">
        <f t="shared" ref="BQ17:BT17" si="103">SUBTOTAL(9,BQ11:BQ16)</f>
        <v>407111.25</v>
      </c>
      <c r="BR17" s="17">
        <f t="shared" si="103"/>
        <v>407111.25</v>
      </c>
      <c r="BS17" s="17">
        <f t="shared" si="103"/>
        <v>407111.25</v>
      </c>
      <c r="BT17" s="17">
        <f t="shared" si="103"/>
        <v>407111.25</v>
      </c>
      <c r="BV17" s="17">
        <f t="shared" ref="BV17" si="104">SUBTOTAL(9,BV11:BV16)</f>
        <v>1983345</v>
      </c>
      <c r="BW17" s="17">
        <f t="shared" ref="BW17:BZ17" si="105">SUBTOTAL(9,BW11:BW16)</f>
        <v>495836.25</v>
      </c>
      <c r="BX17" s="17">
        <f t="shared" si="105"/>
        <v>495836.25</v>
      </c>
      <c r="BY17" s="17">
        <f t="shared" si="105"/>
        <v>495836.25</v>
      </c>
      <c r="BZ17" s="17">
        <f t="shared" si="105"/>
        <v>495836.25</v>
      </c>
    </row>
    <row r="18" spans="2:78" s="16" customFormat="1" x14ac:dyDescent="0.25">
      <c r="B18" s="16" t="s">
        <v>24</v>
      </c>
      <c r="E18" s="17">
        <f>SUBTOTAL(9,E5:E16)</f>
        <v>0</v>
      </c>
      <c r="F18" s="17">
        <f t="shared" ref="F18:O18" si="106">SUBTOTAL(9,F5:F16)</f>
        <v>0</v>
      </c>
      <c r="G18" s="17">
        <f t="shared" si="106"/>
        <v>0</v>
      </c>
      <c r="H18" s="17">
        <f t="shared" si="106"/>
        <v>0</v>
      </c>
      <c r="I18" s="17">
        <f t="shared" si="106"/>
        <v>0</v>
      </c>
      <c r="J18" s="17">
        <f t="shared" si="106"/>
        <v>0</v>
      </c>
      <c r="K18" s="17">
        <f t="shared" si="106"/>
        <v>0</v>
      </c>
      <c r="L18" s="17">
        <f t="shared" si="106"/>
        <v>0</v>
      </c>
      <c r="M18" s="17">
        <f t="shared" si="106"/>
        <v>0</v>
      </c>
      <c r="N18" s="17">
        <f t="shared" si="106"/>
        <v>0</v>
      </c>
      <c r="O18" s="17">
        <f t="shared" si="106"/>
        <v>0</v>
      </c>
      <c r="P18" s="17">
        <f t="shared" ref="P18" si="107">SUBTOTAL(9,P14:P17)</f>
        <v>0</v>
      </c>
      <c r="R18" s="17">
        <f>SUBTOTAL(9,R5:R16)</f>
        <v>0</v>
      </c>
      <c r="S18" s="17">
        <f t="shared" ref="S18:AC18" si="108">SUBTOTAL(9,S5:S16)</f>
        <v>0</v>
      </c>
      <c r="T18" s="17">
        <f t="shared" si="108"/>
        <v>18034.166666666668</v>
      </c>
      <c r="U18" s="17">
        <f t="shared" si="108"/>
        <v>18034.166666666668</v>
      </c>
      <c r="V18" s="17">
        <f t="shared" si="108"/>
        <v>18034.166666666668</v>
      </c>
      <c r="W18" s="17">
        <f t="shared" si="108"/>
        <v>18034.166666666668</v>
      </c>
      <c r="X18" s="17">
        <f t="shared" si="108"/>
        <v>18034.166666666668</v>
      </c>
      <c r="Y18" s="17">
        <f t="shared" si="108"/>
        <v>18034.166666666668</v>
      </c>
      <c r="Z18" s="17">
        <f t="shared" si="108"/>
        <v>18034.166666666668</v>
      </c>
      <c r="AA18" s="17">
        <f t="shared" si="108"/>
        <v>18034.166666666668</v>
      </c>
      <c r="AB18" s="17">
        <f t="shared" si="108"/>
        <v>18034.166666666668</v>
      </c>
      <c r="AC18" s="17">
        <f t="shared" si="108"/>
        <v>18034.166666666668</v>
      </c>
      <c r="AE18" s="17">
        <f t="shared" ref="AE18:AP18" si="109">SUBTOTAL(9,AE5:AE16)</f>
        <v>32885.833333333336</v>
      </c>
      <c r="AF18" s="17">
        <f t="shared" si="109"/>
        <v>32885.833333333336</v>
      </c>
      <c r="AG18" s="17">
        <f t="shared" si="109"/>
        <v>32885.833333333336</v>
      </c>
      <c r="AH18" s="17">
        <f t="shared" si="109"/>
        <v>32885.833333333336</v>
      </c>
      <c r="AI18" s="17">
        <f t="shared" si="109"/>
        <v>32885.833333333336</v>
      </c>
      <c r="AJ18" s="17">
        <f t="shared" si="109"/>
        <v>32885.833333333336</v>
      </c>
      <c r="AK18" s="17">
        <f t="shared" si="109"/>
        <v>32885.833333333336</v>
      </c>
      <c r="AL18" s="17">
        <f t="shared" si="109"/>
        <v>32885.833333333336</v>
      </c>
      <c r="AM18" s="17">
        <f t="shared" si="109"/>
        <v>32885.833333333336</v>
      </c>
      <c r="AN18" s="17">
        <f t="shared" si="109"/>
        <v>32885.833333333336</v>
      </c>
      <c r="AO18" s="17">
        <f t="shared" si="109"/>
        <v>32885.833333333336</v>
      </c>
      <c r="AP18" s="17">
        <f t="shared" si="109"/>
        <v>32885.833333333336</v>
      </c>
      <c r="AR18" s="17">
        <f t="shared" si="97"/>
        <v>0</v>
      </c>
      <c r="AS18" s="17">
        <f t="shared" si="97"/>
        <v>0</v>
      </c>
      <c r="AT18" s="17">
        <f t="shared" si="97"/>
        <v>0</v>
      </c>
      <c r="AU18" s="17">
        <f t="shared" si="97"/>
        <v>0</v>
      </c>
      <c r="AV18" s="17">
        <f t="shared" si="97"/>
        <v>0</v>
      </c>
      <c r="AX18" s="17">
        <f t="shared" si="98"/>
        <v>4958.3333333333339</v>
      </c>
      <c r="AY18" s="17">
        <f t="shared" si="98"/>
        <v>495.83333333333343</v>
      </c>
      <c r="AZ18" s="17">
        <f t="shared" si="98"/>
        <v>1487.5000000000002</v>
      </c>
      <c r="BA18" s="17">
        <f t="shared" si="98"/>
        <v>1487.5000000000002</v>
      </c>
      <c r="BB18" s="17">
        <f t="shared" si="98"/>
        <v>1487.5000000000002</v>
      </c>
      <c r="BD18" s="17">
        <f t="shared" si="99"/>
        <v>10850</v>
      </c>
      <c r="BE18" s="17">
        <f t="shared" si="99"/>
        <v>2712.5000000000005</v>
      </c>
      <c r="BF18" s="17">
        <f t="shared" si="99"/>
        <v>2712.5000000000005</v>
      </c>
      <c r="BG18" s="17">
        <f t="shared" si="99"/>
        <v>2712.5000000000005</v>
      </c>
      <c r="BH18" s="17">
        <f t="shared" si="99"/>
        <v>2712.5000000000005</v>
      </c>
      <c r="BJ18" s="17">
        <f t="shared" ref="BJ18" si="110">SUBTOTAL(9,BJ5:BJ16)</f>
        <v>4009950</v>
      </c>
      <c r="BK18" s="17">
        <f t="shared" ref="BK18:BN18" si="111">SUBTOTAL(9,BK5:BK16)</f>
        <v>1002487.5</v>
      </c>
      <c r="BL18" s="17">
        <f t="shared" si="111"/>
        <v>1002487.5</v>
      </c>
      <c r="BM18" s="17">
        <f t="shared" si="111"/>
        <v>1002487.5</v>
      </c>
      <c r="BN18" s="17">
        <f t="shared" si="111"/>
        <v>1002487.5</v>
      </c>
      <c r="BP18" s="17">
        <f t="shared" ref="BP18" si="112">SUBTOTAL(9,BP5:BP16)</f>
        <v>7593445</v>
      </c>
      <c r="BQ18" s="17">
        <f t="shared" ref="BQ18:BT18" si="113">SUBTOTAL(9,BQ5:BQ16)</f>
        <v>1898361.25</v>
      </c>
      <c r="BR18" s="17">
        <f t="shared" si="113"/>
        <v>1898361.25</v>
      </c>
      <c r="BS18" s="17">
        <f t="shared" si="113"/>
        <v>1898361.25</v>
      </c>
      <c r="BT18" s="17">
        <f t="shared" si="113"/>
        <v>1898361.25</v>
      </c>
      <c r="BV18" s="17">
        <f t="shared" ref="BV18" si="114">SUBTOTAL(9,BV5:BV16)</f>
        <v>9248345</v>
      </c>
      <c r="BW18" s="17">
        <f t="shared" ref="BW18:BZ18" si="115">SUBTOTAL(9,BW5:BW16)</f>
        <v>2312086.25</v>
      </c>
      <c r="BX18" s="17">
        <f t="shared" si="115"/>
        <v>2312086.25</v>
      </c>
      <c r="BY18" s="17">
        <f t="shared" si="115"/>
        <v>2312086.25</v>
      </c>
      <c r="BZ18" s="17">
        <f t="shared" si="115"/>
        <v>2312086.25</v>
      </c>
    </row>
    <row r="19" spans="2:78" s="16" customFormat="1" x14ac:dyDescent="0.25"/>
    <row r="20" spans="2:78" s="16" customFormat="1" x14ac:dyDescent="0.25">
      <c r="B20" s="16" t="s">
        <v>25</v>
      </c>
      <c r="AR20" s="16">
        <f t="shared" ref="AR20" si="116">SUM(E20:P20)</f>
        <v>0</v>
      </c>
      <c r="AS20" s="16">
        <f t="shared" ref="AS20" si="117">SUM(E20:G20)</f>
        <v>0</v>
      </c>
      <c r="AT20" s="16">
        <f t="shared" ref="AT20" si="118">SUM(H20:J20)</f>
        <v>0</v>
      </c>
      <c r="AU20" s="16">
        <f t="shared" ref="AU20" si="119">SUM(K20:M20)</f>
        <v>0</v>
      </c>
      <c r="AV20" s="16">
        <f t="shared" ref="AV20" si="120">SUM(N20:P20)</f>
        <v>0</v>
      </c>
      <c r="AX20" s="16">
        <f t="shared" ref="AX20" si="121">SUM(R20:AC20)</f>
        <v>0</v>
      </c>
      <c r="AY20" s="16">
        <f t="shared" ref="AY20" si="122">SUM(R20:T20)</f>
        <v>0</v>
      </c>
      <c r="AZ20" s="16">
        <f t="shared" ref="AZ20" si="123">SUM(U20:W20)</f>
        <v>0</v>
      </c>
      <c r="BA20" s="16">
        <f t="shared" ref="BA20" si="124">SUM(X20:Z20)</f>
        <v>0</v>
      </c>
      <c r="BB20" s="16">
        <f t="shared" ref="BB20" si="125">SUM(AA20:AC20)</f>
        <v>0</v>
      </c>
      <c r="BD20" s="16">
        <f t="shared" ref="BD20" si="126">SUM(AE20:AP20)</f>
        <v>0</v>
      </c>
      <c r="BE20" s="16">
        <f t="shared" ref="BE20" si="127">SUM(AE20:AG20)</f>
        <v>0</v>
      </c>
      <c r="BF20" s="16">
        <f t="shared" ref="BF20" si="128">SUM(AH20:AJ20)</f>
        <v>0</v>
      </c>
      <c r="BG20" s="16">
        <f t="shared" ref="BG20" si="129">SUM(AK20:AM20)</f>
        <v>0</v>
      </c>
      <c r="BH20" s="16">
        <f t="shared" ref="BH20" si="130">SUM(AN20:AP20)</f>
        <v>0</v>
      </c>
    </row>
    <row r="21" spans="2:78" s="16" customFormat="1" x14ac:dyDescent="0.25">
      <c r="B21" s="16" t="s">
        <v>26</v>
      </c>
      <c r="AR21" s="16">
        <f t="shared" ref="AR21:AR24" si="131">SUM(E21:P21)</f>
        <v>0</v>
      </c>
      <c r="AS21" s="16">
        <f t="shared" ref="AS21:AS24" si="132">SUM(E21:G21)</f>
        <v>0</v>
      </c>
      <c r="AT21" s="16">
        <f t="shared" ref="AT21:AT24" si="133">SUM(H21:J21)</f>
        <v>0</v>
      </c>
      <c r="AU21" s="16">
        <f t="shared" ref="AU21:AU24" si="134">SUM(K21:M21)</f>
        <v>0</v>
      </c>
      <c r="AV21" s="16">
        <f t="shared" ref="AV21:AV24" si="135">SUM(N21:P21)</f>
        <v>0</v>
      </c>
      <c r="AX21" s="16">
        <f t="shared" ref="AX21:AX24" si="136">SUM(R21:AC21)</f>
        <v>0</v>
      </c>
      <c r="AY21" s="16">
        <f t="shared" ref="AY21:AY24" si="137">SUM(R21:T21)</f>
        <v>0</v>
      </c>
      <c r="AZ21" s="16">
        <f t="shared" ref="AZ21:AZ24" si="138">SUM(U21:W21)</f>
        <v>0</v>
      </c>
      <c r="BA21" s="16">
        <f t="shared" ref="BA21:BA24" si="139">SUM(X21:Z21)</f>
        <v>0</v>
      </c>
      <c r="BB21" s="16">
        <f t="shared" ref="BB21:BB24" si="140">SUM(AA21:AC21)</f>
        <v>0</v>
      </c>
      <c r="BD21" s="16">
        <f t="shared" ref="BD21:BD24" si="141">SUM(AE21:AP21)</f>
        <v>0</v>
      </c>
      <c r="BE21" s="16">
        <f t="shared" ref="BE21:BE24" si="142">SUM(AE21:AG21)</f>
        <v>0</v>
      </c>
      <c r="BF21" s="16">
        <f t="shared" ref="BF21:BF24" si="143">SUM(AH21:AJ21)</f>
        <v>0</v>
      </c>
      <c r="BG21" s="16">
        <f t="shared" ref="BG21:BG24" si="144">SUM(AK21:AM21)</f>
        <v>0</v>
      </c>
      <c r="BH21" s="16">
        <f t="shared" ref="BH21:BH24" si="145">SUM(AN21:AP21)</f>
        <v>0</v>
      </c>
    </row>
    <row r="22" spans="2:78" s="16" customFormat="1" x14ac:dyDescent="0.25">
      <c r="B22" s="16" t="s">
        <v>95</v>
      </c>
      <c r="AR22" s="16">
        <f t="shared" si="131"/>
        <v>0</v>
      </c>
      <c r="AS22" s="16">
        <f t="shared" si="132"/>
        <v>0</v>
      </c>
      <c r="AT22" s="16">
        <f t="shared" si="133"/>
        <v>0</v>
      </c>
      <c r="AU22" s="16">
        <f t="shared" si="134"/>
        <v>0</v>
      </c>
      <c r="AV22" s="16">
        <f t="shared" si="135"/>
        <v>0</v>
      </c>
      <c r="AX22" s="16">
        <f t="shared" si="136"/>
        <v>0</v>
      </c>
      <c r="AY22" s="16">
        <f t="shared" si="137"/>
        <v>0</v>
      </c>
      <c r="AZ22" s="16">
        <f t="shared" si="138"/>
        <v>0</v>
      </c>
      <c r="BA22" s="16">
        <f t="shared" si="139"/>
        <v>0</v>
      </c>
      <c r="BB22" s="16">
        <f t="shared" si="140"/>
        <v>0</v>
      </c>
      <c r="BD22" s="16">
        <f t="shared" si="141"/>
        <v>0</v>
      </c>
      <c r="BE22" s="16">
        <f t="shared" si="142"/>
        <v>0</v>
      </c>
      <c r="BF22" s="16">
        <f t="shared" si="143"/>
        <v>0</v>
      </c>
      <c r="BG22" s="16">
        <f t="shared" si="144"/>
        <v>0</v>
      </c>
      <c r="BH22" s="16">
        <f t="shared" si="145"/>
        <v>0</v>
      </c>
    </row>
    <row r="23" spans="2:78" s="16" customFormat="1" x14ac:dyDescent="0.25">
      <c r="B23" s="16" t="s">
        <v>27</v>
      </c>
      <c r="AR23" s="16">
        <f t="shared" si="131"/>
        <v>0</v>
      </c>
      <c r="AS23" s="16">
        <f t="shared" si="132"/>
        <v>0</v>
      </c>
      <c r="AT23" s="16">
        <f t="shared" si="133"/>
        <v>0</v>
      </c>
      <c r="AU23" s="16">
        <f t="shared" si="134"/>
        <v>0</v>
      </c>
      <c r="AV23" s="16">
        <f t="shared" si="135"/>
        <v>0</v>
      </c>
      <c r="AX23" s="16">
        <f t="shared" si="136"/>
        <v>0</v>
      </c>
      <c r="AY23" s="16">
        <f t="shared" si="137"/>
        <v>0</v>
      </c>
      <c r="AZ23" s="16">
        <f t="shared" si="138"/>
        <v>0</v>
      </c>
      <c r="BA23" s="16">
        <f t="shared" si="139"/>
        <v>0</v>
      </c>
      <c r="BB23" s="16">
        <f t="shared" si="140"/>
        <v>0</v>
      </c>
      <c r="BD23" s="16">
        <f t="shared" si="141"/>
        <v>0</v>
      </c>
      <c r="BE23" s="16">
        <f t="shared" si="142"/>
        <v>0</v>
      </c>
      <c r="BF23" s="16">
        <f t="shared" si="143"/>
        <v>0</v>
      </c>
      <c r="BG23" s="16">
        <f t="shared" si="144"/>
        <v>0</v>
      </c>
      <c r="BH23" s="16">
        <f t="shared" si="145"/>
        <v>0</v>
      </c>
    </row>
    <row r="24" spans="2:78" s="16" customFormat="1" x14ac:dyDescent="0.25">
      <c r="B24" s="16" t="s">
        <v>28</v>
      </c>
      <c r="E24" s="16">
        <f>+E267</f>
        <v>0</v>
      </c>
      <c r="F24" s="16">
        <f t="shared" ref="F24:P24" si="146">+F267</f>
        <v>0</v>
      </c>
      <c r="G24" s="16">
        <f t="shared" si="146"/>
        <v>0</v>
      </c>
      <c r="H24" s="16">
        <f t="shared" si="146"/>
        <v>0</v>
      </c>
      <c r="I24" s="16">
        <f t="shared" si="146"/>
        <v>0</v>
      </c>
      <c r="J24" s="16">
        <f t="shared" si="146"/>
        <v>0</v>
      </c>
      <c r="K24" s="16">
        <f t="shared" si="146"/>
        <v>0</v>
      </c>
      <c r="L24" s="16">
        <f t="shared" si="146"/>
        <v>0</v>
      </c>
      <c r="M24" s="16">
        <f t="shared" si="146"/>
        <v>0</v>
      </c>
      <c r="N24" s="16">
        <f t="shared" si="146"/>
        <v>0</v>
      </c>
      <c r="O24" s="16">
        <f t="shared" si="146"/>
        <v>0</v>
      </c>
      <c r="P24" s="16">
        <f t="shared" si="146"/>
        <v>0</v>
      </c>
      <c r="R24" s="16">
        <f>+R267</f>
        <v>0</v>
      </c>
      <c r="S24" s="16">
        <f t="shared" ref="S24:AC24" si="147">+S267</f>
        <v>0</v>
      </c>
      <c r="T24" s="16">
        <f t="shared" si="147"/>
        <v>0</v>
      </c>
      <c r="U24" s="16">
        <f t="shared" si="147"/>
        <v>0</v>
      </c>
      <c r="V24" s="16">
        <f t="shared" si="147"/>
        <v>0</v>
      </c>
      <c r="W24" s="16">
        <f t="shared" si="147"/>
        <v>0</v>
      </c>
      <c r="X24" s="16">
        <f t="shared" si="147"/>
        <v>0</v>
      </c>
      <c r="Y24" s="16">
        <f t="shared" si="147"/>
        <v>0</v>
      </c>
      <c r="Z24" s="16">
        <f t="shared" si="147"/>
        <v>0</v>
      </c>
      <c r="AA24" s="16">
        <f t="shared" si="147"/>
        <v>0</v>
      </c>
      <c r="AB24" s="16">
        <f t="shared" si="147"/>
        <v>0</v>
      </c>
      <c r="AC24" s="16">
        <f t="shared" si="147"/>
        <v>0</v>
      </c>
      <c r="AE24" s="16">
        <f t="shared" ref="AE24:AP24" si="148">+AE267</f>
        <v>0</v>
      </c>
      <c r="AF24" s="16">
        <f t="shared" si="148"/>
        <v>0</v>
      </c>
      <c r="AG24" s="16">
        <f t="shared" si="148"/>
        <v>0</v>
      </c>
      <c r="AH24" s="16">
        <f t="shared" si="148"/>
        <v>0</v>
      </c>
      <c r="AI24" s="16">
        <f t="shared" si="148"/>
        <v>0</v>
      </c>
      <c r="AJ24" s="16">
        <f t="shared" si="148"/>
        <v>0</v>
      </c>
      <c r="AK24" s="16">
        <f t="shared" si="148"/>
        <v>0</v>
      </c>
      <c r="AL24" s="16">
        <f t="shared" si="148"/>
        <v>0</v>
      </c>
      <c r="AM24" s="16">
        <f t="shared" si="148"/>
        <v>0</v>
      </c>
      <c r="AN24" s="16">
        <f t="shared" si="148"/>
        <v>0</v>
      </c>
      <c r="AO24" s="16">
        <f t="shared" si="148"/>
        <v>0</v>
      </c>
      <c r="AP24" s="16">
        <f t="shared" si="148"/>
        <v>0</v>
      </c>
      <c r="AR24" s="16">
        <f t="shared" si="131"/>
        <v>0</v>
      </c>
      <c r="AS24" s="16">
        <f t="shared" si="132"/>
        <v>0</v>
      </c>
      <c r="AT24" s="16">
        <f t="shared" si="133"/>
        <v>0</v>
      </c>
      <c r="AU24" s="16">
        <f t="shared" si="134"/>
        <v>0</v>
      </c>
      <c r="AV24" s="16">
        <f t="shared" si="135"/>
        <v>0</v>
      </c>
      <c r="AX24" s="16">
        <f t="shared" si="136"/>
        <v>0</v>
      </c>
      <c r="AY24" s="16">
        <f t="shared" si="137"/>
        <v>0</v>
      </c>
      <c r="AZ24" s="16">
        <f t="shared" si="138"/>
        <v>0</v>
      </c>
      <c r="BA24" s="16">
        <f t="shared" si="139"/>
        <v>0</v>
      </c>
      <c r="BB24" s="16">
        <f t="shared" si="140"/>
        <v>0</v>
      </c>
      <c r="BD24" s="16">
        <f t="shared" si="141"/>
        <v>0</v>
      </c>
      <c r="BE24" s="16">
        <f t="shared" si="142"/>
        <v>0</v>
      </c>
      <c r="BF24" s="16">
        <f t="shared" si="143"/>
        <v>0</v>
      </c>
      <c r="BG24" s="16">
        <f t="shared" si="144"/>
        <v>0</v>
      </c>
      <c r="BH24" s="16">
        <f t="shared" si="145"/>
        <v>0</v>
      </c>
      <c r="BJ24" s="16">
        <f>SUM(BK24:BN24)</f>
        <v>0</v>
      </c>
      <c r="BK24" s="16">
        <f t="shared" ref="BK24:BN24" si="149">+BK267</f>
        <v>0</v>
      </c>
      <c r="BL24" s="16">
        <f t="shared" si="149"/>
        <v>0</v>
      </c>
      <c r="BM24" s="16">
        <f t="shared" si="149"/>
        <v>0</v>
      </c>
      <c r="BN24" s="16">
        <f t="shared" si="149"/>
        <v>0</v>
      </c>
      <c r="BP24" s="16">
        <f>SUM(BQ24:BT24)</f>
        <v>0</v>
      </c>
      <c r="BQ24" s="16">
        <f t="shared" ref="BQ24:BT24" si="150">+BQ267</f>
        <v>0</v>
      </c>
      <c r="BR24" s="16">
        <f t="shared" si="150"/>
        <v>0</v>
      </c>
      <c r="BS24" s="16">
        <f t="shared" si="150"/>
        <v>0</v>
      </c>
      <c r="BT24" s="16">
        <f t="shared" si="150"/>
        <v>0</v>
      </c>
      <c r="BV24" s="16">
        <f>SUM(BW24:BZ24)</f>
        <v>0</v>
      </c>
      <c r="BW24" s="16">
        <f t="shared" ref="BW24:BZ24" si="151">+BW267</f>
        <v>0</v>
      </c>
      <c r="BX24" s="16">
        <f t="shared" si="151"/>
        <v>0</v>
      </c>
      <c r="BY24" s="16">
        <f t="shared" si="151"/>
        <v>0</v>
      </c>
      <c r="BZ24" s="16">
        <f t="shared" si="151"/>
        <v>0</v>
      </c>
    </row>
    <row r="25" spans="2:78" s="16" customFormat="1" x14ac:dyDescent="0.25"/>
    <row r="26" spans="2:78" s="16" customFormat="1" x14ac:dyDescent="0.25">
      <c r="B26" s="16" t="s">
        <v>29</v>
      </c>
      <c r="E26" s="17">
        <f>SUBTOTAL(9,E20:E25)</f>
        <v>0</v>
      </c>
      <c r="F26" s="17">
        <f t="shared" ref="F26:P26" si="152">SUBTOTAL(9,F20:F25)</f>
        <v>0</v>
      </c>
      <c r="G26" s="17">
        <f t="shared" si="152"/>
        <v>0</v>
      </c>
      <c r="H26" s="17">
        <f t="shared" si="152"/>
        <v>0</v>
      </c>
      <c r="I26" s="17">
        <f t="shared" si="152"/>
        <v>0</v>
      </c>
      <c r="J26" s="17">
        <f t="shared" si="152"/>
        <v>0</v>
      </c>
      <c r="K26" s="17">
        <f t="shared" si="152"/>
        <v>0</v>
      </c>
      <c r="L26" s="17">
        <f t="shared" si="152"/>
        <v>0</v>
      </c>
      <c r="M26" s="17">
        <f t="shared" si="152"/>
        <v>0</v>
      </c>
      <c r="N26" s="17">
        <f t="shared" si="152"/>
        <v>0</v>
      </c>
      <c r="O26" s="17">
        <f t="shared" si="152"/>
        <v>0</v>
      </c>
      <c r="P26" s="17">
        <f t="shared" si="152"/>
        <v>0</v>
      </c>
      <c r="R26" s="17">
        <f>SUBTOTAL(9,R20:R25)</f>
        <v>0</v>
      </c>
      <c r="S26" s="17">
        <f t="shared" ref="S26" si="153">SUBTOTAL(9,S20:S25)</f>
        <v>0</v>
      </c>
      <c r="T26" s="17">
        <f t="shared" ref="T26" si="154">SUBTOTAL(9,T20:T25)</f>
        <v>0</v>
      </c>
      <c r="U26" s="17">
        <f t="shared" ref="U26" si="155">SUBTOTAL(9,U20:U25)</f>
        <v>0</v>
      </c>
      <c r="V26" s="17">
        <f t="shared" ref="V26" si="156">SUBTOTAL(9,V20:V25)</f>
        <v>0</v>
      </c>
      <c r="W26" s="17">
        <f t="shared" ref="W26" si="157">SUBTOTAL(9,W20:W25)</f>
        <v>0</v>
      </c>
      <c r="X26" s="17">
        <f t="shared" ref="X26" si="158">SUBTOTAL(9,X20:X25)</f>
        <v>0</v>
      </c>
      <c r="Y26" s="17">
        <f t="shared" ref="Y26" si="159">SUBTOTAL(9,Y20:Y25)</f>
        <v>0</v>
      </c>
      <c r="Z26" s="17">
        <f t="shared" ref="Z26" si="160">SUBTOTAL(9,Z20:Z25)</f>
        <v>0</v>
      </c>
      <c r="AA26" s="17">
        <f t="shared" ref="AA26" si="161">SUBTOTAL(9,AA20:AA25)</f>
        <v>0</v>
      </c>
      <c r="AB26" s="17">
        <f t="shared" ref="AB26" si="162">SUBTOTAL(9,AB20:AB25)</f>
        <v>0</v>
      </c>
      <c r="AC26" s="17">
        <f t="shared" ref="AC26:AP26" si="163">SUBTOTAL(9,AC20:AC25)</f>
        <v>0</v>
      </c>
      <c r="AE26" s="17">
        <f t="shared" si="163"/>
        <v>0</v>
      </c>
      <c r="AF26" s="17">
        <f t="shared" si="163"/>
        <v>0</v>
      </c>
      <c r="AG26" s="17">
        <f t="shared" si="163"/>
        <v>0</v>
      </c>
      <c r="AH26" s="17">
        <f t="shared" si="163"/>
        <v>0</v>
      </c>
      <c r="AI26" s="17">
        <f t="shared" si="163"/>
        <v>0</v>
      </c>
      <c r="AJ26" s="17">
        <f t="shared" si="163"/>
        <v>0</v>
      </c>
      <c r="AK26" s="17">
        <f t="shared" si="163"/>
        <v>0</v>
      </c>
      <c r="AL26" s="17">
        <f t="shared" si="163"/>
        <v>0</v>
      </c>
      <c r="AM26" s="17">
        <f t="shared" si="163"/>
        <v>0</v>
      </c>
      <c r="AN26" s="17">
        <f t="shared" si="163"/>
        <v>0</v>
      </c>
      <c r="AO26" s="17">
        <f t="shared" si="163"/>
        <v>0</v>
      </c>
      <c r="AP26" s="17">
        <f t="shared" si="163"/>
        <v>0</v>
      </c>
      <c r="AR26" s="17">
        <f t="shared" ref="AR26:AV26" si="164">SUBTOTAL(9,AR20:AR25)</f>
        <v>0</v>
      </c>
      <c r="AS26" s="17">
        <f t="shared" si="164"/>
        <v>0</v>
      </c>
      <c r="AT26" s="17">
        <f t="shared" si="164"/>
        <v>0</v>
      </c>
      <c r="AU26" s="17">
        <f t="shared" si="164"/>
        <v>0</v>
      </c>
      <c r="AV26" s="17">
        <f t="shared" si="164"/>
        <v>0</v>
      </c>
      <c r="AX26" s="17">
        <f t="shared" ref="AX26:BB26" si="165">SUBTOTAL(9,AX20:AX25)</f>
        <v>0</v>
      </c>
      <c r="AY26" s="17">
        <f t="shared" si="165"/>
        <v>0</v>
      </c>
      <c r="AZ26" s="17">
        <f t="shared" si="165"/>
        <v>0</v>
      </c>
      <c r="BA26" s="17">
        <f t="shared" si="165"/>
        <v>0</v>
      </c>
      <c r="BB26" s="17">
        <f t="shared" si="165"/>
        <v>0</v>
      </c>
      <c r="BD26" s="17">
        <f t="shared" ref="BD26:BH26" si="166">SUBTOTAL(9,BD20:BD25)</f>
        <v>0</v>
      </c>
      <c r="BE26" s="17">
        <f t="shared" si="166"/>
        <v>0</v>
      </c>
      <c r="BF26" s="17">
        <f t="shared" si="166"/>
        <v>0</v>
      </c>
      <c r="BG26" s="17">
        <f t="shared" si="166"/>
        <v>0</v>
      </c>
      <c r="BH26" s="17">
        <f t="shared" si="166"/>
        <v>0</v>
      </c>
      <c r="BJ26" s="17">
        <f t="shared" ref="BJ26:BN26" si="167">SUBTOTAL(9,BJ20:BJ25)</f>
        <v>0</v>
      </c>
      <c r="BK26" s="17">
        <f t="shared" si="167"/>
        <v>0</v>
      </c>
      <c r="BL26" s="17">
        <f t="shared" si="167"/>
        <v>0</v>
      </c>
      <c r="BM26" s="17">
        <f t="shared" si="167"/>
        <v>0</v>
      </c>
      <c r="BN26" s="17">
        <f t="shared" si="167"/>
        <v>0</v>
      </c>
      <c r="BP26" s="17">
        <f t="shared" ref="BP26" si="168">SUBTOTAL(9,BP20:BP25)</f>
        <v>0</v>
      </c>
      <c r="BQ26" s="17">
        <f t="shared" ref="BQ26:BT26" si="169">SUBTOTAL(9,BQ20:BQ25)</f>
        <v>0</v>
      </c>
      <c r="BR26" s="17">
        <f t="shared" si="169"/>
        <v>0</v>
      </c>
      <c r="BS26" s="17">
        <f t="shared" si="169"/>
        <v>0</v>
      </c>
      <c r="BT26" s="17">
        <f t="shared" si="169"/>
        <v>0</v>
      </c>
      <c r="BV26" s="17">
        <f t="shared" ref="BV26" si="170">SUBTOTAL(9,BV20:BV25)</f>
        <v>0</v>
      </c>
      <c r="BW26" s="17">
        <f t="shared" ref="BW26:BZ26" si="171">SUBTOTAL(9,BW20:BW25)</f>
        <v>0</v>
      </c>
      <c r="BX26" s="17">
        <f t="shared" si="171"/>
        <v>0</v>
      </c>
      <c r="BY26" s="17">
        <f t="shared" si="171"/>
        <v>0</v>
      </c>
      <c r="BZ26" s="17">
        <f t="shared" si="171"/>
        <v>0</v>
      </c>
    </row>
    <row r="27" spans="2:78" s="16" customFormat="1" x14ac:dyDescent="0.25"/>
    <row r="28" spans="2:78" s="16" customFormat="1" x14ac:dyDescent="0.25">
      <c r="B28" s="16" t="s">
        <v>32</v>
      </c>
      <c r="AR28" s="16">
        <f t="shared" ref="AR28:AR32" si="172">SUM(E28:P28)</f>
        <v>0</v>
      </c>
      <c r="AS28" s="16">
        <f t="shared" ref="AS28:AS32" si="173">SUM(E28:G28)</f>
        <v>0</v>
      </c>
      <c r="AT28" s="16">
        <f t="shared" ref="AT28:AT32" si="174">SUM(H28:J28)</f>
        <v>0</v>
      </c>
      <c r="AU28" s="16">
        <f t="shared" ref="AU28:AU32" si="175">SUM(K28:M28)</f>
        <v>0</v>
      </c>
      <c r="AV28" s="16">
        <f t="shared" ref="AV28:AV32" si="176">SUM(N28:P28)</f>
        <v>0</v>
      </c>
      <c r="AX28" s="16">
        <f t="shared" ref="AX28:AX32" si="177">SUM(R28:AC28)</f>
        <v>0</v>
      </c>
      <c r="AY28" s="16">
        <f t="shared" ref="AY28:AY32" si="178">SUM(R28:T28)</f>
        <v>0</v>
      </c>
      <c r="AZ28" s="16">
        <f t="shared" ref="AZ28:AZ32" si="179">SUM(U28:W28)</f>
        <v>0</v>
      </c>
      <c r="BA28" s="16">
        <f t="shared" ref="BA28:BA32" si="180">SUM(X28:Z28)</f>
        <v>0</v>
      </c>
      <c r="BB28" s="16">
        <f t="shared" ref="BB28:BB32" si="181">SUM(AA28:AC28)</f>
        <v>0</v>
      </c>
      <c r="BD28" s="16">
        <f t="shared" ref="BD28:BD32" si="182">SUM(AE28:AP28)</f>
        <v>0</v>
      </c>
      <c r="BE28" s="16">
        <f t="shared" ref="BE28:BE32" si="183">SUM(AE28:AG28)</f>
        <v>0</v>
      </c>
      <c r="BF28" s="16">
        <f t="shared" ref="BF28:BF32" si="184">SUM(AH28:AJ28)</f>
        <v>0</v>
      </c>
      <c r="BG28" s="16">
        <f t="shared" ref="BG28:BG32" si="185">SUM(AK28:AM28)</f>
        <v>0</v>
      </c>
      <c r="BH28" s="16">
        <f t="shared" ref="BH28:BH32" si="186">SUM(AN28:AP28)</f>
        <v>0</v>
      </c>
    </row>
    <row r="29" spans="2:78" s="16" customFormat="1" x14ac:dyDescent="0.25">
      <c r="B29" s="16" t="s">
        <v>31</v>
      </c>
      <c r="AR29" s="16">
        <f t="shared" si="172"/>
        <v>0</v>
      </c>
      <c r="AS29" s="16">
        <f t="shared" si="173"/>
        <v>0</v>
      </c>
      <c r="AT29" s="16">
        <f t="shared" si="174"/>
        <v>0</v>
      </c>
      <c r="AU29" s="16">
        <f t="shared" si="175"/>
        <v>0</v>
      </c>
      <c r="AV29" s="16">
        <f t="shared" si="176"/>
        <v>0</v>
      </c>
      <c r="AX29" s="16">
        <f t="shared" si="177"/>
        <v>0</v>
      </c>
      <c r="AY29" s="16">
        <f t="shared" si="178"/>
        <v>0</v>
      </c>
      <c r="AZ29" s="16">
        <f t="shared" si="179"/>
        <v>0</v>
      </c>
      <c r="BA29" s="16">
        <f t="shared" si="180"/>
        <v>0</v>
      </c>
      <c r="BB29" s="16">
        <f t="shared" si="181"/>
        <v>0</v>
      </c>
      <c r="BD29" s="16">
        <f t="shared" si="182"/>
        <v>0</v>
      </c>
      <c r="BE29" s="16">
        <f t="shared" si="183"/>
        <v>0</v>
      </c>
      <c r="BF29" s="16">
        <f t="shared" si="184"/>
        <v>0</v>
      </c>
      <c r="BG29" s="16">
        <f t="shared" si="185"/>
        <v>0</v>
      </c>
      <c r="BH29" s="16">
        <f t="shared" si="186"/>
        <v>0</v>
      </c>
    </row>
    <row r="30" spans="2:78" s="16" customFormat="1" x14ac:dyDescent="0.25">
      <c r="B30" s="16" t="s">
        <v>33</v>
      </c>
      <c r="AR30" s="16">
        <f t="shared" si="172"/>
        <v>0</v>
      </c>
      <c r="AS30" s="16">
        <f t="shared" si="173"/>
        <v>0</v>
      </c>
      <c r="AT30" s="16">
        <f t="shared" si="174"/>
        <v>0</v>
      </c>
      <c r="AU30" s="16">
        <f t="shared" si="175"/>
        <v>0</v>
      </c>
      <c r="AV30" s="16">
        <f t="shared" si="176"/>
        <v>0</v>
      </c>
      <c r="AX30" s="16">
        <f t="shared" si="177"/>
        <v>0</v>
      </c>
      <c r="AY30" s="16">
        <f t="shared" si="178"/>
        <v>0</v>
      </c>
      <c r="AZ30" s="16">
        <f t="shared" si="179"/>
        <v>0</v>
      </c>
      <c r="BA30" s="16">
        <f t="shared" si="180"/>
        <v>0</v>
      </c>
      <c r="BB30" s="16">
        <f t="shared" si="181"/>
        <v>0</v>
      </c>
      <c r="BD30" s="16">
        <f t="shared" si="182"/>
        <v>0</v>
      </c>
      <c r="BE30" s="16">
        <f t="shared" si="183"/>
        <v>0</v>
      </c>
      <c r="BF30" s="16">
        <f t="shared" si="184"/>
        <v>0</v>
      </c>
      <c r="BG30" s="16">
        <f t="shared" si="185"/>
        <v>0</v>
      </c>
      <c r="BH30" s="16">
        <f t="shared" si="186"/>
        <v>0</v>
      </c>
    </row>
    <row r="31" spans="2:78" s="16" customFormat="1" x14ac:dyDescent="0.25">
      <c r="B31" s="16" t="s">
        <v>30</v>
      </c>
      <c r="V31" s="16">
        <v>1000</v>
      </c>
      <c r="Y31" s="16">
        <v>3000</v>
      </c>
      <c r="AB31" s="16">
        <v>2000</v>
      </c>
      <c r="AF31" s="16">
        <v>4000</v>
      </c>
      <c r="AK31" s="16">
        <v>4000</v>
      </c>
      <c r="AR31" s="16">
        <f t="shared" si="172"/>
        <v>0</v>
      </c>
      <c r="AS31" s="16">
        <f t="shared" si="173"/>
        <v>0</v>
      </c>
      <c r="AT31" s="16">
        <f t="shared" si="174"/>
        <v>0</v>
      </c>
      <c r="AU31" s="16">
        <f t="shared" si="175"/>
        <v>0</v>
      </c>
      <c r="AV31" s="16">
        <f t="shared" si="176"/>
        <v>0</v>
      </c>
      <c r="AX31" s="16">
        <f t="shared" si="177"/>
        <v>6000</v>
      </c>
      <c r="AY31" s="16">
        <f t="shared" si="178"/>
        <v>0</v>
      </c>
      <c r="AZ31" s="16">
        <f t="shared" si="179"/>
        <v>1000</v>
      </c>
      <c r="BA31" s="16">
        <f t="shared" si="180"/>
        <v>3000</v>
      </c>
      <c r="BB31" s="16">
        <f t="shared" si="181"/>
        <v>2000</v>
      </c>
      <c r="BD31" s="16">
        <f t="shared" si="182"/>
        <v>8000</v>
      </c>
      <c r="BE31" s="16">
        <f t="shared" si="183"/>
        <v>4000</v>
      </c>
      <c r="BF31" s="16">
        <f t="shared" si="184"/>
        <v>0</v>
      </c>
      <c r="BG31" s="16">
        <f t="shared" si="185"/>
        <v>4000</v>
      </c>
      <c r="BH31" s="16">
        <f t="shared" si="186"/>
        <v>0</v>
      </c>
    </row>
    <row r="32" spans="2:78" s="16" customFormat="1" x14ac:dyDescent="0.25">
      <c r="B32" s="16" t="s">
        <v>34</v>
      </c>
      <c r="W32" s="16">
        <v>5000</v>
      </c>
      <c r="AC32" s="16">
        <v>5000</v>
      </c>
      <c r="AJ32" s="16">
        <v>10000</v>
      </c>
      <c r="AP32" s="16">
        <v>10000</v>
      </c>
      <c r="AR32" s="16">
        <f t="shared" si="172"/>
        <v>0</v>
      </c>
      <c r="AS32" s="16">
        <f t="shared" si="173"/>
        <v>0</v>
      </c>
      <c r="AT32" s="16">
        <f t="shared" si="174"/>
        <v>0</v>
      </c>
      <c r="AU32" s="16">
        <f t="shared" si="175"/>
        <v>0</v>
      </c>
      <c r="AV32" s="16">
        <f t="shared" si="176"/>
        <v>0</v>
      </c>
      <c r="AX32" s="16">
        <f t="shared" si="177"/>
        <v>10000</v>
      </c>
      <c r="AY32" s="16">
        <f t="shared" si="178"/>
        <v>0</v>
      </c>
      <c r="AZ32" s="16">
        <f t="shared" si="179"/>
        <v>5000</v>
      </c>
      <c r="BA32" s="16">
        <f t="shared" si="180"/>
        <v>0</v>
      </c>
      <c r="BB32" s="16">
        <f t="shared" si="181"/>
        <v>5000</v>
      </c>
      <c r="BD32" s="16">
        <f t="shared" si="182"/>
        <v>20000</v>
      </c>
      <c r="BE32" s="16">
        <f t="shared" si="183"/>
        <v>0</v>
      </c>
      <c r="BF32" s="16">
        <f t="shared" si="184"/>
        <v>10000</v>
      </c>
      <c r="BG32" s="16">
        <f t="shared" si="185"/>
        <v>0</v>
      </c>
      <c r="BH32" s="16">
        <f t="shared" si="186"/>
        <v>10000</v>
      </c>
      <c r="BJ32" s="16">
        <f>SUM(BK32:BN32)</f>
        <v>40000</v>
      </c>
      <c r="BK32" s="16">
        <v>10000</v>
      </c>
      <c r="BL32" s="16">
        <v>10000</v>
      </c>
      <c r="BM32" s="16">
        <v>10000</v>
      </c>
      <c r="BN32" s="16">
        <v>10000</v>
      </c>
      <c r="BP32" s="16">
        <f>SUM(BQ32:BT32)</f>
        <v>40000</v>
      </c>
      <c r="BQ32" s="16">
        <v>10000</v>
      </c>
      <c r="BR32" s="16">
        <v>10000</v>
      </c>
      <c r="BS32" s="16">
        <v>10000</v>
      </c>
      <c r="BT32" s="16">
        <v>10000</v>
      </c>
      <c r="BV32" s="16">
        <f>SUM(BW32:BZ32)</f>
        <v>40000</v>
      </c>
      <c r="BW32" s="16">
        <v>10000</v>
      </c>
      <c r="BX32" s="16">
        <v>10000</v>
      </c>
      <c r="BY32" s="16">
        <v>10000</v>
      </c>
      <c r="BZ32" s="16">
        <v>10000</v>
      </c>
    </row>
    <row r="33" spans="2:78" s="16" customFormat="1" x14ac:dyDescent="0.25"/>
    <row r="34" spans="2:78" s="16" customFormat="1" x14ac:dyDescent="0.25">
      <c r="B34" s="16" t="s">
        <v>35</v>
      </c>
      <c r="E34" s="17">
        <f>SUBTOTAL(9,E28:E33)</f>
        <v>0</v>
      </c>
      <c r="F34" s="17">
        <f t="shared" ref="F34:P34" si="187">SUBTOTAL(9,F28:F33)</f>
        <v>0</v>
      </c>
      <c r="G34" s="17">
        <f t="shared" si="187"/>
        <v>0</v>
      </c>
      <c r="H34" s="17">
        <f t="shared" si="187"/>
        <v>0</v>
      </c>
      <c r="I34" s="17">
        <f t="shared" si="187"/>
        <v>0</v>
      </c>
      <c r="J34" s="17">
        <f t="shared" si="187"/>
        <v>0</v>
      </c>
      <c r="K34" s="17">
        <f t="shared" si="187"/>
        <v>0</v>
      </c>
      <c r="L34" s="17">
        <f t="shared" si="187"/>
        <v>0</v>
      </c>
      <c r="M34" s="17">
        <f t="shared" si="187"/>
        <v>0</v>
      </c>
      <c r="N34" s="17">
        <f t="shared" si="187"/>
        <v>0</v>
      </c>
      <c r="O34" s="17">
        <f t="shared" si="187"/>
        <v>0</v>
      </c>
      <c r="P34" s="17">
        <f t="shared" si="187"/>
        <v>0</v>
      </c>
      <c r="R34" s="17">
        <f>SUBTOTAL(9,R28:R33)</f>
        <v>0</v>
      </c>
      <c r="S34" s="17">
        <f t="shared" ref="S34" si="188">SUBTOTAL(9,S28:S33)</f>
        <v>0</v>
      </c>
      <c r="T34" s="17">
        <f t="shared" ref="T34" si="189">SUBTOTAL(9,T28:T33)</f>
        <v>0</v>
      </c>
      <c r="U34" s="17">
        <f t="shared" ref="U34" si="190">SUBTOTAL(9,U28:U33)</f>
        <v>0</v>
      </c>
      <c r="V34" s="17">
        <f t="shared" ref="V34" si="191">SUBTOTAL(9,V28:V33)</f>
        <v>1000</v>
      </c>
      <c r="W34" s="17">
        <f t="shared" ref="W34" si="192">SUBTOTAL(9,W28:W33)</f>
        <v>5000</v>
      </c>
      <c r="X34" s="17">
        <f t="shared" ref="X34" si="193">SUBTOTAL(9,X28:X33)</f>
        <v>0</v>
      </c>
      <c r="Y34" s="17">
        <f t="shared" ref="Y34" si="194">SUBTOTAL(9,Y28:Y33)</f>
        <v>3000</v>
      </c>
      <c r="Z34" s="17">
        <f t="shared" ref="Z34" si="195">SUBTOTAL(9,Z28:Z33)</f>
        <v>0</v>
      </c>
      <c r="AA34" s="17">
        <f t="shared" ref="AA34" si="196">SUBTOTAL(9,AA28:AA33)</f>
        <v>0</v>
      </c>
      <c r="AB34" s="17">
        <f t="shared" ref="AB34" si="197">SUBTOTAL(9,AB28:AB33)</f>
        <v>2000</v>
      </c>
      <c r="AC34" s="17">
        <f t="shared" ref="AC34:AP34" si="198">SUBTOTAL(9,AC28:AC33)</f>
        <v>5000</v>
      </c>
      <c r="AE34" s="17">
        <f t="shared" si="198"/>
        <v>0</v>
      </c>
      <c r="AF34" s="17">
        <f t="shared" si="198"/>
        <v>4000</v>
      </c>
      <c r="AG34" s="17">
        <f t="shared" si="198"/>
        <v>0</v>
      </c>
      <c r="AH34" s="17">
        <f t="shared" si="198"/>
        <v>0</v>
      </c>
      <c r="AI34" s="17">
        <f t="shared" si="198"/>
        <v>0</v>
      </c>
      <c r="AJ34" s="17">
        <f t="shared" si="198"/>
        <v>10000</v>
      </c>
      <c r="AK34" s="17">
        <f t="shared" si="198"/>
        <v>4000</v>
      </c>
      <c r="AL34" s="17">
        <f t="shared" si="198"/>
        <v>0</v>
      </c>
      <c r="AM34" s="17">
        <f t="shared" si="198"/>
        <v>0</v>
      </c>
      <c r="AN34" s="17">
        <f t="shared" si="198"/>
        <v>0</v>
      </c>
      <c r="AO34" s="17">
        <f t="shared" si="198"/>
        <v>0</v>
      </c>
      <c r="AP34" s="17">
        <f t="shared" si="198"/>
        <v>10000</v>
      </c>
      <c r="AR34" s="17">
        <f t="shared" ref="AR34:AV34" si="199">SUBTOTAL(9,AR28:AR33)</f>
        <v>0</v>
      </c>
      <c r="AS34" s="17">
        <f t="shared" si="199"/>
        <v>0</v>
      </c>
      <c r="AT34" s="17">
        <f t="shared" si="199"/>
        <v>0</v>
      </c>
      <c r="AU34" s="17">
        <f t="shared" si="199"/>
        <v>0</v>
      </c>
      <c r="AV34" s="17">
        <f t="shared" si="199"/>
        <v>0</v>
      </c>
      <c r="AX34" s="17">
        <f t="shared" ref="AX34:BB34" si="200">SUBTOTAL(9,AX28:AX33)</f>
        <v>16000</v>
      </c>
      <c r="AY34" s="17">
        <f t="shared" si="200"/>
        <v>0</v>
      </c>
      <c r="AZ34" s="17">
        <f t="shared" si="200"/>
        <v>6000</v>
      </c>
      <c r="BA34" s="17">
        <f t="shared" si="200"/>
        <v>3000</v>
      </c>
      <c r="BB34" s="17">
        <f t="shared" si="200"/>
        <v>7000</v>
      </c>
      <c r="BD34" s="17">
        <f t="shared" ref="BD34:BH34" si="201">SUBTOTAL(9,BD28:BD33)</f>
        <v>28000</v>
      </c>
      <c r="BE34" s="17">
        <f t="shared" si="201"/>
        <v>4000</v>
      </c>
      <c r="BF34" s="17">
        <f t="shared" si="201"/>
        <v>10000</v>
      </c>
      <c r="BG34" s="17">
        <f t="shared" si="201"/>
        <v>4000</v>
      </c>
      <c r="BH34" s="17">
        <f t="shared" si="201"/>
        <v>10000</v>
      </c>
      <c r="BJ34" s="17">
        <f t="shared" ref="BJ34:BN34" si="202">SUBTOTAL(9,BJ28:BJ33)</f>
        <v>40000</v>
      </c>
      <c r="BK34" s="17">
        <f t="shared" si="202"/>
        <v>10000</v>
      </c>
      <c r="BL34" s="17">
        <f t="shared" si="202"/>
        <v>10000</v>
      </c>
      <c r="BM34" s="17">
        <f t="shared" si="202"/>
        <v>10000</v>
      </c>
      <c r="BN34" s="17">
        <f t="shared" si="202"/>
        <v>10000</v>
      </c>
      <c r="BP34" s="17">
        <f t="shared" ref="BP34" si="203">SUBTOTAL(9,BP28:BP33)</f>
        <v>40000</v>
      </c>
      <c r="BQ34" s="17">
        <f t="shared" ref="BQ34:BT34" si="204">SUBTOTAL(9,BQ28:BQ33)</f>
        <v>10000</v>
      </c>
      <c r="BR34" s="17">
        <f t="shared" si="204"/>
        <v>10000</v>
      </c>
      <c r="BS34" s="17">
        <f t="shared" si="204"/>
        <v>10000</v>
      </c>
      <c r="BT34" s="17">
        <f t="shared" si="204"/>
        <v>10000</v>
      </c>
      <c r="BV34" s="17">
        <f t="shared" ref="BV34" si="205">SUBTOTAL(9,BV28:BV33)</f>
        <v>40000</v>
      </c>
      <c r="BW34" s="17">
        <f t="shared" ref="BW34:BZ34" si="206">SUBTOTAL(9,BW28:BW33)</f>
        <v>10000</v>
      </c>
      <c r="BX34" s="17">
        <f t="shared" si="206"/>
        <v>10000</v>
      </c>
      <c r="BY34" s="17">
        <f t="shared" si="206"/>
        <v>10000</v>
      </c>
      <c r="BZ34" s="17">
        <f t="shared" si="206"/>
        <v>10000</v>
      </c>
    </row>
    <row r="35" spans="2:78" s="16" customFormat="1" x14ac:dyDescent="0.25">
      <c r="E35" s="22"/>
      <c r="F35" s="22"/>
      <c r="G35" s="22"/>
      <c r="H35" s="22"/>
      <c r="I35" s="22"/>
      <c r="J35" s="22"/>
      <c r="K35" s="22"/>
      <c r="L35" s="22"/>
      <c r="M35" s="22"/>
      <c r="N35" s="22"/>
      <c r="O35" s="22"/>
      <c r="P35" s="22"/>
      <c r="R35" s="22"/>
      <c r="S35" s="22"/>
      <c r="T35" s="22"/>
      <c r="U35" s="22"/>
      <c r="V35" s="22"/>
      <c r="W35" s="22"/>
      <c r="X35" s="22"/>
      <c r="Y35" s="22"/>
      <c r="Z35" s="22"/>
      <c r="AA35" s="22"/>
      <c r="AB35" s="22"/>
      <c r="AC35" s="22"/>
      <c r="AE35" s="22"/>
      <c r="AF35" s="22"/>
      <c r="AG35" s="22"/>
      <c r="AH35" s="22"/>
      <c r="AI35" s="22"/>
      <c r="AJ35" s="22"/>
      <c r="AK35" s="22"/>
      <c r="AL35" s="22"/>
      <c r="AM35" s="22"/>
      <c r="AN35" s="22"/>
      <c r="AO35" s="22"/>
      <c r="AP35" s="22"/>
      <c r="BK35" s="22"/>
      <c r="BL35" s="22"/>
      <c r="BM35" s="22"/>
      <c r="BN35" s="22"/>
      <c r="BQ35" s="22"/>
      <c r="BR35" s="22"/>
      <c r="BS35" s="22"/>
      <c r="BT35" s="22"/>
      <c r="BW35" s="22"/>
      <c r="BX35" s="22"/>
      <c r="BY35" s="22"/>
      <c r="BZ35" s="22"/>
    </row>
    <row r="36" spans="2:78" s="16" customFormat="1" x14ac:dyDescent="0.25">
      <c r="B36" s="16" t="s">
        <v>203</v>
      </c>
      <c r="W36" s="16">
        <v>1000</v>
      </c>
      <c r="Y36" s="16">
        <v>1000</v>
      </c>
      <c r="AA36" s="16">
        <v>1000</v>
      </c>
      <c r="AC36" s="16">
        <v>1000</v>
      </c>
      <c r="AE36" s="16">
        <f>(IF('Sales Projections'!$C$13&gt;=3,3,'Sales Projections'!$C$13)+IF('Sales Projections'!$C$13&lt;=3,0,('Sales Projections'!$C$13-3)*0.5))*1000</f>
        <v>5500</v>
      </c>
      <c r="AF36" s="16">
        <f>(IF('Sales Projections'!$C$13&gt;=3,3,'Sales Projections'!$C$13)+IF('Sales Projections'!$C$13&lt;=3,0,('Sales Projections'!$C$13-3)*0.5))*1000</f>
        <v>5500</v>
      </c>
      <c r="AG36" s="16">
        <f>(IF('Sales Projections'!$C$13&gt;=3,3,'Sales Projections'!$C$13)+IF('Sales Projections'!$C$13&lt;=3,0,('Sales Projections'!$C$13-3)*0.5))*1000</f>
        <v>5500</v>
      </c>
      <c r="AH36" s="16">
        <f>(IF('Sales Projections'!$C$13&gt;=3,3,'Sales Projections'!$C$13)+IF('Sales Projections'!$C$13&lt;=3,0,('Sales Projections'!$C$13-3)*0.5))*1000</f>
        <v>5500</v>
      </c>
      <c r="AI36" s="16">
        <f>(IF('Sales Projections'!$C$13&gt;=3,3,'Sales Projections'!$C$13)+IF('Sales Projections'!$C$13&lt;=3,0,('Sales Projections'!$C$13-3)*0.5))*1000</f>
        <v>5500</v>
      </c>
      <c r="AJ36" s="16">
        <f>(IF('Sales Projections'!$C$13&gt;=3,3,'Sales Projections'!$C$13)+IF('Sales Projections'!$C$13&lt;=3,0,('Sales Projections'!$C$13-3)*0.5))*1000</f>
        <v>5500</v>
      </c>
      <c r="AK36" s="16">
        <f>(IF('Sales Projections'!$C$13&gt;=3,3,'Sales Projections'!$C$13)+IF('Sales Projections'!$C$13&lt;=3,0,('Sales Projections'!$C$13-3)*0.5))*1000</f>
        <v>5500</v>
      </c>
      <c r="AL36" s="16">
        <f>(IF('Sales Projections'!$C$13&gt;=3,3,'Sales Projections'!$C$13)+IF('Sales Projections'!$C$13&lt;=3,0,('Sales Projections'!$C$13-3)*0.5))*1000</f>
        <v>5500</v>
      </c>
      <c r="AM36" s="16">
        <f>(IF('Sales Projections'!$C$13&gt;=3,3,'Sales Projections'!$C$13)+IF('Sales Projections'!$C$13&lt;=3,0,('Sales Projections'!$C$13-3)*0.5))*1000</f>
        <v>5500</v>
      </c>
      <c r="AN36" s="16">
        <f>(IF('Sales Projections'!$C$13&gt;=3,3,'Sales Projections'!$C$13)+IF('Sales Projections'!$C$13&lt;=3,0,('Sales Projections'!$C$13-3)*0.5))*1000</f>
        <v>5500</v>
      </c>
      <c r="AO36" s="16">
        <f>(IF('Sales Projections'!$C$13&gt;=3,3,'Sales Projections'!$C$13)+IF('Sales Projections'!$C$13&lt;=3,0,('Sales Projections'!$C$13-3)*0.5))*1000</f>
        <v>5500</v>
      </c>
      <c r="AP36" s="16">
        <f>(IF('Sales Projections'!$C$13&gt;=3,3,'Sales Projections'!$C$13)+IF('Sales Projections'!$C$13&lt;=3,0,('Sales Projections'!$C$13-3)*0.5))*1000</f>
        <v>5500</v>
      </c>
      <c r="AR36" s="16">
        <f t="shared" ref="AR36:AR39" si="207">SUM(E36:P36)</f>
        <v>0</v>
      </c>
      <c r="AS36" s="16">
        <f t="shared" ref="AS36:AS39" si="208">SUM(E36:G36)</f>
        <v>0</v>
      </c>
      <c r="AT36" s="16">
        <f t="shared" ref="AT36:AT39" si="209">SUM(H36:J36)</f>
        <v>0</v>
      </c>
      <c r="AU36" s="16">
        <f t="shared" ref="AU36:AU39" si="210">SUM(K36:M36)</f>
        <v>0</v>
      </c>
      <c r="AV36" s="16">
        <f t="shared" ref="AV36:AV39" si="211">SUM(N36:P36)</f>
        <v>0</v>
      </c>
      <c r="AX36" s="16">
        <f t="shared" ref="AX36:AX39" si="212">SUM(R36:AC36)</f>
        <v>4000</v>
      </c>
      <c r="AY36" s="16">
        <f t="shared" ref="AY36:AY39" si="213">SUM(R36:T36)</f>
        <v>0</v>
      </c>
      <c r="AZ36" s="16">
        <f t="shared" ref="AZ36:AZ39" si="214">SUM(U36:W36)</f>
        <v>1000</v>
      </c>
      <c r="BA36" s="16">
        <f t="shared" ref="BA36:BA39" si="215">SUM(X36:Z36)</f>
        <v>1000</v>
      </c>
      <c r="BB36" s="16">
        <f t="shared" ref="BB36:BB39" si="216">SUM(AA36:AC36)</f>
        <v>2000</v>
      </c>
      <c r="BD36" s="16">
        <f t="shared" ref="BD36:BD39" si="217">SUM(AE36:AP36)</f>
        <v>66000</v>
      </c>
      <c r="BE36" s="16">
        <f t="shared" ref="BE36:BE39" si="218">SUM(AE36:AG36)</f>
        <v>16500</v>
      </c>
      <c r="BF36" s="16">
        <f t="shared" ref="BF36:BF39" si="219">SUM(AH36:AJ36)</f>
        <v>16500</v>
      </c>
      <c r="BG36" s="16">
        <f t="shared" ref="BG36:BG39" si="220">SUM(AK36:AM36)</f>
        <v>16500</v>
      </c>
      <c r="BH36" s="16">
        <f t="shared" ref="BH36:BH39" si="221">SUM(AN36:AP36)</f>
        <v>16500</v>
      </c>
      <c r="BJ36" s="16">
        <f t="shared" ref="BJ36:BJ39" si="222">SUM(BK36:BN36)</f>
        <v>48000</v>
      </c>
      <c r="BK36" s="16">
        <f>(IF('Sales Projections'!$D$13&gt;=3,3,'Sales Projections'!$D$13)+IF('Sales Projections'!$D$13&lt;=3,0,('Sales Projections'!$D$13-3)*0.5))*1000</f>
        <v>12000</v>
      </c>
      <c r="BL36" s="16">
        <f>(IF('Sales Projections'!$D$13&gt;=3,3,'Sales Projections'!$D$13)+IF('Sales Projections'!$D$13&lt;=3,0,('Sales Projections'!$D$13-3)*0.5))*1000</f>
        <v>12000</v>
      </c>
      <c r="BM36" s="16">
        <f>(IF('Sales Projections'!$D$13&gt;=3,3,'Sales Projections'!$D$13)+IF('Sales Projections'!$D$13&lt;=3,0,('Sales Projections'!$D$13-3)*0.5))*1000</f>
        <v>12000</v>
      </c>
      <c r="BN36" s="16">
        <f>(IF('Sales Projections'!$D$13&gt;=3,3,'Sales Projections'!$D$13)+IF('Sales Projections'!$D$13&lt;=3,0,('Sales Projections'!$D$13-3)*0.5))*1000</f>
        <v>12000</v>
      </c>
      <c r="BP36" s="16">
        <f t="shared" ref="BP36:BP38" si="223">SUM(BQ36:BT36)</f>
        <v>92000</v>
      </c>
      <c r="BQ36" s="16">
        <f>(IF('Sales Projections'!$E$13&gt;=3,3,'Sales Projections'!$E$13)+IF('Sales Projections'!$E$13&lt;=3,0,('Sales Projections'!$E$13-3)*0.5))*1000</f>
        <v>23000</v>
      </c>
      <c r="BR36" s="16">
        <f>(IF('Sales Projections'!$E$13&gt;=3,3,'Sales Projections'!$E$13)+IF('Sales Projections'!$E$13&lt;=3,0,('Sales Projections'!$E$13-3)*0.5))*1000</f>
        <v>23000</v>
      </c>
      <c r="BS36" s="16">
        <f>(IF('Sales Projections'!$E$13&gt;=3,3,'Sales Projections'!$E$13)+IF('Sales Projections'!$E$13&lt;=3,0,('Sales Projections'!$E$13-3)*0.5))*1000</f>
        <v>23000</v>
      </c>
      <c r="BT36" s="16">
        <f>(IF('Sales Projections'!$E$13&gt;=3,3,'Sales Projections'!$E$13)+IF('Sales Projections'!$E$13&lt;=3,0,('Sales Projections'!$E$13-3)*0.5))*1000</f>
        <v>23000</v>
      </c>
      <c r="BV36" s="16">
        <f t="shared" ref="BV36:BV39" si="224">SUM(BW36:BZ36)</f>
        <v>112000</v>
      </c>
      <c r="BW36" s="16">
        <f>(IF('Sales Projections'!$F$13&gt;=3,3,'Sales Projections'!$F$13)+IF('Sales Projections'!$F$13&lt;=3,0,('Sales Projections'!$F$13-3)*0.5))*1000</f>
        <v>28000</v>
      </c>
      <c r="BX36" s="16">
        <f>(IF('Sales Projections'!$F$13&gt;=3,3,'Sales Projections'!$F$13)+IF('Sales Projections'!$F$13&lt;=3,0,('Sales Projections'!$F$13-3)*0.5))*1000</f>
        <v>28000</v>
      </c>
      <c r="BY36" s="16">
        <f>(IF('Sales Projections'!$F$13&gt;=3,3,'Sales Projections'!$F$13)+IF('Sales Projections'!$F$13&lt;=3,0,('Sales Projections'!$F$13-3)*0.5))*1000</f>
        <v>28000</v>
      </c>
      <c r="BZ36" s="16">
        <f>(IF('Sales Projections'!$F$13&gt;=3,3,'Sales Projections'!$F$13)+IF('Sales Projections'!$F$13&lt;=3,0,('Sales Projections'!$F$13-3)*0.5))*1000</f>
        <v>28000</v>
      </c>
    </row>
    <row r="37" spans="2:78" s="16" customFormat="1" x14ac:dyDescent="0.25">
      <c r="B37" s="16" t="s">
        <v>204</v>
      </c>
      <c r="W37" s="16">
        <v>500</v>
      </c>
      <c r="Y37" s="16">
        <v>500</v>
      </c>
      <c r="AA37" s="16">
        <v>500</v>
      </c>
      <c r="AC37" s="16">
        <v>600</v>
      </c>
      <c r="AE37" s="16">
        <f>(IF('Sales Projections'!$C$13&gt;=3,3,'Sales Projections'!$C$13)+IF('Sales Projections'!$C$13&lt;=3,0,('Sales Projections'!$C$13-3)*0.5))*600</f>
        <v>3300</v>
      </c>
      <c r="AF37" s="16">
        <f>(IF('Sales Projections'!$C$13&gt;=3,3,'Sales Projections'!$C$13)+IF('Sales Projections'!$C$13&lt;=3,0,('Sales Projections'!$C$13-3)*0.5))*600</f>
        <v>3300</v>
      </c>
      <c r="AG37" s="16">
        <f>(IF('Sales Projections'!$C$13&gt;=3,3,'Sales Projections'!$C$13)+IF('Sales Projections'!$C$13&lt;=3,0,('Sales Projections'!$C$13-3)*0.5))*600</f>
        <v>3300</v>
      </c>
      <c r="AH37" s="16">
        <f>(IF('Sales Projections'!$C$13&gt;=3,3,'Sales Projections'!$C$13)+IF('Sales Projections'!$C$13&lt;=3,0,('Sales Projections'!$C$13-3)*0.5))*600</f>
        <v>3300</v>
      </c>
      <c r="AI37" s="16">
        <f>(IF('Sales Projections'!$C$13&gt;=3,3,'Sales Projections'!$C$13)+IF('Sales Projections'!$C$13&lt;=3,0,('Sales Projections'!$C$13-3)*0.5))*600</f>
        <v>3300</v>
      </c>
      <c r="AJ37" s="16">
        <f>(IF('Sales Projections'!$C$13&gt;=3,3,'Sales Projections'!$C$13)+IF('Sales Projections'!$C$13&lt;=3,0,('Sales Projections'!$C$13-3)*0.5))*600</f>
        <v>3300</v>
      </c>
      <c r="AK37" s="16">
        <f>(IF('Sales Projections'!$C$13&gt;=3,3,'Sales Projections'!$C$13)+IF('Sales Projections'!$C$13&lt;=3,0,('Sales Projections'!$C$13-3)*0.5))*600</f>
        <v>3300</v>
      </c>
      <c r="AL37" s="16">
        <f>(IF('Sales Projections'!$C$13&gt;=3,3,'Sales Projections'!$C$13)+IF('Sales Projections'!$C$13&lt;=3,0,('Sales Projections'!$C$13-3)*0.5))*600</f>
        <v>3300</v>
      </c>
      <c r="AM37" s="16">
        <f>(IF('Sales Projections'!$C$13&gt;=3,3,'Sales Projections'!$C$13)+IF('Sales Projections'!$C$13&lt;=3,0,('Sales Projections'!$C$13-3)*0.5))*600</f>
        <v>3300</v>
      </c>
      <c r="AN37" s="16">
        <f>(IF('Sales Projections'!$C$13&gt;=3,3,'Sales Projections'!$C$13)+IF('Sales Projections'!$C$13&lt;=3,0,('Sales Projections'!$C$13-3)*0.5))*600</f>
        <v>3300</v>
      </c>
      <c r="AO37" s="16">
        <f>(IF('Sales Projections'!$C$13&gt;=3,3,'Sales Projections'!$C$13)+IF('Sales Projections'!$C$13&lt;=3,0,('Sales Projections'!$C$13-3)*0.5))*600</f>
        <v>3300</v>
      </c>
      <c r="AP37" s="16">
        <f>(IF('Sales Projections'!$C$13&gt;=3,3,'Sales Projections'!$C$13)+IF('Sales Projections'!$C$13&lt;=3,0,('Sales Projections'!$C$13-3)*0.5))*600</f>
        <v>3300</v>
      </c>
      <c r="AR37" s="16">
        <f t="shared" si="207"/>
        <v>0</v>
      </c>
      <c r="AS37" s="16">
        <f t="shared" si="208"/>
        <v>0</v>
      </c>
      <c r="AT37" s="16">
        <f t="shared" si="209"/>
        <v>0</v>
      </c>
      <c r="AU37" s="16">
        <f t="shared" si="210"/>
        <v>0</v>
      </c>
      <c r="AV37" s="16">
        <f t="shared" si="211"/>
        <v>0</v>
      </c>
      <c r="AX37" s="16">
        <f t="shared" si="212"/>
        <v>2100</v>
      </c>
      <c r="AY37" s="16">
        <f t="shared" si="213"/>
        <v>0</v>
      </c>
      <c r="AZ37" s="16">
        <f t="shared" si="214"/>
        <v>500</v>
      </c>
      <c r="BA37" s="16">
        <f t="shared" si="215"/>
        <v>500</v>
      </c>
      <c r="BB37" s="16">
        <f t="shared" si="216"/>
        <v>1100</v>
      </c>
      <c r="BD37" s="16">
        <f t="shared" si="217"/>
        <v>39600</v>
      </c>
      <c r="BE37" s="16">
        <f t="shared" si="218"/>
        <v>9900</v>
      </c>
      <c r="BF37" s="16">
        <f t="shared" si="219"/>
        <v>9900</v>
      </c>
      <c r="BG37" s="16">
        <f t="shared" si="220"/>
        <v>9900</v>
      </c>
      <c r="BH37" s="16">
        <f t="shared" si="221"/>
        <v>9900</v>
      </c>
      <c r="BJ37" s="16">
        <f t="shared" si="222"/>
        <v>28800</v>
      </c>
      <c r="BK37" s="16">
        <f>(IF('Sales Projections'!$D$13&gt;=3,3,'Sales Projections'!$D$13)+IF('Sales Projections'!$D$13&lt;=3,0,('Sales Projections'!$D$13-3)*0.5))*600</f>
        <v>7200</v>
      </c>
      <c r="BL37" s="16">
        <f>(IF('Sales Projections'!$D$13&gt;=3,3,'Sales Projections'!$D$13)+IF('Sales Projections'!$D$13&lt;=3,0,('Sales Projections'!$D$13-3)*0.5))*600</f>
        <v>7200</v>
      </c>
      <c r="BM37" s="16">
        <f>(IF('Sales Projections'!$D$13&gt;=3,3,'Sales Projections'!$D$13)+IF('Sales Projections'!$D$13&lt;=3,0,('Sales Projections'!$D$13-3)*0.5))*600</f>
        <v>7200</v>
      </c>
      <c r="BN37" s="16">
        <f>(IF('Sales Projections'!$D$13&gt;=3,3,'Sales Projections'!$D$13)+IF('Sales Projections'!$D$13&lt;=3,0,('Sales Projections'!$D$13-3)*0.5))*600</f>
        <v>7200</v>
      </c>
      <c r="BP37" s="16">
        <f t="shared" si="223"/>
        <v>55200</v>
      </c>
      <c r="BQ37" s="16">
        <f>(IF('Sales Projections'!$E$13&gt;=3,3,'Sales Projections'!$E$13)+IF('Sales Projections'!$E$13&lt;=3,0,('Sales Projections'!$E$13-3)*0.5))*600</f>
        <v>13800</v>
      </c>
      <c r="BR37" s="16">
        <f>(IF('Sales Projections'!$E$13&gt;=3,3,'Sales Projections'!$E$13)+IF('Sales Projections'!$E$13&lt;=3,0,('Sales Projections'!$E$13-3)*0.5))*600</f>
        <v>13800</v>
      </c>
      <c r="BS37" s="16">
        <f>(IF('Sales Projections'!$E$13&gt;=3,3,'Sales Projections'!$E$13)+IF('Sales Projections'!$E$13&lt;=3,0,('Sales Projections'!$E$13-3)*0.5))*600</f>
        <v>13800</v>
      </c>
      <c r="BT37" s="16">
        <f>(IF('Sales Projections'!$E$13&gt;=3,3,'Sales Projections'!$E$13)+IF('Sales Projections'!$E$13&lt;=3,0,('Sales Projections'!$E$13-3)*0.5))*600</f>
        <v>13800</v>
      </c>
      <c r="BV37" s="16">
        <f t="shared" si="224"/>
        <v>67200</v>
      </c>
      <c r="BW37" s="16">
        <f>(IF('Sales Projections'!$F$13&gt;=3,3,'Sales Projections'!$F$13)+IF('Sales Projections'!$F$13&lt;=3,0,('Sales Projections'!$F$13-3)*0.5))*600</f>
        <v>16800</v>
      </c>
      <c r="BX37" s="16">
        <f>(IF('Sales Projections'!$F$13&gt;=3,3,'Sales Projections'!$F$13)+IF('Sales Projections'!$F$13&lt;=3,0,('Sales Projections'!$F$13-3)*0.5))*600</f>
        <v>16800</v>
      </c>
      <c r="BY37" s="16">
        <f>(IF('Sales Projections'!$F$13&gt;=3,3,'Sales Projections'!$F$13)+IF('Sales Projections'!$F$13&lt;=3,0,('Sales Projections'!$F$13-3)*0.5))*600</f>
        <v>16800</v>
      </c>
      <c r="BZ37" s="16">
        <f>(IF('Sales Projections'!$F$13&gt;=3,3,'Sales Projections'!$F$13)+IF('Sales Projections'!$F$13&lt;=3,0,('Sales Projections'!$F$13-3)*0.5))*600</f>
        <v>16800</v>
      </c>
    </row>
    <row r="38" spans="2:78" s="16" customFormat="1" x14ac:dyDescent="0.25">
      <c r="B38" s="16" t="s">
        <v>205</v>
      </c>
      <c r="W38" s="16">
        <v>400</v>
      </c>
      <c r="Y38" s="16">
        <v>400</v>
      </c>
      <c r="AA38" s="16">
        <v>400</v>
      </c>
      <c r="AC38" s="16">
        <v>400</v>
      </c>
      <c r="AE38" s="16">
        <f>(IF('Sales Projections'!$C$13&gt;=3,3,'Sales Projections'!$C$13)+IF('Sales Projections'!$C$13&lt;=3,0,('Sales Projections'!$C$13-3)*0.5))*400</f>
        <v>2200</v>
      </c>
      <c r="AF38" s="16">
        <f>(IF('Sales Projections'!$C$13&gt;=3,3,'Sales Projections'!$C$13)+IF('Sales Projections'!$C$13&lt;=3,0,('Sales Projections'!$C$13-3)*0.5))*400</f>
        <v>2200</v>
      </c>
      <c r="AG38" s="16">
        <f>(IF('Sales Projections'!$C$13&gt;=3,3,'Sales Projections'!$C$13)+IF('Sales Projections'!$C$13&lt;=3,0,('Sales Projections'!$C$13-3)*0.5))*400</f>
        <v>2200</v>
      </c>
      <c r="AH38" s="16">
        <f>(IF('Sales Projections'!$C$13&gt;=3,3,'Sales Projections'!$C$13)+IF('Sales Projections'!$C$13&lt;=3,0,('Sales Projections'!$C$13-3)*0.5))*400</f>
        <v>2200</v>
      </c>
      <c r="AI38" s="16">
        <f>(IF('Sales Projections'!$C$13&gt;=3,3,'Sales Projections'!$C$13)+IF('Sales Projections'!$C$13&lt;=3,0,('Sales Projections'!$C$13-3)*0.5))*400</f>
        <v>2200</v>
      </c>
      <c r="AJ38" s="16">
        <f>(IF('Sales Projections'!$C$13&gt;=3,3,'Sales Projections'!$C$13)+IF('Sales Projections'!$C$13&lt;=3,0,('Sales Projections'!$C$13-3)*0.5))*400</f>
        <v>2200</v>
      </c>
      <c r="AK38" s="16">
        <f>(IF('Sales Projections'!$C$13&gt;=3,3,'Sales Projections'!$C$13)+IF('Sales Projections'!$C$13&lt;=3,0,('Sales Projections'!$C$13-3)*0.5))*400</f>
        <v>2200</v>
      </c>
      <c r="AL38" s="16">
        <f>(IF('Sales Projections'!$C$13&gt;=3,3,'Sales Projections'!$C$13)+IF('Sales Projections'!$C$13&lt;=3,0,('Sales Projections'!$C$13-3)*0.5))*400</f>
        <v>2200</v>
      </c>
      <c r="AM38" s="16">
        <f>(IF('Sales Projections'!$C$13&gt;=3,3,'Sales Projections'!$C$13)+IF('Sales Projections'!$C$13&lt;=3,0,('Sales Projections'!$C$13-3)*0.5))*400</f>
        <v>2200</v>
      </c>
      <c r="AN38" s="16">
        <f>(IF('Sales Projections'!$C$13&gt;=3,3,'Sales Projections'!$C$13)+IF('Sales Projections'!$C$13&lt;=3,0,('Sales Projections'!$C$13-3)*0.5))*400</f>
        <v>2200</v>
      </c>
      <c r="AO38" s="16">
        <f>(IF('Sales Projections'!$C$13&gt;=3,3,'Sales Projections'!$C$13)+IF('Sales Projections'!$C$13&lt;=3,0,('Sales Projections'!$C$13-3)*0.5))*400</f>
        <v>2200</v>
      </c>
      <c r="AP38" s="16">
        <f>(IF('Sales Projections'!$C$13&gt;=3,3,'Sales Projections'!$C$13)+IF('Sales Projections'!$C$13&lt;=3,0,('Sales Projections'!$C$13-3)*0.5))*400</f>
        <v>2200</v>
      </c>
      <c r="AR38" s="16">
        <f t="shared" si="207"/>
        <v>0</v>
      </c>
      <c r="AS38" s="16">
        <f t="shared" si="208"/>
        <v>0</v>
      </c>
      <c r="AT38" s="16">
        <f t="shared" si="209"/>
        <v>0</v>
      </c>
      <c r="AU38" s="16">
        <f t="shared" si="210"/>
        <v>0</v>
      </c>
      <c r="AV38" s="16">
        <f t="shared" si="211"/>
        <v>0</v>
      </c>
      <c r="AX38" s="16">
        <f t="shared" si="212"/>
        <v>1600</v>
      </c>
      <c r="AY38" s="16">
        <f t="shared" si="213"/>
        <v>0</v>
      </c>
      <c r="AZ38" s="16">
        <f t="shared" si="214"/>
        <v>400</v>
      </c>
      <c r="BA38" s="16">
        <f t="shared" si="215"/>
        <v>400</v>
      </c>
      <c r="BB38" s="16">
        <f t="shared" si="216"/>
        <v>800</v>
      </c>
      <c r="BD38" s="16">
        <f t="shared" si="217"/>
        <v>26400</v>
      </c>
      <c r="BE38" s="16">
        <f t="shared" si="218"/>
        <v>6600</v>
      </c>
      <c r="BF38" s="16">
        <f t="shared" si="219"/>
        <v>6600</v>
      </c>
      <c r="BG38" s="16">
        <f t="shared" si="220"/>
        <v>6600</v>
      </c>
      <c r="BH38" s="16">
        <f t="shared" si="221"/>
        <v>6600</v>
      </c>
      <c r="BJ38" s="16">
        <f t="shared" si="222"/>
        <v>19200</v>
      </c>
      <c r="BK38" s="16">
        <f>(IF('Sales Projections'!$D$13&gt;=3,3,'Sales Projections'!$D$13)+IF('Sales Projections'!$D$13&lt;=3,0,('Sales Projections'!$D$13-3)*0.5))*400</f>
        <v>4800</v>
      </c>
      <c r="BL38" s="16">
        <f>(IF('Sales Projections'!$D$13&gt;=3,3,'Sales Projections'!$D$13)+IF('Sales Projections'!$D$13&lt;=3,0,('Sales Projections'!$D$13-3)*0.5))*400</f>
        <v>4800</v>
      </c>
      <c r="BM38" s="16">
        <f>(IF('Sales Projections'!$D$13&gt;=3,3,'Sales Projections'!$D$13)+IF('Sales Projections'!$D$13&lt;=3,0,('Sales Projections'!$D$13-3)*0.5))*400</f>
        <v>4800</v>
      </c>
      <c r="BN38" s="16">
        <f>(IF('Sales Projections'!$D$13&gt;=3,3,'Sales Projections'!$D$13)+IF('Sales Projections'!$D$13&lt;=3,0,('Sales Projections'!$D$13-3)*0.5))*400</f>
        <v>4800</v>
      </c>
      <c r="BP38" s="16">
        <f t="shared" si="223"/>
        <v>36800</v>
      </c>
      <c r="BQ38" s="16">
        <f>(IF('Sales Projections'!$E$13&gt;=3,3,'Sales Projections'!$E$13)+IF('Sales Projections'!$E$13&lt;=3,0,('Sales Projections'!$E$13-3)*0.5))*400</f>
        <v>9200</v>
      </c>
      <c r="BR38" s="16">
        <f>(IF('Sales Projections'!$E$13&gt;=3,3,'Sales Projections'!$E$13)+IF('Sales Projections'!$E$13&lt;=3,0,('Sales Projections'!$E$13-3)*0.5))*400</f>
        <v>9200</v>
      </c>
      <c r="BS38" s="16">
        <f>(IF('Sales Projections'!$E$13&gt;=3,3,'Sales Projections'!$E$13)+IF('Sales Projections'!$E$13&lt;=3,0,('Sales Projections'!$E$13-3)*0.5))*400</f>
        <v>9200</v>
      </c>
      <c r="BT38" s="16">
        <f>(IF('Sales Projections'!$E$13&gt;=3,3,'Sales Projections'!$E$13)+IF('Sales Projections'!$E$13&lt;=3,0,('Sales Projections'!$E$13-3)*0.5))*400</f>
        <v>9200</v>
      </c>
      <c r="BV38" s="16">
        <f t="shared" si="224"/>
        <v>44800</v>
      </c>
      <c r="BW38" s="16">
        <f>(IF('Sales Projections'!$F$13&gt;=3,3,'Sales Projections'!$F$13)+IF('Sales Projections'!$F$13&lt;=3,0,('Sales Projections'!$F$13-3)*0.5))*400</f>
        <v>11200</v>
      </c>
      <c r="BX38" s="16">
        <f>(IF('Sales Projections'!$F$13&gt;=3,3,'Sales Projections'!$F$13)+IF('Sales Projections'!$F$13&lt;=3,0,('Sales Projections'!$F$13-3)*0.5))*400</f>
        <v>11200</v>
      </c>
      <c r="BY38" s="16">
        <f>(IF('Sales Projections'!$F$13&gt;=3,3,'Sales Projections'!$F$13)+IF('Sales Projections'!$F$13&lt;=3,0,('Sales Projections'!$F$13-3)*0.5))*400</f>
        <v>11200</v>
      </c>
      <c r="BZ38" s="16">
        <f>(IF('Sales Projections'!$F$13&gt;=3,3,'Sales Projections'!$F$13)+IF('Sales Projections'!$F$13&lt;=3,0,('Sales Projections'!$F$13-3)*0.5))*400</f>
        <v>11200</v>
      </c>
    </row>
    <row r="39" spans="2:78" s="16" customFormat="1" x14ac:dyDescent="0.25">
      <c r="B39" s="16" t="s">
        <v>174</v>
      </c>
      <c r="T39" s="16">
        <f t="shared" ref="T39:AC39" si="225">IF(COUNT(T86:T118)=0,"",COUNT(T86:T118)*6000)</f>
        <v>6000</v>
      </c>
      <c r="U39" s="16">
        <f t="shared" si="225"/>
        <v>6000</v>
      </c>
      <c r="V39" s="16">
        <f t="shared" si="225"/>
        <v>6000</v>
      </c>
      <c r="W39" s="16">
        <f t="shared" si="225"/>
        <v>6000</v>
      </c>
      <c r="X39" s="16">
        <f t="shared" si="225"/>
        <v>6000</v>
      </c>
      <c r="Y39" s="16">
        <f t="shared" si="225"/>
        <v>6000</v>
      </c>
      <c r="Z39" s="16">
        <f t="shared" si="225"/>
        <v>6000</v>
      </c>
      <c r="AA39" s="16">
        <f t="shared" si="225"/>
        <v>6000</v>
      </c>
      <c r="AB39" s="16">
        <f t="shared" si="225"/>
        <v>6000</v>
      </c>
      <c r="AC39" s="16">
        <f t="shared" si="225"/>
        <v>6000</v>
      </c>
      <c r="AE39" s="16">
        <f t="shared" ref="AE39:AP39" si="226">IF(COUNT(AE86:AE118)=0,"",COUNT(AE86:AE118)*6000)</f>
        <v>12000</v>
      </c>
      <c r="AF39" s="16">
        <f t="shared" si="226"/>
        <v>12000</v>
      </c>
      <c r="AG39" s="16">
        <f t="shared" si="226"/>
        <v>12000</v>
      </c>
      <c r="AH39" s="16">
        <f t="shared" si="226"/>
        <v>12000</v>
      </c>
      <c r="AI39" s="16">
        <f t="shared" si="226"/>
        <v>12000</v>
      </c>
      <c r="AJ39" s="16">
        <f t="shared" si="226"/>
        <v>12000</v>
      </c>
      <c r="AK39" s="16">
        <f t="shared" si="226"/>
        <v>12000</v>
      </c>
      <c r="AL39" s="16">
        <f t="shared" si="226"/>
        <v>12000</v>
      </c>
      <c r="AM39" s="16">
        <f t="shared" si="226"/>
        <v>12000</v>
      </c>
      <c r="AN39" s="16">
        <f t="shared" si="226"/>
        <v>12000</v>
      </c>
      <c r="AO39" s="16">
        <f t="shared" si="226"/>
        <v>12000</v>
      </c>
      <c r="AP39" s="16">
        <f t="shared" si="226"/>
        <v>12000</v>
      </c>
      <c r="AR39" s="16">
        <f t="shared" si="207"/>
        <v>0</v>
      </c>
      <c r="AS39" s="16">
        <f t="shared" si="208"/>
        <v>0</v>
      </c>
      <c r="AT39" s="16">
        <f t="shared" si="209"/>
        <v>0</v>
      </c>
      <c r="AU39" s="16">
        <f t="shared" si="210"/>
        <v>0</v>
      </c>
      <c r="AV39" s="16">
        <f t="shared" si="211"/>
        <v>0</v>
      </c>
      <c r="AX39" s="16">
        <f t="shared" si="212"/>
        <v>60000</v>
      </c>
      <c r="AY39" s="16">
        <f t="shared" si="213"/>
        <v>6000</v>
      </c>
      <c r="AZ39" s="16">
        <f t="shared" si="214"/>
        <v>18000</v>
      </c>
      <c r="BA39" s="16">
        <f t="shared" si="215"/>
        <v>18000</v>
      </c>
      <c r="BB39" s="16">
        <f t="shared" si="216"/>
        <v>18000</v>
      </c>
      <c r="BD39" s="16">
        <f t="shared" si="217"/>
        <v>144000</v>
      </c>
      <c r="BE39" s="16">
        <f t="shared" si="218"/>
        <v>36000</v>
      </c>
      <c r="BF39" s="16">
        <f t="shared" si="219"/>
        <v>36000</v>
      </c>
      <c r="BG39" s="16">
        <f t="shared" si="220"/>
        <v>36000</v>
      </c>
      <c r="BH39" s="16">
        <f t="shared" si="221"/>
        <v>36000</v>
      </c>
      <c r="BJ39" s="16">
        <f t="shared" si="222"/>
        <v>576000</v>
      </c>
      <c r="BK39" s="16">
        <f>IF(COUNT(BK86:BK244)=0,"",COUNT(BK86:BK244)*6000)</f>
        <v>144000</v>
      </c>
      <c r="BL39" s="16">
        <f t="shared" ref="BL39:BN39" si="227">IF(COUNT(BL86:BL244)=0,"",COUNT(BL86:BL244)*6000)</f>
        <v>144000</v>
      </c>
      <c r="BM39" s="16">
        <f t="shared" si="227"/>
        <v>144000</v>
      </c>
      <c r="BN39" s="16">
        <f t="shared" si="227"/>
        <v>144000</v>
      </c>
      <c r="BP39" s="16">
        <f t="shared" ref="BP39" si="228">SUM(BQ39:BT39)</f>
        <v>1128000</v>
      </c>
      <c r="BQ39" s="16">
        <f>IF(COUNT(BQ86:BQ244)=0,"",COUNT(BQ86:BQ244)*6000)</f>
        <v>282000</v>
      </c>
      <c r="BR39" s="16">
        <f t="shared" ref="BR39:BT39" si="229">IF(COUNT(BR86:BR244)=0,"",COUNT(BR86:BR244)*6000)</f>
        <v>282000</v>
      </c>
      <c r="BS39" s="16">
        <f t="shared" si="229"/>
        <v>282000</v>
      </c>
      <c r="BT39" s="16">
        <f t="shared" si="229"/>
        <v>282000</v>
      </c>
      <c r="BV39" s="16">
        <f t="shared" si="224"/>
        <v>1392000</v>
      </c>
      <c r="BW39" s="16">
        <f>IF(COUNT(BW86:BW244)=0,"",COUNT(BW86:BW244)*6000)</f>
        <v>348000</v>
      </c>
      <c r="BX39" s="16">
        <f t="shared" ref="BX39:BZ39" si="230">IF(COUNT(BX86:BX244)=0,"",COUNT(BX86:BX244)*6000)</f>
        <v>348000</v>
      </c>
      <c r="BY39" s="16">
        <f t="shared" si="230"/>
        <v>348000</v>
      </c>
      <c r="BZ39" s="16">
        <f t="shared" si="230"/>
        <v>348000</v>
      </c>
    </row>
    <row r="40" spans="2:78" s="16" customFormat="1" x14ac:dyDescent="0.25">
      <c r="E40" s="22"/>
      <c r="F40" s="22"/>
      <c r="G40" s="22"/>
      <c r="H40" s="22"/>
      <c r="I40" s="22"/>
      <c r="J40" s="22"/>
      <c r="K40" s="22"/>
      <c r="L40" s="22"/>
      <c r="M40" s="22"/>
      <c r="N40" s="22"/>
      <c r="O40" s="22"/>
      <c r="P40" s="22"/>
      <c r="R40" s="22"/>
      <c r="S40" s="22"/>
      <c r="T40" s="22"/>
      <c r="U40" s="22"/>
      <c r="V40" s="22"/>
      <c r="W40" s="22"/>
      <c r="X40" s="22"/>
      <c r="Y40" s="22"/>
      <c r="Z40" s="22"/>
      <c r="AA40" s="22"/>
      <c r="AB40" s="22"/>
      <c r="AC40" s="22"/>
      <c r="AE40" s="22"/>
      <c r="AF40" s="22"/>
      <c r="AG40" s="22"/>
      <c r="AH40" s="22"/>
      <c r="AI40" s="22"/>
      <c r="AJ40" s="22"/>
      <c r="AK40" s="22"/>
      <c r="AL40" s="22"/>
      <c r="AM40" s="22"/>
      <c r="AN40" s="22"/>
      <c r="AO40" s="22"/>
      <c r="AP40" s="22"/>
      <c r="BK40" s="22"/>
      <c r="BL40" s="22"/>
      <c r="BM40" s="22"/>
      <c r="BN40" s="22"/>
      <c r="BQ40" s="22"/>
      <c r="BR40" s="22"/>
      <c r="BS40" s="22"/>
      <c r="BT40" s="22"/>
      <c r="BW40" s="22"/>
      <c r="BX40" s="22"/>
      <c r="BY40" s="22"/>
      <c r="BZ40" s="22"/>
    </row>
    <row r="41" spans="2:78" s="16" customFormat="1" x14ac:dyDescent="0.25">
      <c r="B41" s="16" t="s">
        <v>165</v>
      </c>
      <c r="E41" s="17">
        <f t="shared" ref="E41:P41" si="231">SUBTOTAL(9,E36:E40)</f>
        <v>0</v>
      </c>
      <c r="F41" s="17">
        <f t="shared" si="231"/>
        <v>0</v>
      </c>
      <c r="G41" s="17">
        <f t="shared" si="231"/>
        <v>0</v>
      </c>
      <c r="H41" s="17">
        <f t="shared" si="231"/>
        <v>0</v>
      </c>
      <c r="I41" s="17">
        <f t="shared" si="231"/>
        <v>0</v>
      </c>
      <c r="J41" s="17">
        <f t="shared" si="231"/>
        <v>0</v>
      </c>
      <c r="K41" s="17">
        <f t="shared" si="231"/>
        <v>0</v>
      </c>
      <c r="L41" s="17">
        <f t="shared" si="231"/>
        <v>0</v>
      </c>
      <c r="M41" s="17">
        <f t="shared" si="231"/>
        <v>0</v>
      </c>
      <c r="N41" s="17">
        <f t="shared" si="231"/>
        <v>0</v>
      </c>
      <c r="O41" s="17">
        <f t="shared" si="231"/>
        <v>0</v>
      </c>
      <c r="P41" s="17">
        <f t="shared" si="231"/>
        <v>0</v>
      </c>
      <c r="R41" s="17">
        <f t="shared" ref="R41:AC41" si="232">SUBTOTAL(9,R36:R40)</f>
        <v>0</v>
      </c>
      <c r="S41" s="17">
        <f t="shared" si="232"/>
        <v>0</v>
      </c>
      <c r="T41" s="17">
        <f t="shared" si="232"/>
        <v>6000</v>
      </c>
      <c r="U41" s="17">
        <f t="shared" si="232"/>
        <v>6000</v>
      </c>
      <c r="V41" s="17">
        <f t="shared" si="232"/>
        <v>6000</v>
      </c>
      <c r="W41" s="17">
        <f t="shared" si="232"/>
        <v>7900</v>
      </c>
      <c r="X41" s="17">
        <f t="shared" si="232"/>
        <v>6000</v>
      </c>
      <c r="Y41" s="17">
        <f t="shared" si="232"/>
        <v>7900</v>
      </c>
      <c r="Z41" s="17">
        <f t="shared" si="232"/>
        <v>6000</v>
      </c>
      <c r="AA41" s="17">
        <f t="shared" si="232"/>
        <v>7900</v>
      </c>
      <c r="AB41" s="17">
        <f t="shared" si="232"/>
        <v>6000</v>
      </c>
      <c r="AC41" s="17">
        <f t="shared" si="232"/>
        <v>8000</v>
      </c>
      <c r="AE41" s="17">
        <f t="shared" ref="AE41:AP41" si="233">SUBTOTAL(9,AE36:AE40)</f>
        <v>23000</v>
      </c>
      <c r="AF41" s="17">
        <f t="shared" si="233"/>
        <v>23000</v>
      </c>
      <c r="AG41" s="17">
        <f t="shared" si="233"/>
        <v>23000</v>
      </c>
      <c r="AH41" s="17">
        <f t="shared" si="233"/>
        <v>23000</v>
      </c>
      <c r="AI41" s="17">
        <f t="shared" si="233"/>
        <v>23000</v>
      </c>
      <c r="AJ41" s="17">
        <f t="shared" si="233"/>
        <v>23000</v>
      </c>
      <c r="AK41" s="17">
        <f t="shared" si="233"/>
        <v>23000</v>
      </c>
      <c r="AL41" s="17">
        <f t="shared" si="233"/>
        <v>23000</v>
      </c>
      <c r="AM41" s="17">
        <f t="shared" si="233"/>
        <v>23000</v>
      </c>
      <c r="AN41" s="17">
        <f t="shared" si="233"/>
        <v>23000</v>
      </c>
      <c r="AO41" s="17">
        <f t="shared" si="233"/>
        <v>23000</v>
      </c>
      <c r="AP41" s="17">
        <f t="shared" si="233"/>
        <v>23000</v>
      </c>
      <c r="AR41" s="17">
        <f t="shared" ref="AR41:AV41" si="234">SUBTOTAL(9,AR36:AR40)</f>
        <v>0</v>
      </c>
      <c r="AS41" s="17">
        <f t="shared" si="234"/>
        <v>0</v>
      </c>
      <c r="AT41" s="17">
        <f t="shared" si="234"/>
        <v>0</v>
      </c>
      <c r="AU41" s="17">
        <f t="shared" si="234"/>
        <v>0</v>
      </c>
      <c r="AV41" s="17">
        <f t="shared" si="234"/>
        <v>0</v>
      </c>
      <c r="AX41" s="17">
        <f t="shared" ref="AX41:BB41" si="235">SUBTOTAL(9,AX36:AX40)</f>
        <v>67700</v>
      </c>
      <c r="AY41" s="17">
        <f t="shared" si="235"/>
        <v>6000</v>
      </c>
      <c r="AZ41" s="17">
        <f t="shared" si="235"/>
        <v>19900</v>
      </c>
      <c r="BA41" s="17">
        <f t="shared" si="235"/>
        <v>19900</v>
      </c>
      <c r="BB41" s="17">
        <f t="shared" si="235"/>
        <v>21900</v>
      </c>
      <c r="BD41" s="17">
        <f t="shared" ref="BD41:BH41" si="236">SUBTOTAL(9,BD36:BD40)</f>
        <v>276000</v>
      </c>
      <c r="BE41" s="17">
        <f t="shared" si="236"/>
        <v>69000</v>
      </c>
      <c r="BF41" s="17">
        <f t="shared" si="236"/>
        <v>69000</v>
      </c>
      <c r="BG41" s="17">
        <f t="shared" si="236"/>
        <v>69000</v>
      </c>
      <c r="BH41" s="17">
        <f t="shared" si="236"/>
        <v>69000</v>
      </c>
      <c r="BJ41" s="17">
        <f t="shared" ref="BJ41:BN41" si="237">SUBTOTAL(9,BJ36:BJ40)</f>
        <v>672000</v>
      </c>
      <c r="BK41" s="17">
        <f t="shared" si="237"/>
        <v>168000</v>
      </c>
      <c r="BL41" s="17">
        <f t="shared" si="237"/>
        <v>168000</v>
      </c>
      <c r="BM41" s="17">
        <f t="shared" si="237"/>
        <v>168000</v>
      </c>
      <c r="BN41" s="17">
        <f t="shared" si="237"/>
        <v>168000</v>
      </c>
      <c r="BP41" s="17">
        <f t="shared" ref="BP41" si="238">SUBTOTAL(9,BP36:BP40)</f>
        <v>1312000</v>
      </c>
      <c r="BQ41" s="17">
        <f t="shared" ref="BQ41:BT41" si="239">SUBTOTAL(9,BQ36:BQ40)</f>
        <v>328000</v>
      </c>
      <c r="BR41" s="17">
        <f t="shared" si="239"/>
        <v>328000</v>
      </c>
      <c r="BS41" s="17">
        <f t="shared" si="239"/>
        <v>328000</v>
      </c>
      <c r="BT41" s="17">
        <f t="shared" si="239"/>
        <v>328000</v>
      </c>
      <c r="BV41" s="17">
        <f t="shared" ref="BV41" si="240">SUBTOTAL(9,BV36:BV40)</f>
        <v>1616000</v>
      </c>
      <c r="BW41" s="17">
        <f t="shared" ref="BW41:BZ41" si="241">SUBTOTAL(9,BW36:BW40)</f>
        <v>404000</v>
      </c>
      <c r="BX41" s="17">
        <f t="shared" si="241"/>
        <v>404000</v>
      </c>
      <c r="BY41" s="17">
        <f t="shared" si="241"/>
        <v>404000</v>
      </c>
      <c r="BZ41" s="17">
        <f t="shared" si="241"/>
        <v>404000</v>
      </c>
    </row>
    <row r="42" spans="2:78" s="16" customFormat="1" x14ac:dyDescent="0.25"/>
    <row r="43" spans="2:78" s="16" customFormat="1" x14ac:dyDescent="0.25">
      <c r="B43" s="16" t="s">
        <v>134</v>
      </c>
      <c r="AR43" s="16">
        <f t="shared" ref="AR43:AR52" si="242">SUM(E43:P43)</f>
        <v>0</v>
      </c>
      <c r="AS43" s="16">
        <f t="shared" ref="AS43:AS52" si="243">SUM(E43:G43)</f>
        <v>0</v>
      </c>
      <c r="AT43" s="16">
        <f t="shared" ref="AT43:AT52" si="244">SUM(H43:J43)</f>
        <v>0</v>
      </c>
      <c r="AU43" s="16">
        <f t="shared" ref="AU43:AU52" si="245">SUM(K43:M43)</f>
        <v>0</v>
      </c>
      <c r="AV43" s="16">
        <f t="shared" ref="AV43:AV52" si="246">SUM(N43:P43)</f>
        <v>0</v>
      </c>
      <c r="AX43" s="16">
        <f t="shared" ref="AX43:AX52" si="247">SUM(R43:AC43)</f>
        <v>0</v>
      </c>
      <c r="AY43" s="16">
        <f t="shared" ref="AY43:AY52" si="248">SUM(R43:T43)</f>
        <v>0</v>
      </c>
      <c r="AZ43" s="16">
        <f t="shared" ref="AZ43:AZ52" si="249">SUM(U43:W43)</f>
        <v>0</v>
      </c>
      <c r="BA43" s="16">
        <f t="shared" ref="BA43:BA52" si="250">SUM(X43:Z43)</f>
        <v>0</v>
      </c>
      <c r="BB43" s="16">
        <f t="shared" ref="BB43:BB52" si="251">SUM(AA43:AC43)</f>
        <v>0</v>
      </c>
      <c r="BD43" s="16">
        <f t="shared" ref="BD43:BD52" si="252">SUM(AE43:AP43)</f>
        <v>0</v>
      </c>
      <c r="BE43" s="16">
        <f t="shared" ref="BE43:BE52" si="253">SUM(AE43:AG43)</f>
        <v>0</v>
      </c>
      <c r="BF43" s="16">
        <f t="shared" ref="BF43:BF52" si="254">SUM(AH43:AJ43)</f>
        <v>0</v>
      </c>
      <c r="BG43" s="16">
        <f t="shared" ref="BG43:BG52" si="255">SUM(AK43:AM43)</f>
        <v>0</v>
      </c>
      <c r="BH43" s="16">
        <f t="shared" ref="BH43:BH52" si="256">SUM(AN43:AP43)</f>
        <v>0</v>
      </c>
      <c r="BJ43" s="16">
        <f t="shared" ref="BJ43:BJ52" si="257">SUM(BK43:BN43)</f>
        <v>0</v>
      </c>
      <c r="BP43" s="16">
        <f t="shared" ref="BP43:BP52" si="258">SUM(BQ43:BT43)</f>
        <v>0</v>
      </c>
      <c r="BV43" s="16">
        <f t="shared" ref="BV43:BV52" si="259">SUM(BW43:BZ43)</f>
        <v>0</v>
      </c>
    </row>
    <row r="44" spans="2:78" s="16" customFormat="1" x14ac:dyDescent="0.25">
      <c r="B44" s="16" t="s">
        <v>135</v>
      </c>
      <c r="AR44" s="16">
        <f t="shared" si="242"/>
        <v>0</v>
      </c>
      <c r="AS44" s="16">
        <f t="shared" si="243"/>
        <v>0</v>
      </c>
      <c r="AT44" s="16">
        <f t="shared" si="244"/>
        <v>0</v>
      </c>
      <c r="AU44" s="16">
        <f t="shared" si="245"/>
        <v>0</v>
      </c>
      <c r="AV44" s="16">
        <f t="shared" si="246"/>
        <v>0</v>
      </c>
      <c r="AX44" s="16">
        <f t="shared" si="247"/>
        <v>0</v>
      </c>
      <c r="AY44" s="16">
        <f t="shared" si="248"/>
        <v>0</v>
      </c>
      <c r="AZ44" s="16">
        <f t="shared" si="249"/>
        <v>0</v>
      </c>
      <c r="BA44" s="16">
        <f t="shared" si="250"/>
        <v>0</v>
      </c>
      <c r="BB44" s="16">
        <f t="shared" si="251"/>
        <v>0</v>
      </c>
      <c r="BD44" s="16">
        <f t="shared" si="252"/>
        <v>0</v>
      </c>
      <c r="BE44" s="16">
        <f t="shared" si="253"/>
        <v>0</v>
      </c>
      <c r="BF44" s="16">
        <f t="shared" si="254"/>
        <v>0</v>
      </c>
      <c r="BG44" s="16">
        <f t="shared" si="255"/>
        <v>0</v>
      </c>
      <c r="BH44" s="16">
        <f t="shared" si="256"/>
        <v>0</v>
      </c>
      <c r="BJ44" s="16">
        <f t="shared" si="257"/>
        <v>0</v>
      </c>
      <c r="BP44" s="16">
        <f t="shared" si="258"/>
        <v>0</v>
      </c>
      <c r="BV44" s="16">
        <f t="shared" si="259"/>
        <v>0</v>
      </c>
    </row>
    <row r="45" spans="2:78" s="16" customFormat="1" x14ac:dyDescent="0.25">
      <c r="B45" s="16" t="s">
        <v>136</v>
      </c>
      <c r="AR45" s="16">
        <f t="shared" si="242"/>
        <v>0</v>
      </c>
      <c r="AS45" s="16">
        <f t="shared" si="243"/>
        <v>0</v>
      </c>
      <c r="AT45" s="16">
        <f t="shared" si="244"/>
        <v>0</v>
      </c>
      <c r="AU45" s="16">
        <f t="shared" si="245"/>
        <v>0</v>
      </c>
      <c r="AV45" s="16">
        <f t="shared" si="246"/>
        <v>0</v>
      </c>
      <c r="AX45" s="16">
        <f t="shared" si="247"/>
        <v>0</v>
      </c>
      <c r="AY45" s="16">
        <f t="shared" si="248"/>
        <v>0</v>
      </c>
      <c r="AZ45" s="16">
        <f t="shared" si="249"/>
        <v>0</v>
      </c>
      <c r="BA45" s="16">
        <f t="shared" si="250"/>
        <v>0</v>
      </c>
      <c r="BB45" s="16">
        <f t="shared" si="251"/>
        <v>0</v>
      </c>
      <c r="BD45" s="16">
        <f t="shared" si="252"/>
        <v>0</v>
      </c>
      <c r="BE45" s="16">
        <f t="shared" si="253"/>
        <v>0</v>
      </c>
      <c r="BF45" s="16">
        <f t="shared" si="254"/>
        <v>0</v>
      </c>
      <c r="BG45" s="16">
        <f t="shared" si="255"/>
        <v>0</v>
      </c>
      <c r="BH45" s="16">
        <f t="shared" si="256"/>
        <v>0</v>
      </c>
      <c r="BJ45" s="16">
        <f t="shared" si="257"/>
        <v>0</v>
      </c>
      <c r="BP45" s="16">
        <f t="shared" si="258"/>
        <v>0</v>
      </c>
      <c r="BV45" s="16">
        <f t="shared" si="259"/>
        <v>0</v>
      </c>
    </row>
    <row r="46" spans="2:78" s="16" customFormat="1" x14ac:dyDescent="0.25">
      <c r="B46" s="16" t="s">
        <v>37</v>
      </c>
      <c r="AR46" s="16">
        <f t="shared" si="242"/>
        <v>0</v>
      </c>
      <c r="AS46" s="16">
        <f t="shared" si="243"/>
        <v>0</v>
      </c>
      <c r="AT46" s="16">
        <f t="shared" si="244"/>
        <v>0</v>
      </c>
      <c r="AU46" s="16">
        <f t="shared" si="245"/>
        <v>0</v>
      </c>
      <c r="AV46" s="16">
        <f t="shared" si="246"/>
        <v>0</v>
      </c>
      <c r="AX46" s="16">
        <f t="shared" si="247"/>
        <v>0</v>
      </c>
      <c r="AY46" s="16">
        <f t="shared" si="248"/>
        <v>0</v>
      </c>
      <c r="AZ46" s="16">
        <f t="shared" si="249"/>
        <v>0</v>
      </c>
      <c r="BA46" s="16">
        <f t="shared" si="250"/>
        <v>0</v>
      </c>
      <c r="BB46" s="16">
        <f t="shared" si="251"/>
        <v>0</v>
      </c>
      <c r="BD46" s="16">
        <f t="shared" si="252"/>
        <v>0</v>
      </c>
      <c r="BE46" s="16">
        <f t="shared" si="253"/>
        <v>0</v>
      </c>
      <c r="BF46" s="16">
        <f t="shared" si="254"/>
        <v>0</v>
      </c>
      <c r="BG46" s="16">
        <f t="shared" si="255"/>
        <v>0</v>
      </c>
      <c r="BH46" s="16">
        <f t="shared" si="256"/>
        <v>0</v>
      </c>
      <c r="BJ46" s="16">
        <f t="shared" si="257"/>
        <v>0</v>
      </c>
      <c r="BP46" s="16">
        <f t="shared" si="258"/>
        <v>0</v>
      </c>
      <c r="BV46" s="16">
        <f t="shared" si="259"/>
        <v>0</v>
      </c>
    </row>
    <row r="47" spans="2:78" s="16" customFormat="1" x14ac:dyDescent="0.25">
      <c r="B47" s="16" t="s">
        <v>137</v>
      </c>
      <c r="C47" s="16" t="s">
        <v>138</v>
      </c>
      <c r="AR47" s="16">
        <f t="shared" si="242"/>
        <v>0</v>
      </c>
      <c r="AS47" s="16">
        <f t="shared" si="243"/>
        <v>0</v>
      </c>
      <c r="AT47" s="16">
        <f t="shared" si="244"/>
        <v>0</v>
      </c>
      <c r="AU47" s="16">
        <f t="shared" si="245"/>
        <v>0</v>
      </c>
      <c r="AV47" s="16">
        <f t="shared" si="246"/>
        <v>0</v>
      </c>
      <c r="AX47" s="16">
        <f t="shared" si="247"/>
        <v>0</v>
      </c>
      <c r="AY47" s="16">
        <f t="shared" si="248"/>
        <v>0</v>
      </c>
      <c r="AZ47" s="16">
        <f t="shared" si="249"/>
        <v>0</v>
      </c>
      <c r="BA47" s="16">
        <f t="shared" si="250"/>
        <v>0</v>
      </c>
      <c r="BB47" s="16">
        <f t="shared" si="251"/>
        <v>0</v>
      </c>
      <c r="BD47" s="16">
        <f t="shared" si="252"/>
        <v>0</v>
      </c>
      <c r="BE47" s="16">
        <f t="shared" si="253"/>
        <v>0</v>
      </c>
      <c r="BF47" s="16">
        <f t="shared" si="254"/>
        <v>0</v>
      </c>
      <c r="BG47" s="16">
        <f t="shared" si="255"/>
        <v>0</v>
      </c>
      <c r="BH47" s="16">
        <f t="shared" si="256"/>
        <v>0</v>
      </c>
      <c r="BJ47" s="16">
        <f t="shared" si="257"/>
        <v>0</v>
      </c>
      <c r="BP47" s="16">
        <f t="shared" si="258"/>
        <v>0</v>
      </c>
      <c r="BV47" s="16">
        <f t="shared" si="259"/>
        <v>0</v>
      </c>
    </row>
    <row r="48" spans="2:78" s="16" customFormat="1" x14ac:dyDescent="0.25">
      <c r="B48" s="16" t="s">
        <v>38</v>
      </c>
      <c r="AR48" s="16">
        <f t="shared" si="242"/>
        <v>0</v>
      </c>
      <c r="AS48" s="16">
        <f t="shared" si="243"/>
        <v>0</v>
      </c>
      <c r="AT48" s="16">
        <f t="shared" si="244"/>
        <v>0</v>
      </c>
      <c r="AU48" s="16">
        <f t="shared" si="245"/>
        <v>0</v>
      </c>
      <c r="AV48" s="16">
        <f t="shared" si="246"/>
        <v>0</v>
      </c>
      <c r="AX48" s="16">
        <f t="shared" si="247"/>
        <v>0</v>
      </c>
      <c r="AY48" s="16">
        <f t="shared" si="248"/>
        <v>0</v>
      </c>
      <c r="AZ48" s="16">
        <f t="shared" si="249"/>
        <v>0</v>
      </c>
      <c r="BA48" s="16">
        <f t="shared" si="250"/>
        <v>0</v>
      </c>
      <c r="BB48" s="16">
        <f t="shared" si="251"/>
        <v>0</v>
      </c>
      <c r="BD48" s="16">
        <f t="shared" si="252"/>
        <v>0</v>
      </c>
      <c r="BE48" s="16">
        <f t="shared" si="253"/>
        <v>0</v>
      </c>
      <c r="BF48" s="16">
        <f t="shared" si="254"/>
        <v>0</v>
      </c>
      <c r="BG48" s="16">
        <f t="shared" si="255"/>
        <v>0</v>
      </c>
      <c r="BH48" s="16">
        <f t="shared" si="256"/>
        <v>0</v>
      </c>
      <c r="BJ48" s="16">
        <f t="shared" si="257"/>
        <v>0</v>
      </c>
      <c r="BP48" s="16">
        <f t="shared" si="258"/>
        <v>0</v>
      </c>
      <c r="BV48" s="16">
        <f t="shared" si="259"/>
        <v>0</v>
      </c>
    </row>
    <row r="49" spans="2:78" s="16" customFormat="1" x14ac:dyDescent="0.25">
      <c r="B49" s="16" t="s">
        <v>39</v>
      </c>
      <c r="AR49" s="16">
        <f t="shared" si="242"/>
        <v>0</v>
      </c>
      <c r="AS49" s="16">
        <f t="shared" si="243"/>
        <v>0</v>
      </c>
      <c r="AT49" s="16">
        <f t="shared" si="244"/>
        <v>0</v>
      </c>
      <c r="AU49" s="16">
        <f t="shared" si="245"/>
        <v>0</v>
      </c>
      <c r="AV49" s="16">
        <f t="shared" si="246"/>
        <v>0</v>
      </c>
      <c r="AX49" s="16">
        <f t="shared" si="247"/>
        <v>0</v>
      </c>
      <c r="AY49" s="16">
        <f t="shared" si="248"/>
        <v>0</v>
      </c>
      <c r="AZ49" s="16">
        <f t="shared" si="249"/>
        <v>0</v>
      </c>
      <c r="BA49" s="16">
        <f t="shared" si="250"/>
        <v>0</v>
      </c>
      <c r="BB49" s="16">
        <f t="shared" si="251"/>
        <v>0</v>
      </c>
      <c r="BD49" s="16">
        <f t="shared" si="252"/>
        <v>0</v>
      </c>
      <c r="BE49" s="16">
        <f t="shared" si="253"/>
        <v>0</v>
      </c>
      <c r="BF49" s="16">
        <f t="shared" si="254"/>
        <v>0</v>
      </c>
      <c r="BG49" s="16">
        <f t="shared" si="255"/>
        <v>0</v>
      </c>
      <c r="BH49" s="16">
        <f t="shared" si="256"/>
        <v>0</v>
      </c>
      <c r="BJ49" s="16">
        <f t="shared" si="257"/>
        <v>0</v>
      </c>
      <c r="BP49" s="16">
        <f t="shared" si="258"/>
        <v>0</v>
      </c>
      <c r="BV49" s="16">
        <f t="shared" si="259"/>
        <v>0</v>
      </c>
    </row>
    <row r="50" spans="2:78" s="16" customFormat="1" x14ac:dyDescent="0.25">
      <c r="B50" s="16" t="s">
        <v>40</v>
      </c>
      <c r="AR50" s="16">
        <f t="shared" si="242"/>
        <v>0</v>
      </c>
      <c r="AS50" s="16">
        <f t="shared" si="243"/>
        <v>0</v>
      </c>
      <c r="AT50" s="16">
        <f t="shared" si="244"/>
        <v>0</v>
      </c>
      <c r="AU50" s="16">
        <f t="shared" si="245"/>
        <v>0</v>
      </c>
      <c r="AV50" s="16">
        <f t="shared" si="246"/>
        <v>0</v>
      </c>
      <c r="AX50" s="16">
        <f t="shared" si="247"/>
        <v>0</v>
      </c>
      <c r="AY50" s="16">
        <f t="shared" si="248"/>
        <v>0</v>
      </c>
      <c r="AZ50" s="16">
        <f t="shared" si="249"/>
        <v>0</v>
      </c>
      <c r="BA50" s="16">
        <f t="shared" si="250"/>
        <v>0</v>
      </c>
      <c r="BB50" s="16">
        <f t="shared" si="251"/>
        <v>0</v>
      </c>
      <c r="BD50" s="16">
        <f t="shared" si="252"/>
        <v>0</v>
      </c>
      <c r="BE50" s="16">
        <f t="shared" si="253"/>
        <v>0</v>
      </c>
      <c r="BF50" s="16">
        <f t="shared" si="254"/>
        <v>0</v>
      </c>
      <c r="BG50" s="16">
        <f t="shared" si="255"/>
        <v>0</v>
      </c>
      <c r="BH50" s="16">
        <f t="shared" si="256"/>
        <v>0</v>
      </c>
      <c r="BJ50" s="16">
        <f t="shared" si="257"/>
        <v>0</v>
      </c>
      <c r="BP50" s="16">
        <f t="shared" si="258"/>
        <v>0</v>
      </c>
      <c r="BV50" s="16">
        <f t="shared" si="259"/>
        <v>0</v>
      </c>
    </row>
    <row r="51" spans="2:78" s="16" customFormat="1" x14ac:dyDescent="0.25">
      <c r="B51" s="16" t="s">
        <v>126</v>
      </c>
      <c r="AR51" s="16">
        <f t="shared" si="242"/>
        <v>0</v>
      </c>
      <c r="AS51" s="16">
        <f t="shared" si="243"/>
        <v>0</v>
      </c>
      <c r="AT51" s="16">
        <f t="shared" si="244"/>
        <v>0</v>
      </c>
      <c r="AU51" s="16">
        <f t="shared" si="245"/>
        <v>0</v>
      </c>
      <c r="AV51" s="16">
        <f t="shared" si="246"/>
        <v>0</v>
      </c>
      <c r="AX51" s="16">
        <f t="shared" si="247"/>
        <v>0</v>
      </c>
      <c r="AY51" s="16">
        <f t="shared" si="248"/>
        <v>0</v>
      </c>
      <c r="AZ51" s="16">
        <f t="shared" si="249"/>
        <v>0</v>
      </c>
      <c r="BA51" s="16">
        <f t="shared" si="250"/>
        <v>0</v>
      </c>
      <c r="BB51" s="16">
        <f t="shared" si="251"/>
        <v>0</v>
      </c>
      <c r="BD51" s="16">
        <f t="shared" si="252"/>
        <v>0</v>
      </c>
      <c r="BE51" s="16">
        <f t="shared" si="253"/>
        <v>0</v>
      </c>
      <c r="BF51" s="16">
        <f t="shared" si="254"/>
        <v>0</v>
      </c>
      <c r="BG51" s="16">
        <f t="shared" si="255"/>
        <v>0</v>
      </c>
      <c r="BH51" s="16">
        <f t="shared" si="256"/>
        <v>0</v>
      </c>
      <c r="BJ51" s="16">
        <f t="shared" si="257"/>
        <v>0</v>
      </c>
      <c r="BP51" s="16">
        <f t="shared" si="258"/>
        <v>0</v>
      </c>
      <c r="BV51" s="16">
        <f t="shared" si="259"/>
        <v>0</v>
      </c>
    </row>
    <row r="52" spans="2:78" s="16" customFormat="1" x14ac:dyDescent="0.25">
      <c r="B52" s="16" t="s">
        <v>41</v>
      </c>
      <c r="AR52" s="16">
        <f t="shared" si="242"/>
        <v>0</v>
      </c>
      <c r="AS52" s="16">
        <f t="shared" si="243"/>
        <v>0</v>
      </c>
      <c r="AT52" s="16">
        <f t="shared" si="244"/>
        <v>0</v>
      </c>
      <c r="AU52" s="16">
        <f t="shared" si="245"/>
        <v>0</v>
      </c>
      <c r="AV52" s="16">
        <f t="shared" si="246"/>
        <v>0</v>
      </c>
      <c r="AX52" s="16">
        <f t="shared" si="247"/>
        <v>0</v>
      </c>
      <c r="AY52" s="16">
        <f t="shared" si="248"/>
        <v>0</v>
      </c>
      <c r="AZ52" s="16">
        <f t="shared" si="249"/>
        <v>0</v>
      </c>
      <c r="BA52" s="16">
        <f t="shared" si="250"/>
        <v>0</v>
      </c>
      <c r="BB52" s="16">
        <f t="shared" si="251"/>
        <v>0</v>
      </c>
      <c r="BD52" s="16">
        <f t="shared" si="252"/>
        <v>0</v>
      </c>
      <c r="BE52" s="16">
        <f t="shared" si="253"/>
        <v>0</v>
      </c>
      <c r="BF52" s="16">
        <f t="shared" si="254"/>
        <v>0</v>
      </c>
      <c r="BG52" s="16">
        <f t="shared" si="255"/>
        <v>0</v>
      </c>
      <c r="BH52" s="16">
        <f t="shared" si="256"/>
        <v>0</v>
      </c>
      <c r="BJ52" s="16">
        <f t="shared" si="257"/>
        <v>0</v>
      </c>
      <c r="BP52" s="16">
        <f t="shared" si="258"/>
        <v>0</v>
      </c>
      <c r="BV52" s="16">
        <f t="shared" si="259"/>
        <v>0</v>
      </c>
    </row>
    <row r="53" spans="2:78" s="16" customFormat="1" x14ac:dyDescent="0.25"/>
    <row r="54" spans="2:78" s="16" customFormat="1" x14ac:dyDescent="0.25">
      <c r="B54" s="16" t="s">
        <v>42</v>
      </c>
      <c r="E54" s="17">
        <f>SUBTOTAL(9,E43:E53)</f>
        <v>0</v>
      </c>
      <c r="F54" s="17">
        <f t="shared" ref="F54:P54" si="260">SUBTOTAL(9,F43:F53)</f>
        <v>0</v>
      </c>
      <c r="G54" s="17">
        <f t="shared" si="260"/>
        <v>0</v>
      </c>
      <c r="H54" s="17">
        <f t="shared" si="260"/>
        <v>0</v>
      </c>
      <c r="I54" s="17">
        <f t="shared" si="260"/>
        <v>0</v>
      </c>
      <c r="J54" s="17">
        <f t="shared" si="260"/>
        <v>0</v>
      </c>
      <c r="K54" s="17">
        <f t="shared" si="260"/>
        <v>0</v>
      </c>
      <c r="L54" s="17">
        <f t="shared" si="260"/>
        <v>0</v>
      </c>
      <c r="M54" s="17">
        <f t="shared" si="260"/>
        <v>0</v>
      </c>
      <c r="N54" s="17">
        <f t="shared" si="260"/>
        <v>0</v>
      </c>
      <c r="O54" s="17">
        <f t="shared" si="260"/>
        <v>0</v>
      </c>
      <c r="P54" s="17">
        <f t="shared" si="260"/>
        <v>0</v>
      </c>
      <c r="R54" s="17">
        <f>SUBTOTAL(9,R43:R53)</f>
        <v>0</v>
      </c>
      <c r="S54" s="17">
        <f t="shared" ref="S54" si="261">SUBTOTAL(9,S43:S53)</f>
        <v>0</v>
      </c>
      <c r="T54" s="17">
        <f t="shared" ref="T54" si="262">SUBTOTAL(9,T43:T53)</f>
        <v>0</v>
      </c>
      <c r="U54" s="17">
        <f t="shared" ref="U54" si="263">SUBTOTAL(9,U43:U53)</f>
        <v>0</v>
      </c>
      <c r="V54" s="17">
        <f t="shared" ref="V54" si="264">SUBTOTAL(9,V43:V53)</f>
        <v>0</v>
      </c>
      <c r="W54" s="17">
        <f t="shared" ref="W54" si="265">SUBTOTAL(9,W43:W53)</f>
        <v>0</v>
      </c>
      <c r="X54" s="17">
        <f t="shared" ref="X54" si="266">SUBTOTAL(9,X43:X53)</f>
        <v>0</v>
      </c>
      <c r="Y54" s="17">
        <f t="shared" ref="Y54" si="267">SUBTOTAL(9,Y43:Y53)</f>
        <v>0</v>
      </c>
      <c r="Z54" s="17">
        <f t="shared" ref="Z54" si="268">SUBTOTAL(9,Z43:Z53)</f>
        <v>0</v>
      </c>
      <c r="AA54" s="17">
        <f t="shared" ref="AA54" si="269">SUBTOTAL(9,AA43:AA53)</f>
        <v>0</v>
      </c>
      <c r="AB54" s="17">
        <f t="shared" ref="AB54" si="270">SUBTOTAL(9,AB43:AB53)</f>
        <v>0</v>
      </c>
      <c r="AC54" s="17">
        <f t="shared" ref="AC54:AP54" si="271">SUBTOTAL(9,AC43:AC53)</f>
        <v>0</v>
      </c>
      <c r="AE54" s="17">
        <f t="shared" si="271"/>
        <v>0</v>
      </c>
      <c r="AF54" s="17">
        <f t="shared" si="271"/>
        <v>0</v>
      </c>
      <c r="AG54" s="17">
        <f t="shared" si="271"/>
        <v>0</v>
      </c>
      <c r="AH54" s="17">
        <f t="shared" si="271"/>
        <v>0</v>
      </c>
      <c r="AI54" s="17">
        <f t="shared" si="271"/>
        <v>0</v>
      </c>
      <c r="AJ54" s="17">
        <f t="shared" si="271"/>
        <v>0</v>
      </c>
      <c r="AK54" s="17">
        <f t="shared" si="271"/>
        <v>0</v>
      </c>
      <c r="AL54" s="17">
        <f t="shared" si="271"/>
        <v>0</v>
      </c>
      <c r="AM54" s="17">
        <f t="shared" si="271"/>
        <v>0</v>
      </c>
      <c r="AN54" s="17">
        <f t="shared" si="271"/>
        <v>0</v>
      </c>
      <c r="AO54" s="17">
        <f t="shared" si="271"/>
        <v>0</v>
      </c>
      <c r="AP54" s="17">
        <f t="shared" si="271"/>
        <v>0</v>
      </c>
      <c r="AR54" s="17">
        <f t="shared" ref="AR54:AV54" si="272">SUBTOTAL(9,AR43:AR53)</f>
        <v>0</v>
      </c>
      <c r="AS54" s="17">
        <f t="shared" si="272"/>
        <v>0</v>
      </c>
      <c r="AT54" s="17">
        <f t="shared" si="272"/>
        <v>0</v>
      </c>
      <c r="AU54" s="17">
        <f t="shared" si="272"/>
        <v>0</v>
      </c>
      <c r="AV54" s="17">
        <f t="shared" si="272"/>
        <v>0</v>
      </c>
      <c r="AX54" s="17">
        <f t="shared" ref="AX54:BB54" si="273">SUBTOTAL(9,AX43:AX53)</f>
        <v>0</v>
      </c>
      <c r="AY54" s="17">
        <f t="shared" si="273"/>
        <v>0</v>
      </c>
      <c r="AZ54" s="17">
        <f t="shared" si="273"/>
        <v>0</v>
      </c>
      <c r="BA54" s="17">
        <f t="shared" si="273"/>
        <v>0</v>
      </c>
      <c r="BB54" s="17">
        <f t="shared" si="273"/>
        <v>0</v>
      </c>
      <c r="BD54" s="17">
        <f t="shared" ref="BD54:BH54" si="274">SUBTOTAL(9,BD43:BD53)</f>
        <v>0</v>
      </c>
      <c r="BE54" s="17">
        <f t="shared" si="274"/>
        <v>0</v>
      </c>
      <c r="BF54" s="17">
        <f t="shared" si="274"/>
        <v>0</v>
      </c>
      <c r="BG54" s="17">
        <f t="shared" si="274"/>
        <v>0</v>
      </c>
      <c r="BH54" s="17">
        <f t="shared" si="274"/>
        <v>0</v>
      </c>
      <c r="BJ54" s="17">
        <f t="shared" ref="BJ54:BN54" si="275">SUBTOTAL(9,BJ43:BJ53)</f>
        <v>0</v>
      </c>
      <c r="BK54" s="17">
        <f t="shared" si="275"/>
        <v>0</v>
      </c>
      <c r="BL54" s="17">
        <f t="shared" si="275"/>
        <v>0</v>
      </c>
      <c r="BM54" s="17">
        <f t="shared" si="275"/>
        <v>0</v>
      </c>
      <c r="BN54" s="17">
        <f t="shared" si="275"/>
        <v>0</v>
      </c>
      <c r="BP54" s="17">
        <f t="shared" ref="BP54" si="276">SUBTOTAL(9,BP43:BP53)</f>
        <v>0</v>
      </c>
      <c r="BQ54" s="17">
        <f t="shared" ref="BQ54:BT54" si="277">SUBTOTAL(9,BQ43:BQ53)</f>
        <v>0</v>
      </c>
      <c r="BR54" s="17">
        <f t="shared" si="277"/>
        <v>0</v>
      </c>
      <c r="BS54" s="17">
        <f t="shared" si="277"/>
        <v>0</v>
      </c>
      <c r="BT54" s="17">
        <f t="shared" si="277"/>
        <v>0</v>
      </c>
      <c r="BV54" s="17">
        <f t="shared" ref="BV54" si="278">SUBTOTAL(9,BV43:BV53)</f>
        <v>0</v>
      </c>
      <c r="BW54" s="17">
        <f t="shared" ref="BW54:BZ54" si="279">SUBTOTAL(9,BW43:BW53)</f>
        <v>0</v>
      </c>
      <c r="BX54" s="17">
        <f t="shared" si="279"/>
        <v>0</v>
      </c>
      <c r="BY54" s="17">
        <f t="shared" si="279"/>
        <v>0</v>
      </c>
      <c r="BZ54" s="17">
        <f t="shared" si="279"/>
        <v>0</v>
      </c>
    </row>
    <row r="55" spans="2:78" s="16" customFormat="1" x14ac:dyDescent="0.25"/>
    <row r="56" spans="2:78" s="16" customFormat="1" x14ac:dyDescent="0.25">
      <c r="B56" s="16" t="s">
        <v>43</v>
      </c>
      <c r="AR56" s="16">
        <f t="shared" ref="AR56" si="280">SUM(E56:P56)</f>
        <v>0</v>
      </c>
      <c r="AS56" s="16">
        <f t="shared" ref="AS56" si="281">SUM(E56:G56)</f>
        <v>0</v>
      </c>
      <c r="AT56" s="16">
        <f t="shared" ref="AT56" si="282">SUM(H56:J56)</f>
        <v>0</v>
      </c>
      <c r="AU56" s="16">
        <f t="shared" ref="AU56" si="283">SUM(K56:M56)</f>
        <v>0</v>
      </c>
      <c r="AV56" s="16">
        <f t="shared" ref="AV56" si="284">SUM(N56:P56)</f>
        <v>0</v>
      </c>
      <c r="AX56" s="16">
        <f t="shared" ref="AX56" si="285">SUM(R56:AC56)</f>
        <v>0</v>
      </c>
      <c r="AY56" s="16">
        <f t="shared" ref="AY56" si="286">SUM(R56:T56)</f>
        <v>0</v>
      </c>
      <c r="AZ56" s="16">
        <f t="shared" ref="AZ56" si="287">SUM(U56:W56)</f>
        <v>0</v>
      </c>
      <c r="BA56" s="16">
        <f t="shared" ref="BA56" si="288">SUM(X56:Z56)</f>
        <v>0</v>
      </c>
      <c r="BB56" s="16">
        <f t="shared" ref="BB56" si="289">SUM(AA56:AC56)</f>
        <v>0</v>
      </c>
      <c r="BD56" s="16">
        <f t="shared" ref="BD56" si="290">SUM(AE56:AP56)</f>
        <v>0</v>
      </c>
      <c r="BE56" s="16">
        <f t="shared" ref="BE56" si="291">SUM(AE56:AG56)</f>
        <v>0</v>
      </c>
      <c r="BF56" s="16">
        <f t="shared" ref="BF56" si="292">SUM(AH56:AJ56)</f>
        <v>0</v>
      </c>
      <c r="BG56" s="16">
        <f t="shared" ref="BG56" si="293">SUM(AK56:AM56)</f>
        <v>0</v>
      </c>
      <c r="BH56" s="16">
        <f t="shared" ref="BH56" si="294">SUM(AN56:AP56)</f>
        <v>0</v>
      </c>
      <c r="BJ56" s="16">
        <f t="shared" ref="BJ56:BJ63" si="295">SUM(BK56:BN56)</f>
        <v>0</v>
      </c>
      <c r="BP56" s="16">
        <f t="shared" ref="BP56:BP63" si="296">SUM(BQ56:BT56)</f>
        <v>0</v>
      </c>
      <c r="BV56" s="16">
        <f t="shared" ref="BV56:BV63" si="297">SUM(BW56:BZ56)</f>
        <v>0</v>
      </c>
    </row>
    <row r="57" spans="2:78" s="16" customFormat="1" x14ac:dyDescent="0.25">
      <c r="B57" s="16" t="s">
        <v>92</v>
      </c>
      <c r="AR57" s="16">
        <f t="shared" ref="AR57:AR63" si="298">SUM(E57:P57)</f>
        <v>0</v>
      </c>
      <c r="AS57" s="16">
        <f t="shared" ref="AS57:AS63" si="299">SUM(E57:G57)</f>
        <v>0</v>
      </c>
      <c r="AT57" s="16">
        <f t="shared" ref="AT57:AT63" si="300">SUM(H57:J57)</f>
        <v>0</v>
      </c>
      <c r="AU57" s="16">
        <f t="shared" ref="AU57:AU63" si="301">SUM(K57:M57)</f>
        <v>0</v>
      </c>
      <c r="AV57" s="16">
        <f t="shared" ref="AV57:AV63" si="302">SUM(N57:P57)</f>
        <v>0</v>
      </c>
      <c r="AX57" s="16">
        <f t="shared" ref="AX57:AX63" si="303">SUM(R57:AC57)</f>
        <v>0</v>
      </c>
      <c r="AY57" s="16">
        <f t="shared" ref="AY57:AY63" si="304">SUM(R57:T57)</f>
        <v>0</v>
      </c>
      <c r="AZ57" s="16">
        <f t="shared" ref="AZ57:AZ63" si="305">SUM(U57:W57)</f>
        <v>0</v>
      </c>
      <c r="BA57" s="16">
        <f t="shared" ref="BA57:BA63" si="306">SUM(X57:Z57)</f>
        <v>0</v>
      </c>
      <c r="BB57" s="16">
        <f t="shared" ref="BB57:BB63" si="307">SUM(AA57:AC57)</f>
        <v>0</v>
      </c>
      <c r="BD57" s="16">
        <f t="shared" ref="BD57:BD63" si="308">SUM(AE57:AP57)</f>
        <v>0</v>
      </c>
      <c r="BE57" s="16">
        <f t="shared" ref="BE57:BE63" si="309">SUM(AE57:AG57)</f>
        <v>0</v>
      </c>
      <c r="BF57" s="16">
        <f t="shared" ref="BF57:BF63" si="310">SUM(AH57:AJ57)</f>
        <v>0</v>
      </c>
      <c r="BG57" s="16">
        <f t="shared" ref="BG57:BG63" si="311">SUM(AK57:AM57)</f>
        <v>0</v>
      </c>
      <c r="BH57" s="16">
        <f t="shared" ref="BH57:BH63" si="312">SUM(AN57:AP57)</f>
        <v>0</v>
      </c>
      <c r="BJ57" s="16">
        <f t="shared" si="295"/>
        <v>0</v>
      </c>
      <c r="BP57" s="16">
        <f t="shared" si="296"/>
        <v>0</v>
      </c>
      <c r="BV57" s="16">
        <f t="shared" si="297"/>
        <v>0</v>
      </c>
    </row>
    <row r="58" spans="2:78" s="16" customFormat="1" x14ac:dyDescent="0.25">
      <c r="B58" s="16" t="s">
        <v>44</v>
      </c>
      <c r="AR58" s="16">
        <f t="shared" si="298"/>
        <v>0</v>
      </c>
      <c r="AS58" s="16">
        <f t="shared" si="299"/>
        <v>0</v>
      </c>
      <c r="AT58" s="16">
        <f t="shared" si="300"/>
        <v>0</v>
      </c>
      <c r="AU58" s="16">
        <f t="shared" si="301"/>
        <v>0</v>
      </c>
      <c r="AV58" s="16">
        <f t="shared" si="302"/>
        <v>0</v>
      </c>
      <c r="AX58" s="16">
        <f t="shared" si="303"/>
        <v>0</v>
      </c>
      <c r="AY58" s="16">
        <f t="shared" si="304"/>
        <v>0</v>
      </c>
      <c r="AZ58" s="16">
        <f t="shared" si="305"/>
        <v>0</v>
      </c>
      <c r="BA58" s="16">
        <f t="shared" si="306"/>
        <v>0</v>
      </c>
      <c r="BB58" s="16">
        <f t="shared" si="307"/>
        <v>0</v>
      </c>
      <c r="BD58" s="16">
        <f t="shared" si="308"/>
        <v>0</v>
      </c>
      <c r="BE58" s="16">
        <f t="shared" si="309"/>
        <v>0</v>
      </c>
      <c r="BF58" s="16">
        <f t="shared" si="310"/>
        <v>0</v>
      </c>
      <c r="BG58" s="16">
        <f t="shared" si="311"/>
        <v>0</v>
      </c>
      <c r="BH58" s="16">
        <f t="shared" si="312"/>
        <v>0</v>
      </c>
      <c r="BJ58" s="16">
        <f t="shared" si="295"/>
        <v>0</v>
      </c>
      <c r="BP58" s="16">
        <f t="shared" si="296"/>
        <v>0</v>
      </c>
      <c r="BV58" s="16">
        <f t="shared" si="297"/>
        <v>0</v>
      </c>
    </row>
    <row r="59" spans="2:78" s="16" customFormat="1" x14ac:dyDescent="0.25">
      <c r="B59" s="16" t="s">
        <v>45</v>
      </c>
      <c r="AR59" s="16">
        <f t="shared" si="298"/>
        <v>0</v>
      </c>
      <c r="AS59" s="16">
        <f t="shared" si="299"/>
        <v>0</v>
      </c>
      <c r="AT59" s="16">
        <f t="shared" si="300"/>
        <v>0</v>
      </c>
      <c r="AU59" s="16">
        <f t="shared" si="301"/>
        <v>0</v>
      </c>
      <c r="AV59" s="16">
        <f t="shared" si="302"/>
        <v>0</v>
      </c>
      <c r="AX59" s="16">
        <f t="shared" si="303"/>
        <v>0</v>
      </c>
      <c r="AY59" s="16">
        <f t="shared" si="304"/>
        <v>0</v>
      </c>
      <c r="AZ59" s="16">
        <f t="shared" si="305"/>
        <v>0</v>
      </c>
      <c r="BA59" s="16">
        <f t="shared" si="306"/>
        <v>0</v>
      </c>
      <c r="BB59" s="16">
        <f t="shared" si="307"/>
        <v>0</v>
      </c>
      <c r="BD59" s="16">
        <f t="shared" si="308"/>
        <v>0</v>
      </c>
      <c r="BE59" s="16">
        <f t="shared" si="309"/>
        <v>0</v>
      </c>
      <c r="BF59" s="16">
        <f t="shared" si="310"/>
        <v>0</v>
      </c>
      <c r="BG59" s="16">
        <f t="shared" si="311"/>
        <v>0</v>
      </c>
      <c r="BH59" s="16">
        <f t="shared" si="312"/>
        <v>0</v>
      </c>
      <c r="BJ59" s="16">
        <f t="shared" si="295"/>
        <v>0</v>
      </c>
      <c r="BP59" s="16">
        <f t="shared" si="296"/>
        <v>0</v>
      </c>
      <c r="BV59" s="16">
        <f t="shared" si="297"/>
        <v>0</v>
      </c>
    </row>
    <row r="60" spans="2:78" s="16" customFormat="1" x14ac:dyDescent="0.25">
      <c r="B60" s="16" t="s">
        <v>48</v>
      </c>
      <c r="AR60" s="16">
        <f t="shared" si="298"/>
        <v>0</v>
      </c>
      <c r="AS60" s="16">
        <f t="shared" si="299"/>
        <v>0</v>
      </c>
      <c r="AT60" s="16">
        <f t="shared" si="300"/>
        <v>0</v>
      </c>
      <c r="AU60" s="16">
        <f t="shared" si="301"/>
        <v>0</v>
      </c>
      <c r="AV60" s="16">
        <f t="shared" si="302"/>
        <v>0</v>
      </c>
      <c r="AX60" s="16">
        <f t="shared" si="303"/>
        <v>0</v>
      </c>
      <c r="AY60" s="16">
        <f t="shared" si="304"/>
        <v>0</v>
      </c>
      <c r="AZ60" s="16">
        <f t="shared" si="305"/>
        <v>0</v>
      </c>
      <c r="BA60" s="16">
        <f t="shared" si="306"/>
        <v>0</v>
      </c>
      <c r="BB60" s="16">
        <f t="shared" si="307"/>
        <v>0</v>
      </c>
      <c r="BD60" s="16">
        <f t="shared" si="308"/>
        <v>0</v>
      </c>
      <c r="BE60" s="16">
        <f t="shared" si="309"/>
        <v>0</v>
      </c>
      <c r="BF60" s="16">
        <f t="shared" si="310"/>
        <v>0</v>
      </c>
      <c r="BG60" s="16">
        <f t="shared" si="311"/>
        <v>0</v>
      </c>
      <c r="BH60" s="16">
        <f t="shared" si="312"/>
        <v>0</v>
      </c>
      <c r="BJ60" s="16">
        <f t="shared" si="295"/>
        <v>0</v>
      </c>
      <c r="BP60" s="16">
        <f t="shared" si="296"/>
        <v>0</v>
      </c>
      <c r="BV60" s="16">
        <f t="shared" si="297"/>
        <v>0</v>
      </c>
    </row>
    <row r="61" spans="2:78" s="16" customFormat="1" x14ac:dyDescent="0.25">
      <c r="B61" s="16" t="s">
        <v>47</v>
      </c>
      <c r="AR61" s="16">
        <f t="shared" si="298"/>
        <v>0</v>
      </c>
      <c r="AS61" s="16">
        <f t="shared" si="299"/>
        <v>0</v>
      </c>
      <c r="AT61" s="16">
        <f t="shared" si="300"/>
        <v>0</v>
      </c>
      <c r="AU61" s="16">
        <f t="shared" si="301"/>
        <v>0</v>
      </c>
      <c r="AV61" s="16">
        <f t="shared" si="302"/>
        <v>0</v>
      </c>
      <c r="AX61" s="16">
        <f t="shared" si="303"/>
        <v>0</v>
      </c>
      <c r="AY61" s="16">
        <f t="shared" si="304"/>
        <v>0</v>
      </c>
      <c r="AZ61" s="16">
        <f t="shared" si="305"/>
        <v>0</v>
      </c>
      <c r="BA61" s="16">
        <f t="shared" si="306"/>
        <v>0</v>
      </c>
      <c r="BB61" s="16">
        <f t="shared" si="307"/>
        <v>0</v>
      </c>
      <c r="BD61" s="16">
        <f t="shared" si="308"/>
        <v>0</v>
      </c>
      <c r="BE61" s="16">
        <f t="shared" si="309"/>
        <v>0</v>
      </c>
      <c r="BF61" s="16">
        <f t="shared" si="310"/>
        <v>0</v>
      </c>
      <c r="BG61" s="16">
        <f t="shared" si="311"/>
        <v>0</v>
      </c>
      <c r="BH61" s="16">
        <f t="shared" si="312"/>
        <v>0</v>
      </c>
      <c r="BJ61" s="16">
        <f t="shared" si="295"/>
        <v>0</v>
      </c>
      <c r="BP61" s="16">
        <f t="shared" si="296"/>
        <v>0</v>
      </c>
      <c r="BV61" s="16">
        <f t="shared" si="297"/>
        <v>0</v>
      </c>
    </row>
    <row r="62" spans="2:78" s="16" customFormat="1" x14ac:dyDescent="0.25">
      <c r="B62" s="16" t="s">
        <v>46</v>
      </c>
      <c r="AR62" s="16">
        <f t="shared" si="298"/>
        <v>0</v>
      </c>
      <c r="AS62" s="16">
        <f t="shared" si="299"/>
        <v>0</v>
      </c>
      <c r="AT62" s="16">
        <f t="shared" si="300"/>
        <v>0</v>
      </c>
      <c r="AU62" s="16">
        <f t="shared" si="301"/>
        <v>0</v>
      </c>
      <c r="AV62" s="16">
        <f t="shared" si="302"/>
        <v>0</v>
      </c>
      <c r="AX62" s="16">
        <f t="shared" si="303"/>
        <v>0</v>
      </c>
      <c r="AY62" s="16">
        <f t="shared" si="304"/>
        <v>0</v>
      </c>
      <c r="AZ62" s="16">
        <f t="shared" si="305"/>
        <v>0</v>
      </c>
      <c r="BA62" s="16">
        <f t="shared" si="306"/>
        <v>0</v>
      </c>
      <c r="BB62" s="16">
        <f t="shared" si="307"/>
        <v>0</v>
      </c>
      <c r="BD62" s="16">
        <f t="shared" si="308"/>
        <v>0</v>
      </c>
      <c r="BE62" s="16">
        <f t="shared" si="309"/>
        <v>0</v>
      </c>
      <c r="BF62" s="16">
        <f t="shared" si="310"/>
        <v>0</v>
      </c>
      <c r="BG62" s="16">
        <f t="shared" si="311"/>
        <v>0</v>
      </c>
      <c r="BH62" s="16">
        <f t="shared" si="312"/>
        <v>0</v>
      </c>
      <c r="BJ62" s="16">
        <f t="shared" si="295"/>
        <v>0</v>
      </c>
      <c r="BP62" s="16">
        <f t="shared" si="296"/>
        <v>0</v>
      </c>
      <c r="BV62" s="16">
        <f t="shared" si="297"/>
        <v>0</v>
      </c>
    </row>
    <row r="63" spans="2:78" s="16" customFormat="1" x14ac:dyDescent="0.25">
      <c r="B63" s="16" t="s">
        <v>93</v>
      </c>
      <c r="AR63" s="16">
        <f t="shared" si="298"/>
        <v>0</v>
      </c>
      <c r="AS63" s="16">
        <f t="shared" si="299"/>
        <v>0</v>
      </c>
      <c r="AT63" s="16">
        <f t="shared" si="300"/>
        <v>0</v>
      </c>
      <c r="AU63" s="16">
        <f t="shared" si="301"/>
        <v>0</v>
      </c>
      <c r="AV63" s="16">
        <f t="shared" si="302"/>
        <v>0</v>
      </c>
      <c r="AX63" s="16">
        <f t="shared" si="303"/>
        <v>0</v>
      </c>
      <c r="AY63" s="16">
        <f t="shared" si="304"/>
        <v>0</v>
      </c>
      <c r="AZ63" s="16">
        <f t="shared" si="305"/>
        <v>0</v>
      </c>
      <c r="BA63" s="16">
        <f t="shared" si="306"/>
        <v>0</v>
      </c>
      <c r="BB63" s="16">
        <f t="shared" si="307"/>
        <v>0</v>
      </c>
      <c r="BD63" s="16">
        <f t="shared" si="308"/>
        <v>0</v>
      </c>
      <c r="BE63" s="16">
        <f t="shared" si="309"/>
        <v>0</v>
      </c>
      <c r="BF63" s="16">
        <f t="shared" si="310"/>
        <v>0</v>
      </c>
      <c r="BG63" s="16">
        <f t="shared" si="311"/>
        <v>0</v>
      </c>
      <c r="BH63" s="16">
        <f t="shared" si="312"/>
        <v>0</v>
      </c>
      <c r="BJ63" s="16">
        <f t="shared" si="295"/>
        <v>0</v>
      </c>
      <c r="BP63" s="16">
        <f t="shared" si="296"/>
        <v>0</v>
      </c>
      <c r="BV63" s="16">
        <f t="shared" si="297"/>
        <v>0</v>
      </c>
    </row>
    <row r="64" spans="2:78" s="16" customFormat="1" x14ac:dyDescent="0.25"/>
    <row r="65" spans="1:78" s="16" customFormat="1" x14ac:dyDescent="0.25">
      <c r="B65" s="16" t="s">
        <v>49</v>
      </c>
      <c r="E65" s="17">
        <f>SUBTOTAL(9,E57:E64)</f>
        <v>0</v>
      </c>
      <c r="F65" s="17">
        <f t="shared" ref="F65:P65" si="313">SUBTOTAL(9,F57:F64)</f>
        <v>0</v>
      </c>
      <c r="G65" s="17">
        <f t="shared" si="313"/>
        <v>0</v>
      </c>
      <c r="H65" s="17">
        <f t="shared" si="313"/>
        <v>0</v>
      </c>
      <c r="I65" s="17">
        <f t="shared" si="313"/>
        <v>0</v>
      </c>
      <c r="J65" s="17">
        <f t="shared" si="313"/>
        <v>0</v>
      </c>
      <c r="K65" s="17">
        <f t="shared" si="313"/>
        <v>0</v>
      </c>
      <c r="L65" s="17">
        <f t="shared" si="313"/>
        <v>0</v>
      </c>
      <c r="M65" s="17">
        <f t="shared" si="313"/>
        <v>0</v>
      </c>
      <c r="N65" s="17">
        <f t="shared" si="313"/>
        <v>0</v>
      </c>
      <c r="O65" s="17">
        <f t="shared" si="313"/>
        <v>0</v>
      </c>
      <c r="P65" s="17">
        <f t="shared" si="313"/>
        <v>0</v>
      </c>
      <c r="R65" s="17">
        <f>SUBTOTAL(9,R57:R64)</f>
        <v>0</v>
      </c>
      <c r="S65" s="17">
        <f t="shared" ref="S65" si="314">SUBTOTAL(9,S57:S64)</f>
        <v>0</v>
      </c>
      <c r="T65" s="17">
        <f t="shared" ref="T65" si="315">SUBTOTAL(9,T57:T64)</f>
        <v>0</v>
      </c>
      <c r="U65" s="17">
        <f t="shared" ref="U65" si="316">SUBTOTAL(9,U57:U64)</f>
        <v>0</v>
      </c>
      <c r="V65" s="17">
        <f t="shared" ref="V65" si="317">SUBTOTAL(9,V57:V64)</f>
        <v>0</v>
      </c>
      <c r="W65" s="17">
        <f t="shared" ref="W65" si="318">SUBTOTAL(9,W57:W64)</f>
        <v>0</v>
      </c>
      <c r="X65" s="17">
        <f t="shared" ref="X65" si="319">SUBTOTAL(9,X57:X64)</f>
        <v>0</v>
      </c>
      <c r="Y65" s="17">
        <f t="shared" ref="Y65" si="320">SUBTOTAL(9,Y57:Y64)</f>
        <v>0</v>
      </c>
      <c r="Z65" s="17">
        <f t="shared" ref="Z65" si="321">SUBTOTAL(9,Z57:Z64)</f>
        <v>0</v>
      </c>
      <c r="AA65" s="17">
        <f t="shared" ref="AA65" si="322">SUBTOTAL(9,AA57:AA64)</f>
        <v>0</v>
      </c>
      <c r="AB65" s="17">
        <f t="shared" ref="AB65" si="323">SUBTOTAL(9,AB57:AB64)</f>
        <v>0</v>
      </c>
      <c r="AC65" s="17">
        <f t="shared" ref="AC65:AP65" si="324">SUBTOTAL(9,AC57:AC64)</f>
        <v>0</v>
      </c>
      <c r="AE65" s="17">
        <f t="shared" si="324"/>
        <v>0</v>
      </c>
      <c r="AF65" s="17">
        <f t="shared" si="324"/>
        <v>0</v>
      </c>
      <c r="AG65" s="17">
        <f t="shared" si="324"/>
        <v>0</v>
      </c>
      <c r="AH65" s="17">
        <f t="shared" si="324"/>
        <v>0</v>
      </c>
      <c r="AI65" s="17">
        <f t="shared" si="324"/>
        <v>0</v>
      </c>
      <c r="AJ65" s="17">
        <f t="shared" si="324"/>
        <v>0</v>
      </c>
      <c r="AK65" s="17">
        <f t="shared" si="324"/>
        <v>0</v>
      </c>
      <c r="AL65" s="17">
        <f t="shared" si="324"/>
        <v>0</v>
      </c>
      <c r="AM65" s="17">
        <f t="shared" si="324"/>
        <v>0</v>
      </c>
      <c r="AN65" s="17">
        <f t="shared" si="324"/>
        <v>0</v>
      </c>
      <c r="AO65" s="17">
        <f t="shared" si="324"/>
        <v>0</v>
      </c>
      <c r="AP65" s="17">
        <f t="shared" si="324"/>
        <v>0</v>
      </c>
      <c r="AR65" s="17">
        <f t="shared" ref="AR65:AV65" si="325">SUBTOTAL(9,AR57:AR64)</f>
        <v>0</v>
      </c>
      <c r="AS65" s="17">
        <f t="shared" si="325"/>
        <v>0</v>
      </c>
      <c r="AT65" s="17">
        <f t="shared" si="325"/>
        <v>0</v>
      </c>
      <c r="AU65" s="17">
        <f t="shared" si="325"/>
        <v>0</v>
      </c>
      <c r="AV65" s="17">
        <f t="shared" si="325"/>
        <v>0</v>
      </c>
      <c r="AX65" s="17">
        <f t="shared" ref="AX65:BB65" si="326">SUBTOTAL(9,AX57:AX64)</f>
        <v>0</v>
      </c>
      <c r="AY65" s="17">
        <f t="shared" si="326"/>
        <v>0</v>
      </c>
      <c r="AZ65" s="17">
        <f t="shared" si="326"/>
        <v>0</v>
      </c>
      <c r="BA65" s="17">
        <f t="shared" si="326"/>
        <v>0</v>
      </c>
      <c r="BB65" s="17">
        <f t="shared" si="326"/>
        <v>0</v>
      </c>
      <c r="BD65" s="17">
        <f t="shared" ref="BD65:BH65" si="327">SUBTOTAL(9,BD57:BD64)</f>
        <v>0</v>
      </c>
      <c r="BE65" s="17">
        <f t="shared" si="327"/>
        <v>0</v>
      </c>
      <c r="BF65" s="17">
        <f t="shared" si="327"/>
        <v>0</v>
      </c>
      <c r="BG65" s="17">
        <f t="shared" si="327"/>
        <v>0</v>
      </c>
      <c r="BH65" s="17">
        <f t="shared" si="327"/>
        <v>0</v>
      </c>
      <c r="BJ65" s="17">
        <f t="shared" ref="BJ65:BN65" si="328">SUBTOTAL(9,BJ57:BJ64)</f>
        <v>0</v>
      </c>
      <c r="BK65" s="17">
        <f t="shared" si="328"/>
        <v>0</v>
      </c>
      <c r="BL65" s="17">
        <f t="shared" si="328"/>
        <v>0</v>
      </c>
      <c r="BM65" s="17">
        <f t="shared" si="328"/>
        <v>0</v>
      </c>
      <c r="BN65" s="17">
        <f t="shared" si="328"/>
        <v>0</v>
      </c>
      <c r="BP65" s="17">
        <f t="shared" ref="BP65" si="329">SUBTOTAL(9,BP57:BP64)</f>
        <v>0</v>
      </c>
      <c r="BQ65" s="17">
        <f t="shared" ref="BQ65:BT65" si="330">SUBTOTAL(9,BQ57:BQ64)</f>
        <v>0</v>
      </c>
      <c r="BR65" s="17">
        <f t="shared" si="330"/>
        <v>0</v>
      </c>
      <c r="BS65" s="17">
        <f t="shared" si="330"/>
        <v>0</v>
      </c>
      <c r="BT65" s="17">
        <f t="shared" si="330"/>
        <v>0</v>
      </c>
      <c r="BV65" s="17">
        <f t="shared" ref="BV65" si="331">SUBTOTAL(9,BV57:BV64)</f>
        <v>0</v>
      </c>
      <c r="BW65" s="17">
        <f t="shared" ref="BW65:BZ65" si="332">SUBTOTAL(9,BW57:BW64)</f>
        <v>0</v>
      </c>
      <c r="BX65" s="17">
        <f t="shared" si="332"/>
        <v>0</v>
      </c>
      <c r="BY65" s="17">
        <f t="shared" si="332"/>
        <v>0</v>
      </c>
      <c r="BZ65" s="17">
        <f t="shared" si="332"/>
        <v>0</v>
      </c>
    </row>
    <row r="66" spans="1:78" s="16" customFormat="1" x14ac:dyDescent="0.25"/>
    <row r="67" spans="1:78" s="16" customFormat="1" x14ac:dyDescent="0.25">
      <c r="B67" s="16" t="s">
        <v>50</v>
      </c>
      <c r="AR67" s="16">
        <f t="shared" ref="AR67:AR71" si="333">SUM(E67:P67)</f>
        <v>0</v>
      </c>
      <c r="AS67" s="16">
        <f t="shared" ref="AS67:AS71" si="334">SUM(E67:G67)</f>
        <v>0</v>
      </c>
      <c r="AT67" s="16">
        <f t="shared" ref="AT67:AT71" si="335">SUM(H67:J67)</f>
        <v>0</v>
      </c>
      <c r="AU67" s="16">
        <f t="shared" ref="AU67:AU71" si="336">SUM(K67:M67)</f>
        <v>0</v>
      </c>
      <c r="AV67" s="16">
        <f t="shared" ref="AV67:AV71" si="337">SUM(N67:P67)</f>
        <v>0</v>
      </c>
      <c r="AX67" s="16">
        <f t="shared" ref="AX67:AX71" si="338">SUM(R67:AC67)</f>
        <v>0</v>
      </c>
      <c r="AY67" s="16">
        <f t="shared" ref="AY67:AY71" si="339">SUM(R67:T67)</f>
        <v>0</v>
      </c>
      <c r="AZ67" s="16">
        <f t="shared" ref="AZ67:AZ71" si="340">SUM(U67:W67)</f>
        <v>0</v>
      </c>
      <c r="BA67" s="16">
        <f t="shared" ref="BA67:BA71" si="341">SUM(X67:Z67)</f>
        <v>0</v>
      </c>
      <c r="BB67" s="16">
        <f t="shared" ref="BB67:BB71" si="342">SUM(AA67:AC67)</f>
        <v>0</v>
      </c>
      <c r="BD67" s="16">
        <f t="shared" ref="BD67:BD71" si="343">SUM(AE67:AP67)</f>
        <v>0</v>
      </c>
      <c r="BE67" s="16">
        <f t="shared" ref="BE67:BE71" si="344">SUM(AE67:AG67)</f>
        <v>0</v>
      </c>
      <c r="BF67" s="16">
        <f t="shared" ref="BF67:BF71" si="345">SUM(AH67:AJ67)</f>
        <v>0</v>
      </c>
      <c r="BG67" s="16">
        <f t="shared" ref="BG67:BG71" si="346">SUM(AK67:AM67)</f>
        <v>0</v>
      </c>
      <c r="BH67" s="16">
        <f t="shared" ref="BH67:BH71" si="347">SUM(AN67:AP67)</f>
        <v>0</v>
      </c>
    </row>
    <row r="68" spans="1:78" s="16" customFormat="1" x14ac:dyDescent="0.25">
      <c r="B68" s="16" t="s">
        <v>51</v>
      </c>
      <c r="AR68" s="16">
        <f t="shared" si="333"/>
        <v>0</v>
      </c>
      <c r="AS68" s="16">
        <f t="shared" si="334"/>
        <v>0</v>
      </c>
      <c r="AT68" s="16">
        <f t="shared" si="335"/>
        <v>0</v>
      </c>
      <c r="AU68" s="16">
        <f t="shared" si="336"/>
        <v>0</v>
      </c>
      <c r="AV68" s="16">
        <f t="shared" si="337"/>
        <v>0</v>
      </c>
      <c r="AX68" s="16">
        <f t="shared" si="338"/>
        <v>0</v>
      </c>
      <c r="AY68" s="16">
        <f t="shared" si="339"/>
        <v>0</v>
      </c>
      <c r="AZ68" s="16">
        <f t="shared" si="340"/>
        <v>0</v>
      </c>
      <c r="BA68" s="16">
        <f t="shared" si="341"/>
        <v>0</v>
      </c>
      <c r="BB68" s="16">
        <f t="shared" si="342"/>
        <v>0</v>
      </c>
      <c r="BD68" s="16">
        <f t="shared" si="343"/>
        <v>0</v>
      </c>
      <c r="BE68" s="16">
        <f t="shared" si="344"/>
        <v>0</v>
      </c>
      <c r="BF68" s="16">
        <f t="shared" si="345"/>
        <v>0</v>
      </c>
      <c r="BG68" s="16">
        <f t="shared" si="346"/>
        <v>0</v>
      </c>
      <c r="BH68" s="16">
        <f t="shared" si="347"/>
        <v>0</v>
      </c>
    </row>
    <row r="69" spans="1:78" s="16" customFormat="1" x14ac:dyDescent="0.25">
      <c r="B69" s="16" t="s">
        <v>52</v>
      </c>
      <c r="AR69" s="16">
        <f t="shared" si="333"/>
        <v>0</v>
      </c>
      <c r="AS69" s="16">
        <f t="shared" si="334"/>
        <v>0</v>
      </c>
      <c r="AT69" s="16">
        <f t="shared" si="335"/>
        <v>0</v>
      </c>
      <c r="AU69" s="16">
        <f t="shared" si="336"/>
        <v>0</v>
      </c>
      <c r="AV69" s="16">
        <f t="shared" si="337"/>
        <v>0</v>
      </c>
      <c r="AX69" s="16">
        <f t="shared" si="338"/>
        <v>0</v>
      </c>
      <c r="AY69" s="16">
        <f t="shared" si="339"/>
        <v>0</v>
      </c>
      <c r="AZ69" s="16">
        <f t="shared" si="340"/>
        <v>0</v>
      </c>
      <c r="BA69" s="16">
        <f t="shared" si="341"/>
        <v>0</v>
      </c>
      <c r="BB69" s="16">
        <f t="shared" si="342"/>
        <v>0</v>
      </c>
      <c r="BD69" s="16">
        <f t="shared" si="343"/>
        <v>0</v>
      </c>
      <c r="BE69" s="16">
        <f t="shared" si="344"/>
        <v>0</v>
      </c>
      <c r="BF69" s="16">
        <f t="shared" si="345"/>
        <v>0</v>
      </c>
      <c r="BG69" s="16">
        <f t="shared" si="346"/>
        <v>0</v>
      </c>
      <c r="BH69" s="16">
        <f t="shared" si="347"/>
        <v>0</v>
      </c>
    </row>
    <row r="70" spans="1:78" s="16" customFormat="1" x14ac:dyDescent="0.25">
      <c r="B70" s="16" t="s">
        <v>94</v>
      </c>
      <c r="AR70" s="16">
        <f t="shared" si="333"/>
        <v>0</v>
      </c>
      <c r="AS70" s="16">
        <f t="shared" si="334"/>
        <v>0</v>
      </c>
      <c r="AT70" s="16">
        <f t="shared" si="335"/>
        <v>0</v>
      </c>
      <c r="AU70" s="16">
        <f t="shared" si="336"/>
        <v>0</v>
      </c>
      <c r="AV70" s="16">
        <f t="shared" si="337"/>
        <v>0</v>
      </c>
      <c r="AX70" s="16">
        <f t="shared" si="338"/>
        <v>0</v>
      </c>
      <c r="AY70" s="16">
        <f t="shared" si="339"/>
        <v>0</v>
      </c>
      <c r="AZ70" s="16">
        <f t="shared" si="340"/>
        <v>0</v>
      </c>
      <c r="BA70" s="16">
        <f t="shared" si="341"/>
        <v>0</v>
      </c>
      <c r="BB70" s="16">
        <f t="shared" si="342"/>
        <v>0</v>
      </c>
      <c r="BD70" s="16">
        <f t="shared" si="343"/>
        <v>0</v>
      </c>
      <c r="BE70" s="16">
        <f t="shared" si="344"/>
        <v>0</v>
      </c>
      <c r="BF70" s="16">
        <f t="shared" si="345"/>
        <v>0</v>
      </c>
      <c r="BG70" s="16">
        <f t="shared" si="346"/>
        <v>0</v>
      </c>
      <c r="BH70" s="16">
        <f t="shared" si="347"/>
        <v>0</v>
      </c>
    </row>
    <row r="71" spans="1:78" s="16" customFormat="1" x14ac:dyDescent="0.25">
      <c r="B71" s="16" t="s">
        <v>53</v>
      </c>
      <c r="AR71" s="16">
        <f t="shared" si="333"/>
        <v>0</v>
      </c>
      <c r="AS71" s="16">
        <f t="shared" si="334"/>
        <v>0</v>
      </c>
      <c r="AT71" s="16">
        <f t="shared" si="335"/>
        <v>0</v>
      </c>
      <c r="AU71" s="16">
        <f t="shared" si="336"/>
        <v>0</v>
      </c>
      <c r="AV71" s="16">
        <f t="shared" si="337"/>
        <v>0</v>
      </c>
      <c r="AX71" s="16">
        <f t="shared" si="338"/>
        <v>0</v>
      </c>
      <c r="AY71" s="16">
        <f t="shared" si="339"/>
        <v>0</v>
      </c>
      <c r="AZ71" s="16">
        <f t="shared" si="340"/>
        <v>0</v>
      </c>
      <c r="BA71" s="16">
        <f t="shared" si="341"/>
        <v>0</v>
      </c>
      <c r="BB71" s="16">
        <f t="shared" si="342"/>
        <v>0</v>
      </c>
      <c r="BD71" s="16">
        <f t="shared" si="343"/>
        <v>0</v>
      </c>
      <c r="BE71" s="16">
        <f t="shared" si="344"/>
        <v>0</v>
      </c>
      <c r="BF71" s="16">
        <f t="shared" si="345"/>
        <v>0</v>
      </c>
      <c r="BG71" s="16">
        <f t="shared" si="346"/>
        <v>0</v>
      </c>
      <c r="BH71" s="16">
        <f t="shared" si="347"/>
        <v>0</v>
      </c>
    </row>
    <row r="72" spans="1:78" s="16" customFormat="1" x14ac:dyDescent="0.25"/>
    <row r="73" spans="1:78" s="16" customFormat="1" x14ac:dyDescent="0.25">
      <c r="B73" s="16" t="s">
        <v>54</v>
      </c>
      <c r="E73" s="17">
        <f>SUBTOTAL(9,E67:E72)</f>
        <v>0</v>
      </c>
      <c r="F73" s="17">
        <f t="shared" ref="F73:P73" si="348">SUBTOTAL(9,F67:F72)</f>
        <v>0</v>
      </c>
      <c r="G73" s="17">
        <f t="shared" si="348"/>
        <v>0</v>
      </c>
      <c r="H73" s="17">
        <f t="shared" si="348"/>
        <v>0</v>
      </c>
      <c r="I73" s="17">
        <f t="shared" si="348"/>
        <v>0</v>
      </c>
      <c r="J73" s="17">
        <f t="shared" si="348"/>
        <v>0</v>
      </c>
      <c r="K73" s="17">
        <f t="shared" si="348"/>
        <v>0</v>
      </c>
      <c r="L73" s="17">
        <f t="shared" si="348"/>
        <v>0</v>
      </c>
      <c r="M73" s="17">
        <f t="shared" si="348"/>
        <v>0</v>
      </c>
      <c r="N73" s="17">
        <f t="shared" si="348"/>
        <v>0</v>
      </c>
      <c r="O73" s="17">
        <f t="shared" si="348"/>
        <v>0</v>
      </c>
      <c r="P73" s="17">
        <f t="shared" si="348"/>
        <v>0</v>
      </c>
      <c r="R73" s="17">
        <f>SUBTOTAL(9,R67:R72)</f>
        <v>0</v>
      </c>
      <c r="S73" s="17">
        <f t="shared" ref="S73" si="349">SUBTOTAL(9,S67:S72)</f>
        <v>0</v>
      </c>
      <c r="T73" s="17">
        <f t="shared" ref="T73" si="350">SUBTOTAL(9,T67:T72)</f>
        <v>0</v>
      </c>
      <c r="U73" s="17">
        <f t="shared" ref="U73" si="351">SUBTOTAL(9,U67:U72)</f>
        <v>0</v>
      </c>
      <c r="V73" s="17">
        <f t="shared" ref="V73" si="352">SUBTOTAL(9,V67:V72)</f>
        <v>0</v>
      </c>
      <c r="W73" s="17">
        <f t="shared" ref="W73" si="353">SUBTOTAL(9,W67:W72)</f>
        <v>0</v>
      </c>
      <c r="X73" s="17">
        <f t="shared" ref="X73" si="354">SUBTOTAL(9,X67:X72)</f>
        <v>0</v>
      </c>
      <c r="Y73" s="17">
        <f t="shared" ref="Y73" si="355">SUBTOTAL(9,Y67:Y72)</f>
        <v>0</v>
      </c>
      <c r="Z73" s="17">
        <f t="shared" ref="Z73" si="356">SUBTOTAL(9,Z67:Z72)</f>
        <v>0</v>
      </c>
      <c r="AA73" s="17">
        <f t="shared" ref="AA73" si="357">SUBTOTAL(9,AA67:AA72)</f>
        <v>0</v>
      </c>
      <c r="AB73" s="17">
        <f t="shared" ref="AB73" si="358">SUBTOTAL(9,AB67:AB72)</f>
        <v>0</v>
      </c>
      <c r="AC73" s="17">
        <f t="shared" ref="AC73:AP73" si="359">SUBTOTAL(9,AC67:AC72)</f>
        <v>0</v>
      </c>
      <c r="AE73" s="17">
        <f t="shared" si="359"/>
        <v>0</v>
      </c>
      <c r="AF73" s="17">
        <f t="shared" si="359"/>
        <v>0</v>
      </c>
      <c r="AG73" s="17">
        <f t="shared" si="359"/>
        <v>0</v>
      </c>
      <c r="AH73" s="17">
        <f t="shared" si="359"/>
        <v>0</v>
      </c>
      <c r="AI73" s="17">
        <f t="shared" si="359"/>
        <v>0</v>
      </c>
      <c r="AJ73" s="17">
        <f t="shared" si="359"/>
        <v>0</v>
      </c>
      <c r="AK73" s="17">
        <f t="shared" si="359"/>
        <v>0</v>
      </c>
      <c r="AL73" s="17">
        <f t="shared" si="359"/>
        <v>0</v>
      </c>
      <c r="AM73" s="17">
        <f t="shared" si="359"/>
        <v>0</v>
      </c>
      <c r="AN73" s="17">
        <f t="shared" si="359"/>
        <v>0</v>
      </c>
      <c r="AO73" s="17">
        <f t="shared" si="359"/>
        <v>0</v>
      </c>
      <c r="AP73" s="17">
        <f t="shared" si="359"/>
        <v>0</v>
      </c>
      <c r="AR73" s="17">
        <f t="shared" ref="AR73:AV73" si="360">SUBTOTAL(9,AR67:AR72)</f>
        <v>0</v>
      </c>
      <c r="AS73" s="17">
        <f t="shared" si="360"/>
        <v>0</v>
      </c>
      <c r="AT73" s="17">
        <f t="shared" si="360"/>
        <v>0</v>
      </c>
      <c r="AU73" s="17">
        <f t="shared" si="360"/>
        <v>0</v>
      </c>
      <c r="AV73" s="17">
        <f t="shared" si="360"/>
        <v>0</v>
      </c>
      <c r="AX73" s="17">
        <f t="shared" ref="AX73:BB73" si="361">SUBTOTAL(9,AX67:AX72)</f>
        <v>0</v>
      </c>
      <c r="AY73" s="17">
        <f t="shared" si="361"/>
        <v>0</v>
      </c>
      <c r="AZ73" s="17">
        <f t="shared" si="361"/>
        <v>0</v>
      </c>
      <c r="BA73" s="17">
        <f t="shared" si="361"/>
        <v>0</v>
      </c>
      <c r="BB73" s="17">
        <f t="shared" si="361"/>
        <v>0</v>
      </c>
      <c r="BD73" s="17">
        <f t="shared" ref="BD73:BH73" si="362">SUBTOTAL(9,BD67:BD72)</f>
        <v>0</v>
      </c>
      <c r="BE73" s="17">
        <f t="shared" si="362"/>
        <v>0</v>
      </c>
      <c r="BF73" s="17">
        <f t="shared" si="362"/>
        <v>0</v>
      </c>
      <c r="BG73" s="17">
        <f t="shared" si="362"/>
        <v>0</v>
      </c>
      <c r="BH73" s="17">
        <f t="shared" si="362"/>
        <v>0</v>
      </c>
      <c r="BJ73" s="17">
        <f t="shared" ref="BJ73" si="363">SUBTOTAL(9,BJ67:BJ72)</f>
        <v>0</v>
      </c>
      <c r="BK73" s="17">
        <f t="shared" ref="BK73:BN73" si="364">SUBTOTAL(9,BK67:BK72)</f>
        <v>0</v>
      </c>
      <c r="BL73" s="17">
        <f t="shared" si="364"/>
        <v>0</v>
      </c>
      <c r="BM73" s="17">
        <f t="shared" si="364"/>
        <v>0</v>
      </c>
      <c r="BN73" s="17">
        <f t="shared" si="364"/>
        <v>0</v>
      </c>
      <c r="BP73" s="17">
        <f t="shared" ref="BP73" si="365">SUBTOTAL(9,BP67:BP72)</f>
        <v>0</v>
      </c>
      <c r="BQ73" s="17">
        <f t="shared" ref="BQ73:BT73" si="366">SUBTOTAL(9,BQ67:BQ72)</f>
        <v>0</v>
      </c>
      <c r="BR73" s="17">
        <f t="shared" si="366"/>
        <v>0</v>
      </c>
      <c r="BS73" s="17">
        <f t="shared" si="366"/>
        <v>0</v>
      </c>
      <c r="BT73" s="17">
        <f t="shared" si="366"/>
        <v>0</v>
      </c>
      <c r="BV73" s="17">
        <f t="shared" ref="BV73" si="367">SUBTOTAL(9,BV67:BV72)</f>
        <v>0</v>
      </c>
      <c r="BW73" s="17">
        <f t="shared" ref="BW73:BZ73" si="368">SUBTOTAL(9,BW67:BW72)</f>
        <v>0</v>
      </c>
      <c r="BX73" s="17">
        <f t="shared" si="368"/>
        <v>0</v>
      </c>
      <c r="BY73" s="17">
        <f t="shared" si="368"/>
        <v>0</v>
      </c>
      <c r="BZ73" s="17">
        <f t="shared" si="368"/>
        <v>0</v>
      </c>
    </row>
    <row r="74" spans="1:78" s="16" customFormat="1" x14ac:dyDescent="0.25"/>
    <row r="75" spans="1:78" s="16" customFormat="1" x14ac:dyDescent="0.25">
      <c r="B75" s="16" t="s">
        <v>55</v>
      </c>
      <c r="E75" s="17">
        <f>SUBTOTAL(9,E5:E74)</f>
        <v>0</v>
      </c>
      <c r="F75" s="17">
        <f t="shared" ref="F75:P75" si="369">SUBTOTAL(9,F5:F74)</f>
        <v>0</v>
      </c>
      <c r="G75" s="17">
        <f t="shared" si="369"/>
        <v>0</v>
      </c>
      <c r="H75" s="17">
        <f t="shared" si="369"/>
        <v>0</v>
      </c>
      <c r="I75" s="17">
        <f t="shared" si="369"/>
        <v>0</v>
      </c>
      <c r="J75" s="17">
        <f t="shared" si="369"/>
        <v>0</v>
      </c>
      <c r="K75" s="17">
        <f t="shared" si="369"/>
        <v>0</v>
      </c>
      <c r="L75" s="17">
        <f t="shared" si="369"/>
        <v>0</v>
      </c>
      <c r="M75" s="17">
        <f t="shared" si="369"/>
        <v>0</v>
      </c>
      <c r="N75" s="17">
        <f t="shared" si="369"/>
        <v>0</v>
      </c>
      <c r="O75" s="17">
        <f t="shared" si="369"/>
        <v>0</v>
      </c>
      <c r="P75" s="17">
        <f t="shared" si="369"/>
        <v>0</v>
      </c>
      <c r="R75" s="17">
        <f>SUBTOTAL(9,R5:R74)</f>
        <v>0</v>
      </c>
      <c r="S75" s="17">
        <f t="shared" ref="S75" si="370">SUBTOTAL(9,S5:S74)</f>
        <v>0</v>
      </c>
      <c r="T75" s="17">
        <f t="shared" ref="T75" si="371">SUBTOTAL(9,T5:T74)</f>
        <v>24034.166666666668</v>
      </c>
      <c r="U75" s="17">
        <f t="shared" ref="U75" si="372">SUBTOTAL(9,U5:U74)</f>
        <v>24034.166666666668</v>
      </c>
      <c r="V75" s="17">
        <f t="shared" ref="V75" si="373">SUBTOTAL(9,V5:V74)</f>
        <v>25034.166666666668</v>
      </c>
      <c r="W75" s="17">
        <f t="shared" ref="W75" si="374">SUBTOTAL(9,W5:W74)</f>
        <v>30934.166666666668</v>
      </c>
      <c r="X75" s="17">
        <f t="shared" ref="X75" si="375">SUBTOTAL(9,X5:X74)</f>
        <v>24034.166666666668</v>
      </c>
      <c r="Y75" s="17">
        <f t="shared" ref="Y75" si="376">SUBTOTAL(9,Y5:Y74)</f>
        <v>28934.166666666668</v>
      </c>
      <c r="Z75" s="17">
        <f t="shared" ref="Z75" si="377">SUBTOTAL(9,Z5:Z74)</f>
        <v>24034.166666666668</v>
      </c>
      <c r="AA75" s="17">
        <f t="shared" ref="AA75" si="378">SUBTOTAL(9,AA5:AA74)</f>
        <v>25934.166666666668</v>
      </c>
      <c r="AB75" s="17">
        <f t="shared" ref="AB75" si="379">SUBTOTAL(9,AB5:AB74)</f>
        <v>26034.166666666668</v>
      </c>
      <c r="AC75" s="17">
        <f t="shared" ref="AC75:AP75" si="380">SUBTOTAL(9,AC5:AC74)</f>
        <v>31034.166666666668</v>
      </c>
      <c r="AE75" s="17">
        <f t="shared" si="380"/>
        <v>55885.833333333336</v>
      </c>
      <c r="AF75" s="17">
        <f t="shared" si="380"/>
        <v>59885.833333333336</v>
      </c>
      <c r="AG75" s="17">
        <f t="shared" si="380"/>
        <v>55885.833333333336</v>
      </c>
      <c r="AH75" s="17">
        <f t="shared" si="380"/>
        <v>55885.833333333336</v>
      </c>
      <c r="AI75" s="17">
        <f t="shared" si="380"/>
        <v>55885.833333333336</v>
      </c>
      <c r="AJ75" s="17">
        <f t="shared" si="380"/>
        <v>65885.833333333343</v>
      </c>
      <c r="AK75" s="17">
        <f t="shared" si="380"/>
        <v>59885.833333333336</v>
      </c>
      <c r="AL75" s="17">
        <f t="shared" si="380"/>
        <v>55885.833333333336</v>
      </c>
      <c r="AM75" s="17">
        <f t="shared" si="380"/>
        <v>55885.833333333336</v>
      </c>
      <c r="AN75" s="17">
        <f t="shared" si="380"/>
        <v>55885.833333333336</v>
      </c>
      <c r="AO75" s="17">
        <f t="shared" si="380"/>
        <v>55885.833333333336</v>
      </c>
      <c r="AP75" s="17">
        <f t="shared" si="380"/>
        <v>65885.833333333343</v>
      </c>
      <c r="AR75" s="17">
        <f t="shared" ref="AR75:AV75" si="381">SUBTOTAL(9,AR5:AR74)</f>
        <v>0</v>
      </c>
      <c r="AS75" s="17">
        <f t="shared" si="381"/>
        <v>0</v>
      </c>
      <c r="AT75" s="17">
        <f t="shared" si="381"/>
        <v>0</v>
      </c>
      <c r="AU75" s="17">
        <f t="shared" si="381"/>
        <v>0</v>
      </c>
      <c r="AV75" s="17">
        <f t="shared" si="381"/>
        <v>0</v>
      </c>
      <c r="AX75" s="17">
        <f t="shared" ref="AX75:BB75" si="382">SUBTOTAL(9,AX5:AX74)</f>
        <v>264041.66666666669</v>
      </c>
      <c r="AY75" s="17">
        <f t="shared" si="382"/>
        <v>24034.166666666668</v>
      </c>
      <c r="AZ75" s="17">
        <f t="shared" si="382"/>
        <v>80002.5</v>
      </c>
      <c r="BA75" s="17">
        <f t="shared" si="382"/>
        <v>77002.5</v>
      </c>
      <c r="BB75" s="17">
        <f t="shared" si="382"/>
        <v>83002.5</v>
      </c>
      <c r="BD75" s="17">
        <f t="shared" ref="BD75:BH75" si="383">SUBTOTAL(9,BD5:BD74)</f>
        <v>698630</v>
      </c>
      <c r="BE75" s="17">
        <f t="shared" si="383"/>
        <v>171657.5</v>
      </c>
      <c r="BF75" s="17">
        <f t="shared" si="383"/>
        <v>177657.5</v>
      </c>
      <c r="BG75" s="17">
        <f t="shared" si="383"/>
        <v>171657.5</v>
      </c>
      <c r="BH75" s="17">
        <f t="shared" si="383"/>
        <v>177657.5</v>
      </c>
      <c r="BJ75" s="17">
        <f t="shared" ref="BJ75" si="384">SUBTOTAL(9,BJ5:BJ74)</f>
        <v>4721950</v>
      </c>
      <c r="BK75" s="17">
        <f t="shared" ref="BK75:BN75" si="385">SUBTOTAL(9,BK5:BK74)</f>
        <v>1180487.5</v>
      </c>
      <c r="BL75" s="17">
        <f t="shared" si="385"/>
        <v>1180487.5</v>
      </c>
      <c r="BM75" s="17">
        <f t="shared" si="385"/>
        <v>1180487.5</v>
      </c>
      <c r="BN75" s="17">
        <f t="shared" si="385"/>
        <v>1180487.5</v>
      </c>
      <c r="BP75" s="17">
        <f t="shared" ref="BP75" si="386">SUBTOTAL(9,BP5:BP74)</f>
        <v>8945445</v>
      </c>
      <c r="BQ75" s="17">
        <f t="shared" ref="BQ75:BT75" si="387">SUBTOTAL(9,BQ5:BQ74)</f>
        <v>2236361.25</v>
      </c>
      <c r="BR75" s="17">
        <f t="shared" si="387"/>
        <v>2236361.25</v>
      </c>
      <c r="BS75" s="17">
        <f t="shared" si="387"/>
        <v>2236361.25</v>
      </c>
      <c r="BT75" s="17">
        <f t="shared" si="387"/>
        <v>2236361.25</v>
      </c>
      <c r="BV75" s="17">
        <f t="shared" ref="BV75" si="388">SUBTOTAL(9,BV5:BV74)</f>
        <v>10904345</v>
      </c>
      <c r="BW75" s="17">
        <f t="shared" ref="BW75:BZ75" si="389">SUBTOTAL(9,BW5:BW74)</f>
        <v>2726086.25</v>
      </c>
      <c r="BX75" s="17">
        <f t="shared" si="389"/>
        <v>2726086.25</v>
      </c>
      <c r="BY75" s="17">
        <f t="shared" si="389"/>
        <v>2726086.25</v>
      </c>
      <c r="BZ75" s="17">
        <f t="shared" si="389"/>
        <v>2726086.25</v>
      </c>
    </row>
    <row r="76" spans="1:78" s="16" customFormat="1" x14ac:dyDescent="0.25"/>
    <row r="77" spans="1:78" s="16" customFormat="1" x14ac:dyDescent="0.25">
      <c r="A77" s="16" t="s">
        <v>56</v>
      </c>
    </row>
    <row r="78" spans="1:78" s="16" customFormat="1" x14ac:dyDescent="0.25">
      <c r="B78" s="16" t="s">
        <v>59</v>
      </c>
      <c r="C78" s="16" t="s">
        <v>60</v>
      </c>
    </row>
    <row r="79" spans="1:78" s="16" customFormat="1" x14ac:dyDescent="0.25">
      <c r="B79" s="16" t="s">
        <v>62</v>
      </c>
    </row>
    <row r="80" spans="1:78" s="16" customFormat="1" x14ac:dyDescent="0.25">
      <c r="B80" s="16" t="s">
        <v>245</v>
      </c>
      <c r="C80" s="16">
        <v>120000</v>
      </c>
      <c r="D80" s="16" t="s">
        <v>608</v>
      </c>
      <c r="T80" s="16">
        <f>+$C80/12</f>
        <v>10000</v>
      </c>
      <c r="U80" s="16">
        <f t="shared" ref="U80:AC80" si="390">+$C80/12</f>
        <v>10000</v>
      </c>
      <c r="V80" s="16">
        <f t="shared" si="390"/>
        <v>10000</v>
      </c>
      <c r="W80" s="16">
        <f t="shared" si="390"/>
        <v>10000</v>
      </c>
      <c r="X80" s="16">
        <f t="shared" si="390"/>
        <v>10000</v>
      </c>
      <c r="Y80" s="16">
        <f t="shared" si="390"/>
        <v>10000</v>
      </c>
      <c r="Z80" s="16">
        <f t="shared" si="390"/>
        <v>10000</v>
      </c>
      <c r="AA80" s="16">
        <f t="shared" si="390"/>
        <v>10000</v>
      </c>
      <c r="AB80" s="16">
        <f t="shared" si="390"/>
        <v>10000</v>
      </c>
      <c r="AC80" s="16">
        <f t="shared" si="390"/>
        <v>10000</v>
      </c>
      <c r="AE80" s="16">
        <f t="shared" ref="AE80:AP80" si="391">+$C80/12</f>
        <v>10000</v>
      </c>
      <c r="AF80" s="16">
        <f t="shared" si="391"/>
        <v>10000</v>
      </c>
      <c r="AG80" s="16">
        <f t="shared" si="391"/>
        <v>10000</v>
      </c>
      <c r="AH80" s="16">
        <f t="shared" si="391"/>
        <v>10000</v>
      </c>
      <c r="AI80" s="16">
        <f t="shared" si="391"/>
        <v>10000</v>
      </c>
      <c r="AJ80" s="16">
        <f t="shared" si="391"/>
        <v>10000</v>
      </c>
      <c r="AK80" s="16">
        <f t="shared" si="391"/>
        <v>10000</v>
      </c>
      <c r="AL80" s="16">
        <f t="shared" si="391"/>
        <v>10000</v>
      </c>
      <c r="AM80" s="16">
        <f t="shared" si="391"/>
        <v>10000</v>
      </c>
      <c r="AN80" s="16">
        <f t="shared" si="391"/>
        <v>10000</v>
      </c>
      <c r="AO80" s="16">
        <f t="shared" si="391"/>
        <v>10000</v>
      </c>
      <c r="AP80" s="16">
        <f t="shared" si="391"/>
        <v>10000</v>
      </c>
      <c r="AR80" s="16">
        <f t="shared" ref="AR80:AR103" si="392">SUM(E80:P80)</f>
        <v>0</v>
      </c>
      <c r="AS80" s="16">
        <f t="shared" ref="AS80:AS103" si="393">SUM(E80:G80)</f>
        <v>0</v>
      </c>
      <c r="AT80" s="16">
        <f t="shared" ref="AT80:AT103" si="394">SUM(H80:J80)</f>
        <v>0</v>
      </c>
      <c r="AU80" s="16">
        <f t="shared" ref="AU80:AU103" si="395">SUM(K80:M80)</f>
        <v>0</v>
      </c>
      <c r="AV80" s="16">
        <f t="shared" ref="AV80:AV103" si="396">SUM(N80:P80)</f>
        <v>0</v>
      </c>
      <c r="AX80" s="16">
        <f t="shared" ref="AX80:AX103" si="397">SUM(R80:AC80)</f>
        <v>100000</v>
      </c>
      <c r="AY80" s="16">
        <f t="shared" ref="AY80:AY103" si="398">SUM(R80:T80)</f>
        <v>10000</v>
      </c>
      <c r="AZ80" s="16">
        <f t="shared" ref="AZ80:AZ103" si="399">SUM(U80:W80)</f>
        <v>30000</v>
      </c>
      <c r="BA80" s="16">
        <f t="shared" ref="BA80:BA103" si="400">SUM(X80:Z80)</f>
        <v>30000</v>
      </c>
      <c r="BB80" s="16">
        <f t="shared" ref="BB80:BB103" si="401">SUM(AA80:AC80)</f>
        <v>30000</v>
      </c>
      <c r="BD80" s="16">
        <f t="shared" ref="BD80:BD103" si="402">SUM(AE80:AP80)</f>
        <v>120000</v>
      </c>
      <c r="BE80" s="16">
        <f t="shared" ref="BE80:BE103" si="403">SUM(AE80:AG80)</f>
        <v>30000</v>
      </c>
      <c r="BF80" s="16">
        <f t="shared" ref="BF80:BF103" si="404">SUM(AH80:AJ80)</f>
        <v>30000</v>
      </c>
      <c r="BG80" s="16">
        <f t="shared" ref="BG80:BG103" si="405">SUM(AK80:AM80)</f>
        <v>30000</v>
      </c>
      <c r="BH80" s="16">
        <f t="shared" ref="BH80:BH103" si="406">SUM(AN80:AP80)</f>
        <v>30000</v>
      </c>
      <c r="BJ80" s="16">
        <f>SUM(BK80:BN80)</f>
        <v>120000</v>
      </c>
      <c r="BK80" s="16">
        <f>+$C80/4</f>
        <v>30000</v>
      </c>
      <c r="BL80" s="16">
        <f t="shared" ref="BL80:BN80" si="407">+$C80/4</f>
        <v>30000</v>
      </c>
      <c r="BM80" s="16">
        <f t="shared" si="407"/>
        <v>30000</v>
      </c>
      <c r="BN80" s="16">
        <f t="shared" si="407"/>
        <v>30000</v>
      </c>
      <c r="BP80" s="16">
        <f>SUM(BQ80:BT80)</f>
        <v>120000</v>
      </c>
      <c r="BQ80" s="16">
        <f>+$C80/4</f>
        <v>30000</v>
      </c>
      <c r="BR80" s="16">
        <f t="shared" ref="BR80:BT80" si="408">+$C80/4</f>
        <v>30000</v>
      </c>
      <c r="BS80" s="16">
        <f t="shared" si="408"/>
        <v>30000</v>
      </c>
      <c r="BT80" s="16">
        <f t="shared" si="408"/>
        <v>30000</v>
      </c>
      <c r="BV80" s="16">
        <f>SUM(BW80:BZ80)</f>
        <v>120000</v>
      </c>
      <c r="BW80" s="16">
        <f>+$C80/4</f>
        <v>30000</v>
      </c>
      <c r="BX80" s="16">
        <f t="shared" ref="BX80:BZ80" si="409">+$C80/4</f>
        <v>30000</v>
      </c>
      <c r="BY80" s="16">
        <f t="shared" si="409"/>
        <v>30000</v>
      </c>
      <c r="BZ80" s="16">
        <f t="shared" si="409"/>
        <v>30000</v>
      </c>
    </row>
    <row r="81" spans="2:78" s="16" customFormat="1" x14ac:dyDescent="0.25">
      <c r="B81" s="16" t="s">
        <v>593</v>
      </c>
      <c r="C81" s="16">
        <v>70000</v>
      </c>
      <c r="D81" s="16" t="s">
        <v>608</v>
      </c>
      <c r="AR81" s="16">
        <f t="shared" ref="AR81" si="410">SUM(E81:P81)</f>
        <v>0</v>
      </c>
      <c r="AS81" s="16">
        <f t="shared" ref="AS81" si="411">SUM(E81:G81)</f>
        <v>0</v>
      </c>
      <c r="AT81" s="16">
        <f t="shared" ref="AT81" si="412">SUM(H81:J81)</f>
        <v>0</v>
      </c>
      <c r="AU81" s="16">
        <f t="shared" ref="AU81" si="413">SUM(K81:M81)</f>
        <v>0</v>
      </c>
      <c r="AV81" s="16">
        <f t="shared" ref="AV81" si="414">SUM(N81:P81)</f>
        <v>0</v>
      </c>
      <c r="AX81" s="16">
        <f t="shared" ref="AX81" si="415">SUM(R81:AC81)</f>
        <v>0</v>
      </c>
      <c r="AY81" s="16">
        <f t="shared" ref="AY81" si="416">SUM(R81:T81)</f>
        <v>0</v>
      </c>
      <c r="AZ81" s="16">
        <f t="shared" ref="AZ81" si="417">SUM(U81:W81)</f>
        <v>0</v>
      </c>
      <c r="BA81" s="16">
        <f t="shared" ref="BA81" si="418">SUM(X81:Z81)</f>
        <v>0</v>
      </c>
      <c r="BB81" s="16">
        <f t="shared" ref="BB81" si="419">SUM(AA81:AC81)</f>
        <v>0</v>
      </c>
      <c r="BD81" s="16">
        <f t="shared" ref="BD81" si="420">SUM(AE81:AP81)</f>
        <v>0</v>
      </c>
      <c r="BE81" s="16">
        <f t="shared" ref="BE81" si="421">SUM(AE81:AG81)</f>
        <v>0</v>
      </c>
      <c r="BF81" s="16">
        <f t="shared" ref="BF81" si="422">SUM(AH81:AJ81)</f>
        <v>0</v>
      </c>
      <c r="BG81" s="16">
        <f t="shared" ref="BG81" si="423">SUM(AK81:AM81)</f>
        <v>0</v>
      </c>
      <c r="BH81" s="16">
        <f t="shared" ref="BH81" si="424">SUM(AN81:AP81)</f>
        <v>0</v>
      </c>
      <c r="BJ81" s="16">
        <f t="shared" ref="BJ81:BJ114" si="425">SUM(BK81:BN81)</f>
        <v>70000</v>
      </c>
      <c r="BK81" s="16">
        <f>IF('Sales Projections'!$D$12&gt;=2,+$C81/4,"")</f>
        <v>17500</v>
      </c>
      <c r="BL81" s="16">
        <f>IF('Sales Projections'!$D$12&gt;=2,+$C81/4,"")</f>
        <v>17500</v>
      </c>
      <c r="BM81" s="16">
        <f>IF('Sales Projections'!$D$12&gt;=2,+$C81/4,"")</f>
        <v>17500</v>
      </c>
      <c r="BN81" s="16">
        <f>IF('Sales Projections'!$D$12&gt;=2,+$C81/4,"")</f>
        <v>17500</v>
      </c>
      <c r="BP81" s="16">
        <f t="shared" ref="BP81:BP84" si="426">SUM(BQ81:BT81)</f>
        <v>70000</v>
      </c>
      <c r="BQ81" s="16">
        <f>IF('Sales Projections'!$E$12&gt;=2,+$C81/4,"")</f>
        <v>17500</v>
      </c>
      <c r="BR81" s="16">
        <f>IF('Sales Projections'!$E$12&gt;=2,+$C81/4,"")</f>
        <v>17500</v>
      </c>
      <c r="BS81" s="16">
        <f>IF('Sales Projections'!$E$12&gt;=2,+$C81/4,"")</f>
        <v>17500</v>
      </c>
      <c r="BT81" s="16">
        <f>IF('Sales Projections'!$E$12&gt;=2,+$C81/4,"")</f>
        <v>17500</v>
      </c>
      <c r="BV81" s="16">
        <f t="shared" ref="BV81:BV84" si="427">SUM(BW81:BZ81)</f>
        <v>70000</v>
      </c>
      <c r="BW81" s="16">
        <f>IF('Sales Projections'!$F$12&gt;=2,+$C81/4,"")</f>
        <v>17500</v>
      </c>
      <c r="BX81" s="16">
        <f>IF('Sales Projections'!$F$12&gt;=2,+$C81/4,"")</f>
        <v>17500</v>
      </c>
      <c r="BY81" s="16">
        <f>IF('Sales Projections'!$F$12&gt;=2,+$C81/4,"")</f>
        <v>17500</v>
      </c>
      <c r="BZ81" s="16">
        <f>IF('Sales Projections'!$F$12&gt;=2,+$C81/4,"")</f>
        <v>17500</v>
      </c>
    </row>
    <row r="82" spans="2:78" s="16" customFormat="1" x14ac:dyDescent="0.25">
      <c r="B82" s="16" t="s">
        <v>594</v>
      </c>
      <c r="C82" s="16">
        <v>70000</v>
      </c>
      <c r="D82" s="16" t="s">
        <v>608</v>
      </c>
      <c r="AR82" s="16">
        <f t="shared" si="392"/>
        <v>0</v>
      </c>
      <c r="AS82" s="16">
        <f t="shared" si="393"/>
        <v>0</v>
      </c>
      <c r="AT82" s="16">
        <f t="shared" si="394"/>
        <v>0</v>
      </c>
      <c r="AU82" s="16">
        <f t="shared" si="395"/>
        <v>0</v>
      </c>
      <c r="AV82" s="16">
        <f t="shared" si="396"/>
        <v>0</v>
      </c>
      <c r="AX82" s="16">
        <f t="shared" si="397"/>
        <v>0</v>
      </c>
      <c r="AY82" s="16">
        <f t="shared" si="398"/>
        <v>0</v>
      </c>
      <c r="AZ82" s="16">
        <f t="shared" si="399"/>
        <v>0</v>
      </c>
      <c r="BA82" s="16">
        <f t="shared" si="400"/>
        <v>0</v>
      </c>
      <c r="BB82" s="16">
        <f t="shared" si="401"/>
        <v>0</v>
      </c>
      <c r="BD82" s="16">
        <f t="shared" si="402"/>
        <v>0</v>
      </c>
      <c r="BE82" s="16">
        <f t="shared" si="403"/>
        <v>0</v>
      </c>
      <c r="BF82" s="16">
        <f t="shared" si="404"/>
        <v>0</v>
      </c>
      <c r="BG82" s="16">
        <f t="shared" si="405"/>
        <v>0</v>
      </c>
      <c r="BH82" s="16">
        <f t="shared" si="406"/>
        <v>0</v>
      </c>
      <c r="BJ82" s="16">
        <f t="shared" si="425"/>
        <v>70000</v>
      </c>
      <c r="BK82" s="16">
        <f>IF('Sales Projections'!$D12&gt;=3,+$C82/4,"")</f>
        <v>17500</v>
      </c>
      <c r="BL82" s="16">
        <f>IF('Sales Projections'!$D12&gt;=3,+$C82/4,"")</f>
        <v>17500</v>
      </c>
      <c r="BM82" s="16">
        <f>IF('Sales Projections'!$D12&gt;=3,+$C82/4,"")</f>
        <v>17500</v>
      </c>
      <c r="BN82" s="16">
        <f>IF('Sales Projections'!$D12&gt;=3,+$C82/4,"")</f>
        <v>17500</v>
      </c>
      <c r="BP82" s="16">
        <f t="shared" si="426"/>
        <v>70000</v>
      </c>
      <c r="BQ82" s="16">
        <f>IF('Sales Projections'!$D12&gt;=3,+$C82/4,"")</f>
        <v>17500</v>
      </c>
      <c r="BR82" s="16">
        <f>IF('Sales Projections'!$D12&gt;=3,+$C82/4,"")</f>
        <v>17500</v>
      </c>
      <c r="BS82" s="16">
        <f>IF('Sales Projections'!$D12&gt;=3,+$C82/4,"")</f>
        <v>17500</v>
      </c>
      <c r="BT82" s="16">
        <f>IF('Sales Projections'!$D12&gt;=3,+$C82/4,"")</f>
        <v>17500</v>
      </c>
      <c r="BV82" s="16">
        <f t="shared" si="427"/>
        <v>70000</v>
      </c>
      <c r="BW82" s="16">
        <f>IF('Sales Projections'!$D12&gt;=3,+$C82/4,"")</f>
        <v>17500</v>
      </c>
      <c r="BX82" s="16">
        <f>IF('Sales Projections'!$D12&gt;=3,+$C82/4,"")</f>
        <v>17500</v>
      </c>
      <c r="BY82" s="16">
        <f>IF('Sales Projections'!$D12&gt;=3,+$C82/4,"")</f>
        <v>17500</v>
      </c>
      <c r="BZ82" s="16">
        <f>IF('Sales Projections'!$D12&gt;=3,+$C82/4,"")</f>
        <v>17500</v>
      </c>
    </row>
    <row r="83" spans="2:78" s="16" customFormat="1" x14ac:dyDescent="0.25">
      <c r="B83" s="16" t="s">
        <v>595</v>
      </c>
      <c r="C83" s="16">
        <v>70000</v>
      </c>
      <c r="D83" s="16" t="s">
        <v>608</v>
      </c>
      <c r="AR83" s="16">
        <f t="shared" si="392"/>
        <v>0</v>
      </c>
      <c r="AS83" s="16">
        <f t="shared" si="393"/>
        <v>0</v>
      </c>
      <c r="AT83" s="16">
        <f t="shared" si="394"/>
        <v>0</v>
      </c>
      <c r="AU83" s="16">
        <f t="shared" si="395"/>
        <v>0</v>
      </c>
      <c r="AV83" s="16">
        <f t="shared" si="396"/>
        <v>0</v>
      </c>
      <c r="AX83" s="16">
        <f t="shared" si="397"/>
        <v>0</v>
      </c>
      <c r="AY83" s="16">
        <f t="shared" si="398"/>
        <v>0</v>
      </c>
      <c r="AZ83" s="16">
        <f t="shared" si="399"/>
        <v>0</v>
      </c>
      <c r="BA83" s="16">
        <f t="shared" si="400"/>
        <v>0</v>
      </c>
      <c r="BB83" s="16">
        <f t="shared" si="401"/>
        <v>0</v>
      </c>
      <c r="BD83" s="16">
        <f t="shared" si="402"/>
        <v>0</v>
      </c>
      <c r="BE83" s="16">
        <f t="shared" si="403"/>
        <v>0</v>
      </c>
      <c r="BF83" s="16">
        <f t="shared" si="404"/>
        <v>0</v>
      </c>
      <c r="BG83" s="16">
        <f t="shared" si="405"/>
        <v>0</v>
      </c>
      <c r="BH83" s="16">
        <f t="shared" si="406"/>
        <v>0</v>
      </c>
      <c r="BJ83" s="16">
        <f t="shared" si="425"/>
        <v>0</v>
      </c>
      <c r="BK83" s="16" t="str">
        <f>IF('Sales Projections'!$D12&gt;=4,+$C83/4,"")</f>
        <v/>
      </c>
      <c r="BL83" s="16" t="str">
        <f>IF('Sales Projections'!$D12&gt;=4,+$C83/4,"")</f>
        <v/>
      </c>
      <c r="BM83" s="16" t="str">
        <f>IF('Sales Projections'!$D12&gt;=4,+$C83/4,"")</f>
        <v/>
      </c>
      <c r="BN83" s="16" t="str">
        <f>IF('Sales Projections'!$D12&gt;=4,+$C83/4,"")</f>
        <v/>
      </c>
      <c r="BP83" s="16">
        <f t="shared" si="426"/>
        <v>0</v>
      </c>
      <c r="BQ83" s="16" t="str">
        <f>IF('Sales Projections'!$D12&gt;=4,+$C83/4,"")</f>
        <v/>
      </c>
      <c r="BR83" s="16" t="str">
        <f>IF('Sales Projections'!$D12&gt;=4,+$C83/4,"")</f>
        <v/>
      </c>
      <c r="BS83" s="16" t="str">
        <f>IF('Sales Projections'!$D12&gt;=4,+$C83/4,"")</f>
        <v/>
      </c>
      <c r="BT83" s="16" t="str">
        <f>IF('Sales Projections'!$D12&gt;=4,+$C83/4,"")</f>
        <v/>
      </c>
      <c r="BV83" s="16">
        <f t="shared" si="427"/>
        <v>0</v>
      </c>
      <c r="BW83" s="16" t="str">
        <f>IF('Sales Projections'!$D12&gt;=4,+$C83/4,"")</f>
        <v/>
      </c>
      <c r="BX83" s="16" t="str">
        <f>IF('Sales Projections'!$D12&gt;=4,+$C83/4,"")</f>
        <v/>
      </c>
      <c r="BY83" s="16" t="str">
        <f>IF('Sales Projections'!$D12&gt;=4,+$C83/4,"")</f>
        <v/>
      </c>
      <c r="BZ83" s="16" t="str">
        <f>IF('Sales Projections'!$D12&gt;=4,+$C83/4,"")</f>
        <v/>
      </c>
    </row>
    <row r="84" spans="2:78" s="16" customFormat="1" x14ac:dyDescent="0.25">
      <c r="B84" s="16" t="s">
        <v>610</v>
      </c>
      <c r="C84" s="16">
        <v>70000</v>
      </c>
      <c r="D84" s="16" t="s">
        <v>608</v>
      </c>
      <c r="BJ84" s="16">
        <f t="shared" si="425"/>
        <v>0</v>
      </c>
      <c r="BK84" s="16" t="str">
        <f>IF('Sales Projections'!$D12&gt;=5,+$C84/4,"")</f>
        <v/>
      </c>
      <c r="BL84" s="16" t="str">
        <f>IF('Sales Projections'!$D12&gt;=5,+$C84/4,"")</f>
        <v/>
      </c>
      <c r="BM84" s="16" t="str">
        <f>IF('Sales Projections'!$D12&gt;=5,+$C84/4,"")</f>
        <v/>
      </c>
      <c r="BN84" s="16" t="str">
        <f>IF('Sales Projections'!$D12&gt;=5,+$C84/4,"")</f>
        <v/>
      </c>
      <c r="BP84" s="16">
        <f t="shared" si="426"/>
        <v>0</v>
      </c>
      <c r="BQ84" s="16" t="str">
        <f>IF('Sales Projections'!$D12&gt;=5,+$C84/4,"")</f>
        <v/>
      </c>
      <c r="BR84" s="16" t="str">
        <f>IF('Sales Projections'!$D12&gt;=5,+$C84/4,"")</f>
        <v/>
      </c>
      <c r="BS84" s="16" t="str">
        <f>IF('Sales Projections'!$D12&gt;=5,+$C84/4,"")</f>
        <v/>
      </c>
      <c r="BT84" s="16" t="str">
        <f>IF('Sales Projections'!$D12&gt;=5,+$C84/4,"")</f>
        <v/>
      </c>
      <c r="BV84" s="16">
        <f t="shared" si="427"/>
        <v>0</v>
      </c>
      <c r="BW84" s="16" t="str">
        <f>IF('Sales Projections'!$D12&gt;=5,+$C84/4,"")</f>
        <v/>
      </c>
      <c r="BX84" s="16" t="str">
        <f>IF('Sales Projections'!$D12&gt;=5,+$C84/4,"")</f>
        <v/>
      </c>
      <c r="BY84" s="16" t="str">
        <f>IF('Sales Projections'!$D12&gt;=5,+$C84/4,"")</f>
        <v/>
      </c>
      <c r="BZ84" s="16" t="str">
        <f>IF('Sales Projections'!$D12&gt;=5,+$C84/4,"")</f>
        <v/>
      </c>
    </row>
    <row r="85" spans="2:78" s="16" customFormat="1" x14ac:dyDescent="0.25"/>
    <row r="86" spans="2:78" s="16" customFormat="1" x14ac:dyDescent="0.25">
      <c r="B86" s="16" t="s">
        <v>824</v>
      </c>
      <c r="C86" s="16">
        <v>50000</v>
      </c>
      <c r="D86" s="16" t="s">
        <v>609</v>
      </c>
      <c r="T86" s="16">
        <f t="shared" ref="T86:AC86" si="428">+$C86/12</f>
        <v>4166.666666666667</v>
      </c>
      <c r="U86" s="16">
        <f t="shared" si="428"/>
        <v>4166.666666666667</v>
      </c>
      <c r="V86" s="16">
        <f t="shared" si="428"/>
        <v>4166.666666666667</v>
      </c>
      <c r="W86" s="16">
        <f t="shared" si="428"/>
        <v>4166.666666666667</v>
      </c>
      <c r="X86" s="16">
        <f t="shared" si="428"/>
        <v>4166.666666666667</v>
      </c>
      <c r="Y86" s="16">
        <f t="shared" si="428"/>
        <v>4166.666666666667</v>
      </c>
      <c r="Z86" s="16">
        <f t="shared" si="428"/>
        <v>4166.666666666667</v>
      </c>
      <c r="AA86" s="16">
        <f t="shared" si="428"/>
        <v>4166.666666666667</v>
      </c>
      <c r="AB86" s="16">
        <f t="shared" si="428"/>
        <v>4166.666666666667</v>
      </c>
      <c r="AC86" s="16">
        <f t="shared" si="428"/>
        <v>4166.666666666667</v>
      </c>
      <c r="AE86" s="16">
        <f t="shared" ref="AE86:AP86" si="429">+$C86/12</f>
        <v>4166.666666666667</v>
      </c>
      <c r="AF86" s="16">
        <f t="shared" si="429"/>
        <v>4166.666666666667</v>
      </c>
      <c r="AG86" s="16">
        <f t="shared" si="429"/>
        <v>4166.666666666667</v>
      </c>
      <c r="AH86" s="16">
        <f t="shared" si="429"/>
        <v>4166.666666666667</v>
      </c>
      <c r="AI86" s="16">
        <f t="shared" si="429"/>
        <v>4166.666666666667</v>
      </c>
      <c r="AJ86" s="16">
        <f t="shared" si="429"/>
        <v>4166.666666666667</v>
      </c>
      <c r="AK86" s="16">
        <f t="shared" si="429"/>
        <v>4166.666666666667</v>
      </c>
      <c r="AL86" s="16">
        <f t="shared" si="429"/>
        <v>4166.666666666667</v>
      </c>
      <c r="AM86" s="16">
        <f t="shared" si="429"/>
        <v>4166.666666666667</v>
      </c>
      <c r="AN86" s="16">
        <f t="shared" si="429"/>
        <v>4166.666666666667</v>
      </c>
      <c r="AO86" s="16">
        <f t="shared" si="429"/>
        <v>4166.666666666667</v>
      </c>
      <c r="AP86" s="16">
        <f t="shared" si="429"/>
        <v>4166.666666666667</v>
      </c>
      <c r="AR86" s="16">
        <f t="shared" ref="AR86:AR87" si="430">SUM(E86:P86)</f>
        <v>0</v>
      </c>
      <c r="AS86" s="16">
        <f t="shared" ref="AS86:AS87" si="431">SUM(E86:G86)</f>
        <v>0</v>
      </c>
      <c r="AT86" s="16">
        <f t="shared" ref="AT86:AT87" si="432">SUM(H86:J86)</f>
        <v>0</v>
      </c>
      <c r="AU86" s="16">
        <f t="shared" ref="AU86:AU87" si="433">SUM(K86:M86)</f>
        <v>0</v>
      </c>
      <c r="AV86" s="16">
        <f t="shared" ref="AV86:AV87" si="434">SUM(N86:P86)</f>
        <v>0</v>
      </c>
      <c r="AX86" s="16">
        <f t="shared" ref="AX86:AX87" si="435">SUM(R86:AC86)</f>
        <v>41666.666666666664</v>
      </c>
      <c r="AY86" s="16">
        <f t="shared" ref="AY86:AY87" si="436">SUM(R86:T86)</f>
        <v>4166.666666666667</v>
      </c>
      <c r="AZ86" s="16">
        <f t="shared" ref="AZ86:AZ87" si="437">SUM(U86:W86)</f>
        <v>12500</v>
      </c>
      <c r="BA86" s="16">
        <f t="shared" ref="BA86:BA87" si="438">SUM(X86:Z86)</f>
        <v>12500</v>
      </c>
      <c r="BB86" s="16">
        <f t="shared" ref="BB86:BB87" si="439">SUM(AA86:AC86)</f>
        <v>12500</v>
      </c>
      <c r="BD86" s="16">
        <f t="shared" ref="BD86:BD87" si="440">SUM(AE86:AP86)</f>
        <v>49999.999999999993</v>
      </c>
      <c r="BE86" s="16">
        <f t="shared" ref="BE86:BE87" si="441">SUM(AE86:AG86)</f>
        <v>12500</v>
      </c>
      <c r="BF86" s="16">
        <f t="shared" ref="BF86:BF87" si="442">SUM(AH86:AJ86)</f>
        <v>12500</v>
      </c>
      <c r="BG86" s="16">
        <f t="shared" ref="BG86:BG87" si="443">SUM(AK86:AM86)</f>
        <v>12500</v>
      </c>
      <c r="BH86" s="16">
        <f t="shared" ref="BH86:BH87" si="444">SUM(AN86:AP86)</f>
        <v>12500</v>
      </c>
      <c r="BJ86" s="16">
        <f t="shared" si="425"/>
        <v>50000</v>
      </c>
      <c r="BK86" s="16">
        <f>+$C86/4</f>
        <v>12500</v>
      </c>
      <c r="BL86" s="16">
        <f t="shared" ref="BL86:BN86" si="445">+$C86/4</f>
        <v>12500</v>
      </c>
      <c r="BM86" s="16">
        <f t="shared" si="445"/>
        <v>12500</v>
      </c>
      <c r="BN86" s="16">
        <f t="shared" si="445"/>
        <v>12500</v>
      </c>
      <c r="BP86" s="16">
        <f t="shared" ref="BP86:BP149" si="446">SUM(BQ86:BT86)</f>
        <v>50000</v>
      </c>
      <c r="BQ86" s="16">
        <f>+$C86/4</f>
        <v>12500</v>
      </c>
      <c r="BR86" s="16">
        <f t="shared" ref="BR86:BT86" si="447">+$C86/4</f>
        <v>12500</v>
      </c>
      <c r="BS86" s="16">
        <f t="shared" si="447"/>
        <v>12500</v>
      </c>
      <c r="BT86" s="16">
        <f t="shared" si="447"/>
        <v>12500</v>
      </c>
      <c r="BV86" s="16">
        <f t="shared" ref="BV86:BV149" si="448">SUM(BW86:BZ86)</f>
        <v>50000</v>
      </c>
      <c r="BW86" s="16">
        <f>+$C86/4</f>
        <v>12500</v>
      </c>
      <c r="BX86" s="16">
        <f t="shared" ref="BX86:BZ86" si="449">+$C86/4</f>
        <v>12500</v>
      </c>
      <c r="BY86" s="16">
        <f t="shared" si="449"/>
        <v>12500</v>
      </c>
      <c r="BZ86" s="16">
        <f t="shared" si="449"/>
        <v>12500</v>
      </c>
    </row>
    <row r="87" spans="2:78" s="16" customFormat="1" x14ac:dyDescent="0.25">
      <c r="B87" s="16" t="s">
        <v>382</v>
      </c>
      <c r="C87" s="16">
        <v>50000</v>
      </c>
      <c r="D87" s="16" t="s">
        <v>609</v>
      </c>
      <c r="AR87" s="16">
        <f t="shared" si="430"/>
        <v>0</v>
      </c>
      <c r="AS87" s="16">
        <f t="shared" si="431"/>
        <v>0</v>
      </c>
      <c r="AT87" s="16">
        <f t="shared" si="432"/>
        <v>0</v>
      </c>
      <c r="AU87" s="16">
        <f t="shared" si="433"/>
        <v>0</v>
      </c>
      <c r="AV87" s="16">
        <f t="shared" si="434"/>
        <v>0</v>
      </c>
      <c r="AX87" s="16">
        <f t="shared" si="435"/>
        <v>0</v>
      </c>
      <c r="AY87" s="16">
        <f t="shared" si="436"/>
        <v>0</v>
      </c>
      <c r="AZ87" s="16">
        <f t="shared" si="437"/>
        <v>0</v>
      </c>
      <c r="BA87" s="16">
        <f t="shared" si="438"/>
        <v>0</v>
      </c>
      <c r="BB87" s="16">
        <f t="shared" si="439"/>
        <v>0</v>
      </c>
      <c r="BD87" s="16">
        <f t="shared" si="440"/>
        <v>0</v>
      </c>
      <c r="BE87" s="16">
        <f t="shared" si="441"/>
        <v>0</v>
      </c>
      <c r="BF87" s="16">
        <f t="shared" si="442"/>
        <v>0</v>
      </c>
      <c r="BG87" s="16">
        <f t="shared" si="443"/>
        <v>0</v>
      </c>
      <c r="BH87" s="16">
        <f t="shared" si="444"/>
        <v>0</v>
      </c>
      <c r="BJ87" s="16">
        <f t="shared" si="425"/>
        <v>50000</v>
      </c>
      <c r="BK87" s="16">
        <f>IF('Sales Projections'!$D$14&gt;=ROW(BK87)-85,+$C87/4,"")</f>
        <v>12500</v>
      </c>
      <c r="BL87" s="16">
        <f>IF('Sales Projections'!$D$14&gt;=ROW(BL87)-85,+$C87/4,"")</f>
        <v>12500</v>
      </c>
      <c r="BM87" s="16">
        <f>IF('Sales Projections'!$D$14&gt;=ROW(BM87)-85,+$C87/4,"")</f>
        <v>12500</v>
      </c>
      <c r="BN87" s="16">
        <f>IF('Sales Projections'!$D$14&gt;=ROW(BN87)-85,+$C87/4,"")</f>
        <v>12500</v>
      </c>
      <c r="BP87" s="16">
        <f t="shared" si="446"/>
        <v>50000</v>
      </c>
      <c r="BQ87" s="16">
        <f>IF('Sales Projections'!$E$14&gt;=ROW(BQ87)-85,+$C87/4,"")</f>
        <v>12500</v>
      </c>
      <c r="BR87" s="16">
        <f>IF('Sales Projections'!$E$14&gt;=ROW(BR87)-85,+$C87/4,"")</f>
        <v>12500</v>
      </c>
      <c r="BS87" s="16">
        <f>IF('Sales Projections'!$E$14&gt;=ROW(BS87)-85,+$C87/4,"")</f>
        <v>12500</v>
      </c>
      <c r="BT87" s="16">
        <f>IF('Sales Projections'!$E$14&gt;=ROW(BT87)-85,+$C87/4,"")</f>
        <v>12500</v>
      </c>
      <c r="BV87" s="16">
        <f t="shared" si="448"/>
        <v>50000</v>
      </c>
      <c r="BW87" s="16">
        <f>IF('Sales Projections'!$F$14&gt;=ROW(BW87)-85,+$C87/4,"")</f>
        <v>12500</v>
      </c>
      <c r="BX87" s="16">
        <f>IF('Sales Projections'!$F$14&gt;=ROW(BX87)-85,+$C87/4,"")</f>
        <v>12500</v>
      </c>
      <c r="BY87" s="16">
        <f>IF('Sales Projections'!$F$14&gt;=ROW(BY87)-85,+$C87/4,"")</f>
        <v>12500</v>
      </c>
      <c r="BZ87" s="16">
        <f>IF('Sales Projections'!$F$14&gt;=ROW(BZ87)-85,+$C87/4,"")</f>
        <v>12500</v>
      </c>
    </row>
    <row r="88" spans="2:78" s="16" customFormat="1" x14ac:dyDescent="0.25">
      <c r="B88" s="16" t="s">
        <v>825</v>
      </c>
      <c r="C88" s="16">
        <v>50000</v>
      </c>
      <c r="D88" s="16" t="s">
        <v>609</v>
      </c>
      <c r="AR88" s="16">
        <f t="shared" si="392"/>
        <v>0</v>
      </c>
      <c r="AS88" s="16">
        <f t="shared" si="393"/>
        <v>0</v>
      </c>
      <c r="AT88" s="16">
        <f t="shared" si="394"/>
        <v>0</v>
      </c>
      <c r="AU88" s="16">
        <f t="shared" si="395"/>
        <v>0</v>
      </c>
      <c r="AV88" s="16">
        <f t="shared" si="396"/>
        <v>0</v>
      </c>
      <c r="AX88" s="16">
        <f t="shared" si="397"/>
        <v>0</v>
      </c>
      <c r="AY88" s="16">
        <f t="shared" si="398"/>
        <v>0</v>
      </c>
      <c r="AZ88" s="16">
        <f t="shared" si="399"/>
        <v>0</v>
      </c>
      <c r="BA88" s="16">
        <f t="shared" si="400"/>
        <v>0</v>
      </c>
      <c r="BB88" s="16">
        <f t="shared" si="401"/>
        <v>0</v>
      </c>
      <c r="BD88" s="16">
        <f t="shared" si="402"/>
        <v>0</v>
      </c>
      <c r="BE88" s="16">
        <f t="shared" si="403"/>
        <v>0</v>
      </c>
      <c r="BF88" s="16">
        <f t="shared" si="404"/>
        <v>0</v>
      </c>
      <c r="BG88" s="16">
        <f t="shared" si="405"/>
        <v>0</v>
      </c>
      <c r="BH88" s="16">
        <f t="shared" si="406"/>
        <v>0</v>
      </c>
      <c r="BJ88" s="16">
        <f t="shared" si="425"/>
        <v>50000</v>
      </c>
      <c r="BK88" s="16">
        <f>IF('Sales Projections'!$D$14&gt;=ROW(BK88)-85,+$C88/4,"")</f>
        <v>12500</v>
      </c>
      <c r="BL88" s="16">
        <f>IF('Sales Projections'!$D$14&gt;=ROW(BL88)-85,+$C88/4,"")</f>
        <v>12500</v>
      </c>
      <c r="BM88" s="16">
        <f>IF('Sales Projections'!$D$14&gt;=ROW(BM88)-85,+$C88/4,"")</f>
        <v>12500</v>
      </c>
      <c r="BN88" s="16">
        <f>IF('Sales Projections'!$D$14&gt;=ROW(BN88)-85,+$C88/4,"")</f>
        <v>12500</v>
      </c>
      <c r="BP88" s="16">
        <f t="shared" si="446"/>
        <v>50000</v>
      </c>
      <c r="BQ88" s="16">
        <f>IF('Sales Projections'!$E$14&gt;=ROW(BQ88)-85,+$C88/4,"")</f>
        <v>12500</v>
      </c>
      <c r="BR88" s="16">
        <f>IF('Sales Projections'!$E$14&gt;=ROW(BR88)-85,+$C88/4,"")</f>
        <v>12500</v>
      </c>
      <c r="BS88" s="16">
        <f>IF('Sales Projections'!$E$14&gt;=ROW(BS88)-85,+$C88/4,"")</f>
        <v>12500</v>
      </c>
      <c r="BT88" s="16">
        <f>IF('Sales Projections'!$E$14&gt;=ROW(BT88)-85,+$C88/4,"")</f>
        <v>12500</v>
      </c>
      <c r="BV88" s="16">
        <f t="shared" si="448"/>
        <v>50000</v>
      </c>
      <c r="BW88" s="16">
        <f>IF('Sales Projections'!$F$14&gt;=ROW(BW88)-85,+$C88/4,"")</f>
        <v>12500</v>
      </c>
      <c r="BX88" s="16">
        <f>IF('Sales Projections'!$F$14&gt;=ROW(BX88)-85,+$C88/4,"")</f>
        <v>12500</v>
      </c>
      <c r="BY88" s="16">
        <f>IF('Sales Projections'!$F$14&gt;=ROW(BY88)-85,+$C88/4,"")</f>
        <v>12500</v>
      </c>
      <c r="BZ88" s="16">
        <f>IF('Sales Projections'!$F$14&gt;=ROW(BZ88)-85,+$C88/4,"")</f>
        <v>12500</v>
      </c>
    </row>
    <row r="89" spans="2:78" s="16" customFormat="1" x14ac:dyDescent="0.25">
      <c r="B89" s="16" t="s">
        <v>826</v>
      </c>
      <c r="C89" s="16">
        <v>50000</v>
      </c>
      <c r="D89" s="16" t="s">
        <v>609</v>
      </c>
      <c r="BJ89" s="16">
        <f t="shared" si="425"/>
        <v>0</v>
      </c>
      <c r="BK89" s="16" t="str">
        <f>IF('Sales Projections'!$D$14&gt;=ROW(BK89)-85,+$C89/4,"")</f>
        <v/>
      </c>
      <c r="BL89" s="16" t="str">
        <f>IF('Sales Projections'!$D$14&gt;=ROW(BL89)-85,+$C89/4,"")</f>
        <v/>
      </c>
      <c r="BM89" s="16" t="str">
        <f>IF('Sales Projections'!$D$14&gt;=ROW(BM89)-85,+$C89/4,"")</f>
        <v/>
      </c>
      <c r="BN89" s="16" t="str">
        <f>IF('Sales Projections'!$D$14&gt;=ROW(BN89)-85,+$C89/4,"")</f>
        <v/>
      </c>
      <c r="BP89" s="16">
        <f t="shared" si="446"/>
        <v>50000</v>
      </c>
      <c r="BQ89" s="16">
        <f>IF('Sales Projections'!$E$14&gt;=ROW(BQ89)-85,+$C89/4,"")</f>
        <v>12500</v>
      </c>
      <c r="BR89" s="16">
        <f>IF('Sales Projections'!$E$14&gt;=ROW(BR89)-85,+$C89/4,"")</f>
        <v>12500</v>
      </c>
      <c r="BS89" s="16">
        <f>IF('Sales Projections'!$E$14&gt;=ROW(BS89)-85,+$C89/4,"")</f>
        <v>12500</v>
      </c>
      <c r="BT89" s="16">
        <f>IF('Sales Projections'!$E$14&gt;=ROW(BT89)-85,+$C89/4,"")</f>
        <v>12500</v>
      </c>
      <c r="BV89" s="16">
        <f t="shared" si="448"/>
        <v>50000</v>
      </c>
      <c r="BW89" s="16">
        <f>IF('Sales Projections'!$F$14&gt;=ROW(BW89)-85,+$C89/4,"")</f>
        <v>12500</v>
      </c>
      <c r="BX89" s="16">
        <f>IF('Sales Projections'!$F$14&gt;=ROW(BX89)-85,+$C89/4,"")</f>
        <v>12500</v>
      </c>
      <c r="BY89" s="16">
        <f>IF('Sales Projections'!$F$14&gt;=ROW(BY89)-85,+$C89/4,"")</f>
        <v>12500</v>
      </c>
      <c r="BZ89" s="16">
        <f>IF('Sales Projections'!$F$14&gt;=ROW(BZ89)-85,+$C89/4,"")</f>
        <v>12500</v>
      </c>
    </row>
    <row r="90" spans="2:78" s="265" customFormat="1" x14ac:dyDescent="0.25">
      <c r="B90" s="16" t="s">
        <v>827</v>
      </c>
      <c r="C90" s="16">
        <v>50000</v>
      </c>
      <c r="D90" s="16" t="s">
        <v>609</v>
      </c>
      <c r="BJ90" s="16">
        <f t="shared" si="425"/>
        <v>0</v>
      </c>
      <c r="BK90" s="16" t="str">
        <f>IF('Sales Projections'!$D$14&gt;=ROW(BK90)-85,+$C90/4,"")</f>
        <v/>
      </c>
      <c r="BL90" s="16" t="str">
        <f>IF('Sales Projections'!$D$14&gt;=ROW(BL90)-85,+$C90/4,"")</f>
        <v/>
      </c>
      <c r="BM90" s="16" t="str">
        <f>IF('Sales Projections'!$D$14&gt;=ROW(BM90)-85,+$C90/4,"")</f>
        <v/>
      </c>
      <c r="BN90" s="16" t="str">
        <f>IF('Sales Projections'!$D$14&gt;=ROW(BN90)-85,+$C90/4,"")</f>
        <v/>
      </c>
      <c r="BP90" s="16">
        <f t="shared" si="446"/>
        <v>0</v>
      </c>
      <c r="BQ90" s="16" t="str">
        <f>IF('Sales Projections'!$E$14&gt;=ROW(BQ90)-85,+$C90/4,"")</f>
        <v/>
      </c>
      <c r="BR90" s="16" t="str">
        <f>IF('Sales Projections'!$E$14&gt;=ROW(BR90)-85,+$C90/4,"")</f>
        <v/>
      </c>
      <c r="BS90" s="16" t="str">
        <f>IF('Sales Projections'!$E$14&gt;=ROW(BS90)-85,+$C90/4,"")</f>
        <v/>
      </c>
      <c r="BT90" s="16" t="str">
        <f>IF('Sales Projections'!$E$14&gt;=ROW(BT90)-85,+$C90/4,"")</f>
        <v/>
      </c>
      <c r="BV90" s="16">
        <f t="shared" si="448"/>
        <v>50000</v>
      </c>
      <c r="BW90" s="16">
        <f>IF('Sales Projections'!$F$14&gt;=ROW(BW90)-85,+$C90/4,"")</f>
        <v>12500</v>
      </c>
      <c r="BX90" s="16">
        <f>IF('Sales Projections'!$F$14&gt;=ROW(BX90)-85,+$C90/4,"")</f>
        <v>12500</v>
      </c>
      <c r="BY90" s="16">
        <f>IF('Sales Projections'!$F$14&gt;=ROW(BY90)-85,+$C90/4,"")</f>
        <v>12500</v>
      </c>
      <c r="BZ90" s="16">
        <f>IF('Sales Projections'!$F$14&gt;=ROW(BZ90)-85,+$C90/4,"")</f>
        <v>12500</v>
      </c>
    </row>
    <row r="91" spans="2:78" s="265" customFormat="1" x14ac:dyDescent="0.25">
      <c r="B91" s="16" t="s">
        <v>828</v>
      </c>
      <c r="C91" s="16">
        <v>50000</v>
      </c>
      <c r="D91" s="16" t="s">
        <v>609</v>
      </c>
      <c r="BJ91" s="16">
        <f t="shared" si="425"/>
        <v>0</v>
      </c>
      <c r="BK91" s="16" t="str">
        <f>IF('Sales Projections'!$D$14&gt;=ROW(BK91)-85,+$C91/4,"")</f>
        <v/>
      </c>
      <c r="BL91" s="16" t="str">
        <f>IF('Sales Projections'!$D$14&gt;=ROW(BL91)-85,+$C91/4,"")</f>
        <v/>
      </c>
      <c r="BM91" s="16" t="str">
        <f>IF('Sales Projections'!$D$14&gt;=ROW(BM91)-85,+$C91/4,"")</f>
        <v/>
      </c>
      <c r="BN91" s="16" t="str">
        <f>IF('Sales Projections'!$D$14&gt;=ROW(BN91)-85,+$C91/4,"")</f>
        <v/>
      </c>
      <c r="BP91" s="16">
        <f t="shared" si="446"/>
        <v>0</v>
      </c>
      <c r="BQ91" s="16" t="str">
        <f>IF('Sales Projections'!$E$14&gt;=ROW(BQ91)-85,+$C91/4,"")</f>
        <v/>
      </c>
      <c r="BR91" s="16" t="str">
        <f>IF('Sales Projections'!$E$14&gt;=ROW(BR91)-85,+$C91/4,"")</f>
        <v/>
      </c>
      <c r="BS91" s="16" t="str">
        <f>IF('Sales Projections'!$E$14&gt;=ROW(BS91)-85,+$C91/4,"")</f>
        <v/>
      </c>
      <c r="BT91" s="16" t="str">
        <f>IF('Sales Projections'!$E$14&gt;=ROW(BT91)-85,+$C91/4,"")</f>
        <v/>
      </c>
      <c r="BV91" s="16">
        <f t="shared" si="448"/>
        <v>0</v>
      </c>
      <c r="BW91" s="16" t="str">
        <f>IF('Sales Projections'!$F$14&gt;=ROW(BW91)-85,+$C91/4,"")</f>
        <v/>
      </c>
      <c r="BX91" s="16" t="str">
        <f>IF('Sales Projections'!$F$14&gt;=ROW(BX91)-85,+$C91/4,"")</f>
        <v/>
      </c>
      <c r="BY91" s="16" t="str">
        <f>IF('Sales Projections'!$F$14&gt;=ROW(BY91)-85,+$C91/4,"")</f>
        <v/>
      </c>
      <c r="BZ91" s="16" t="str">
        <f>IF('Sales Projections'!$F$14&gt;=ROW(BZ91)-85,+$C91/4,"")</f>
        <v/>
      </c>
    </row>
    <row r="92" spans="2:78" s="265" customFormat="1" x14ac:dyDescent="0.25">
      <c r="B92" s="16" t="s">
        <v>829</v>
      </c>
      <c r="C92" s="16">
        <v>50000</v>
      </c>
      <c r="D92" s="16" t="s">
        <v>609</v>
      </c>
      <c r="BJ92" s="16">
        <f t="shared" si="425"/>
        <v>0</v>
      </c>
      <c r="BK92" s="16" t="str">
        <f>IF('Sales Projections'!$D$14&gt;=ROW(BK92)-85,+$C92/4,"")</f>
        <v/>
      </c>
      <c r="BL92" s="16" t="str">
        <f>IF('Sales Projections'!$D$14&gt;=ROW(BL92)-85,+$C92/4,"")</f>
        <v/>
      </c>
      <c r="BM92" s="16" t="str">
        <f>IF('Sales Projections'!$D$14&gt;=ROW(BM92)-85,+$C92/4,"")</f>
        <v/>
      </c>
      <c r="BN92" s="16" t="str">
        <f>IF('Sales Projections'!$D$14&gt;=ROW(BN92)-85,+$C92/4,"")</f>
        <v/>
      </c>
      <c r="BP92" s="16">
        <f t="shared" si="446"/>
        <v>0</v>
      </c>
      <c r="BQ92" s="16" t="str">
        <f>IF('Sales Projections'!$E$14&gt;=ROW(BQ92)-85,+$C92/4,"")</f>
        <v/>
      </c>
      <c r="BR92" s="16" t="str">
        <f>IF('Sales Projections'!$E$14&gt;=ROW(BR92)-85,+$C92/4,"")</f>
        <v/>
      </c>
      <c r="BS92" s="16" t="str">
        <f>IF('Sales Projections'!$E$14&gt;=ROW(BS92)-85,+$C92/4,"")</f>
        <v/>
      </c>
      <c r="BT92" s="16" t="str">
        <f>IF('Sales Projections'!$E$14&gt;=ROW(BT92)-85,+$C92/4,"")</f>
        <v/>
      </c>
      <c r="BV92" s="16">
        <f t="shared" si="448"/>
        <v>0</v>
      </c>
      <c r="BW92" s="16" t="str">
        <f>IF('Sales Projections'!$F$14&gt;=ROW(BW92)-85,+$C92/4,"")</f>
        <v/>
      </c>
      <c r="BX92" s="16" t="str">
        <f>IF('Sales Projections'!$F$14&gt;=ROW(BX92)-85,+$C92/4,"")</f>
        <v/>
      </c>
      <c r="BY92" s="16" t="str">
        <f>IF('Sales Projections'!$F$14&gt;=ROW(BY92)-85,+$C92/4,"")</f>
        <v/>
      </c>
      <c r="BZ92" s="16" t="str">
        <f>IF('Sales Projections'!$F$14&gt;=ROW(BZ92)-85,+$C92/4,"")</f>
        <v/>
      </c>
    </row>
    <row r="93" spans="2:78" s="265" customFormat="1" x14ac:dyDescent="0.25">
      <c r="B93" s="16" t="s">
        <v>830</v>
      </c>
      <c r="C93" s="16">
        <v>50000</v>
      </c>
      <c r="D93" s="16" t="s">
        <v>609</v>
      </c>
      <c r="BJ93" s="16">
        <f t="shared" si="425"/>
        <v>0</v>
      </c>
      <c r="BK93" s="16" t="str">
        <f>IF('Sales Projections'!$D$14&gt;=ROW(BK93)-85,+$C93/4,"")</f>
        <v/>
      </c>
      <c r="BL93" s="16" t="str">
        <f>IF('Sales Projections'!$D$14&gt;=ROW(BL93)-85,+$C93/4,"")</f>
        <v/>
      </c>
      <c r="BM93" s="16" t="str">
        <f>IF('Sales Projections'!$D$14&gt;=ROW(BM93)-85,+$C93/4,"")</f>
        <v/>
      </c>
      <c r="BN93" s="16" t="str">
        <f>IF('Sales Projections'!$D$14&gt;=ROW(BN93)-85,+$C93/4,"")</f>
        <v/>
      </c>
      <c r="BP93" s="16">
        <f t="shared" si="446"/>
        <v>0</v>
      </c>
      <c r="BQ93" s="16" t="str">
        <f>IF('Sales Projections'!$E$14&gt;=ROW(BQ93)-85,+$C93/4,"")</f>
        <v/>
      </c>
      <c r="BR93" s="16" t="str">
        <f>IF('Sales Projections'!$E$14&gt;=ROW(BR93)-85,+$C93/4,"")</f>
        <v/>
      </c>
      <c r="BS93" s="16" t="str">
        <f>IF('Sales Projections'!$E$14&gt;=ROW(BS93)-85,+$C93/4,"")</f>
        <v/>
      </c>
      <c r="BT93" s="16" t="str">
        <f>IF('Sales Projections'!$E$14&gt;=ROW(BT93)-85,+$C93/4,"")</f>
        <v/>
      </c>
      <c r="BV93" s="16">
        <f t="shared" si="448"/>
        <v>0</v>
      </c>
      <c r="BW93" s="16" t="str">
        <f>IF('Sales Projections'!$F$14&gt;=ROW(BW93)-85,+$C93/4,"")</f>
        <v/>
      </c>
      <c r="BX93" s="16" t="str">
        <f>IF('Sales Projections'!$F$14&gt;=ROW(BX93)-85,+$C93/4,"")</f>
        <v/>
      </c>
      <c r="BY93" s="16" t="str">
        <f>IF('Sales Projections'!$F$14&gt;=ROW(BY93)-85,+$C93/4,"")</f>
        <v/>
      </c>
      <c r="BZ93" s="16" t="str">
        <f>IF('Sales Projections'!$F$14&gt;=ROW(BZ93)-85,+$C93/4,"")</f>
        <v/>
      </c>
    </row>
    <row r="94" spans="2:78" s="265" customFormat="1" x14ac:dyDescent="0.25">
      <c r="B94" s="16" t="s">
        <v>831</v>
      </c>
      <c r="C94" s="16">
        <v>50000</v>
      </c>
      <c r="D94" s="16" t="s">
        <v>609</v>
      </c>
      <c r="BJ94" s="16">
        <f t="shared" si="425"/>
        <v>0</v>
      </c>
      <c r="BK94" s="16" t="str">
        <f>IF('Sales Projections'!$D$14&gt;=ROW(BK94)-85,+$C94/4,"")</f>
        <v/>
      </c>
      <c r="BL94" s="16" t="str">
        <f>IF('Sales Projections'!$D$14&gt;=ROW(BL94)-85,+$C94/4,"")</f>
        <v/>
      </c>
      <c r="BM94" s="16" t="str">
        <f>IF('Sales Projections'!$D$14&gt;=ROW(BM94)-85,+$C94/4,"")</f>
        <v/>
      </c>
      <c r="BN94" s="16" t="str">
        <f>IF('Sales Projections'!$D$14&gt;=ROW(BN94)-85,+$C94/4,"")</f>
        <v/>
      </c>
      <c r="BP94" s="16">
        <f t="shared" si="446"/>
        <v>0</v>
      </c>
      <c r="BQ94" s="16" t="str">
        <f>IF('Sales Projections'!$E$14&gt;=ROW(BQ94)-85,+$C94/4,"")</f>
        <v/>
      </c>
      <c r="BR94" s="16" t="str">
        <f>IF('Sales Projections'!$E$14&gt;=ROW(BR94)-85,+$C94/4,"")</f>
        <v/>
      </c>
      <c r="BS94" s="16" t="str">
        <f>IF('Sales Projections'!$E$14&gt;=ROW(BS94)-85,+$C94/4,"")</f>
        <v/>
      </c>
      <c r="BT94" s="16" t="str">
        <f>IF('Sales Projections'!$E$14&gt;=ROW(BT94)-85,+$C94/4,"")</f>
        <v/>
      </c>
      <c r="BV94" s="16">
        <f t="shared" si="448"/>
        <v>0</v>
      </c>
      <c r="BW94" s="16" t="str">
        <f>IF('Sales Projections'!$F$14&gt;=ROW(BW94)-85,+$C94/4,"")</f>
        <v/>
      </c>
      <c r="BX94" s="16" t="str">
        <f>IF('Sales Projections'!$F$14&gt;=ROW(BX94)-85,+$C94/4,"")</f>
        <v/>
      </c>
      <c r="BY94" s="16" t="str">
        <f>IF('Sales Projections'!$F$14&gt;=ROW(BY94)-85,+$C94/4,"")</f>
        <v/>
      </c>
      <c r="BZ94" s="16" t="str">
        <f>IF('Sales Projections'!$F$14&gt;=ROW(BZ94)-85,+$C94/4,"")</f>
        <v/>
      </c>
    </row>
    <row r="95" spans="2:78" s="265" customFormat="1" x14ac:dyDescent="0.25">
      <c r="B95" s="16" t="s">
        <v>832</v>
      </c>
      <c r="C95" s="16">
        <v>50000</v>
      </c>
      <c r="D95" s="16" t="s">
        <v>609</v>
      </c>
      <c r="BJ95" s="16">
        <f t="shared" si="425"/>
        <v>0</v>
      </c>
      <c r="BK95" s="16" t="str">
        <f>IF('Sales Projections'!$D$14&gt;=ROW(BK95)-85,+$C95/4,"")</f>
        <v/>
      </c>
      <c r="BL95" s="16" t="str">
        <f>IF('Sales Projections'!$D$14&gt;=ROW(BL95)-85,+$C95/4,"")</f>
        <v/>
      </c>
      <c r="BM95" s="16" t="str">
        <f>IF('Sales Projections'!$D$14&gt;=ROW(BM95)-85,+$C95/4,"")</f>
        <v/>
      </c>
      <c r="BN95" s="16" t="str">
        <f>IF('Sales Projections'!$D$14&gt;=ROW(BN95)-85,+$C95/4,"")</f>
        <v/>
      </c>
      <c r="BP95" s="16">
        <f t="shared" si="446"/>
        <v>0</v>
      </c>
      <c r="BQ95" s="16" t="str">
        <f>IF('Sales Projections'!$E$14&gt;=ROW(BQ95)-85,+$C95/4,"")</f>
        <v/>
      </c>
      <c r="BR95" s="16" t="str">
        <f>IF('Sales Projections'!$E$14&gt;=ROW(BR95)-85,+$C95/4,"")</f>
        <v/>
      </c>
      <c r="BS95" s="16" t="str">
        <f>IF('Sales Projections'!$E$14&gt;=ROW(BS95)-85,+$C95/4,"")</f>
        <v/>
      </c>
      <c r="BT95" s="16" t="str">
        <f>IF('Sales Projections'!$E$14&gt;=ROW(BT95)-85,+$C95/4,"")</f>
        <v/>
      </c>
      <c r="BV95" s="16">
        <f t="shared" si="448"/>
        <v>0</v>
      </c>
      <c r="BW95" s="16" t="str">
        <f>IF('Sales Projections'!$F$14&gt;=ROW(BW95)-85,+$C95/4,"")</f>
        <v/>
      </c>
      <c r="BX95" s="16" t="str">
        <f>IF('Sales Projections'!$F$14&gt;=ROW(BX95)-85,+$C95/4,"")</f>
        <v/>
      </c>
      <c r="BY95" s="16" t="str">
        <f>IF('Sales Projections'!$F$14&gt;=ROW(BY95)-85,+$C95/4,"")</f>
        <v/>
      </c>
      <c r="BZ95" s="16" t="str">
        <f>IF('Sales Projections'!$F$14&gt;=ROW(BZ95)-85,+$C95/4,"")</f>
        <v/>
      </c>
    </row>
    <row r="96" spans="2:78" s="265" customFormat="1" x14ac:dyDescent="0.25">
      <c r="B96" s="16" t="s">
        <v>833</v>
      </c>
      <c r="C96" s="16">
        <v>50000</v>
      </c>
      <c r="D96" s="16" t="s">
        <v>609</v>
      </c>
      <c r="BJ96" s="16">
        <f t="shared" si="425"/>
        <v>0</v>
      </c>
      <c r="BK96" s="16" t="str">
        <f>IF('Sales Projections'!$D$14&gt;=ROW(BK96)-85,+$C96/4,"")</f>
        <v/>
      </c>
      <c r="BL96" s="16" t="str">
        <f>IF('Sales Projections'!$D$14&gt;=ROW(BL96)-85,+$C96/4,"")</f>
        <v/>
      </c>
      <c r="BM96" s="16" t="str">
        <f>IF('Sales Projections'!$D$14&gt;=ROW(BM96)-85,+$C96/4,"")</f>
        <v/>
      </c>
      <c r="BN96" s="16" t="str">
        <f>IF('Sales Projections'!$D$14&gt;=ROW(BN96)-85,+$C96/4,"")</f>
        <v/>
      </c>
      <c r="BP96" s="16">
        <f t="shared" si="446"/>
        <v>0</v>
      </c>
      <c r="BQ96" s="16" t="str">
        <f>IF('Sales Projections'!$E$14&gt;=ROW(BQ96)-85,+$C96/4,"")</f>
        <v/>
      </c>
      <c r="BR96" s="16" t="str">
        <f>IF('Sales Projections'!$E$14&gt;=ROW(BR96)-85,+$C96/4,"")</f>
        <v/>
      </c>
      <c r="BS96" s="16" t="str">
        <f>IF('Sales Projections'!$E$14&gt;=ROW(BS96)-85,+$C96/4,"")</f>
        <v/>
      </c>
      <c r="BT96" s="16" t="str">
        <f>IF('Sales Projections'!$E$14&gt;=ROW(BT96)-85,+$C96/4,"")</f>
        <v/>
      </c>
      <c r="BV96" s="16">
        <f t="shared" si="448"/>
        <v>0</v>
      </c>
      <c r="BW96" s="16" t="str">
        <f>IF('Sales Projections'!$F$14&gt;=ROW(BW96)-85,+$C96/4,"")</f>
        <v/>
      </c>
      <c r="BX96" s="16" t="str">
        <f>IF('Sales Projections'!$F$14&gt;=ROW(BX96)-85,+$C96/4,"")</f>
        <v/>
      </c>
      <c r="BY96" s="16" t="str">
        <f>IF('Sales Projections'!$F$14&gt;=ROW(BY96)-85,+$C96/4,"")</f>
        <v/>
      </c>
      <c r="BZ96" s="16" t="str">
        <f>IF('Sales Projections'!$F$14&gt;=ROW(BZ96)-85,+$C96/4,"")</f>
        <v/>
      </c>
    </row>
    <row r="97" spans="2:78" s="265" customFormat="1" x14ac:dyDescent="0.25">
      <c r="B97" s="16" t="s">
        <v>834</v>
      </c>
      <c r="C97" s="16">
        <v>50000</v>
      </c>
      <c r="D97" s="16" t="s">
        <v>609</v>
      </c>
      <c r="BJ97" s="16">
        <f t="shared" si="425"/>
        <v>0</v>
      </c>
      <c r="BK97" s="16" t="str">
        <f>IF('Sales Projections'!$D$14&gt;=ROW(BK97)-85,+$C97/4,"")</f>
        <v/>
      </c>
      <c r="BL97" s="16" t="str">
        <f>IF('Sales Projections'!$D$14&gt;=ROW(BL97)-85,+$C97/4,"")</f>
        <v/>
      </c>
      <c r="BM97" s="16" t="str">
        <f>IF('Sales Projections'!$D$14&gt;=ROW(BM97)-85,+$C97/4,"")</f>
        <v/>
      </c>
      <c r="BN97" s="16" t="str">
        <f>IF('Sales Projections'!$D$14&gt;=ROW(BN97)-85,+$C97/4,"")</f>
        <v/>
      </c>
      <c r="BP97" s="16">
        <f t="shared" si="446"/>
        <v>0</v>
      </c>
      <c r="BQ97" s="16" t="str">
        <f>IF('Sales Projections'!$E$14&gt;=ROW(BQ97)-85,+$C97/4,"")</f>
        <v/>
      </c>
      <c r="BR97" s="16" t="str">
        <f>IF('Sales Projections'!$E$14&gt;=ROW(BR97)-85,+$C97/4,"")</f>
        <v/>
      </c>
      <c r="BS97" s="16" t="str">
        <f>IF('Sales Projections'!$E$14&gt;=ROW(BS97)-85,+$C97/4,"")</f>
        <v/>
      </c>
      <c r="BT97" s="16" t="str">
        <f>IF('Sales Projections'!$E$14&gt;=ROW(BT97)-85,+$C97/4,"")</f>
        <v/>
      </c>
      <c r="BV97" s="16">
        <f t="shared" si="448"/>
        <v>0</v>
      </c>
      <c r="BW97" s="16" t="str">
        <f>IF('Sales Projections'!$F$14&gt;=ROW(BW97)-85,+$C97/4,"")</f>
        <v/>
      </c>
      <c r="BX97" s="16" t="str">
        <f>IF('Sales Projections'!$F$14&gt;=ROW(BX97)-85,+$C97/4,"")</f>
        <v/>
      </c>
      <c r="BY97" s="16" t="str">
        <f>IF('Sales Projections'!$F$14&gt;=ROW(BY97)-85,+$C97/4,"")</f>
        <v/>
      </c>
      <c r="BZ97" s="16" t="str">
        <f>IF('Sales Projections'!$F$14&gt;=ROW(BZ97)-85,+$C97/4,"")</f>
        <v/>
      </c>
    </row>
    <row r="98" spans="2:78" s="265" customFormat="1" x14ac:dyDescent="0.25">
      <c r="B98" s="16" t="s">
        <v>835</v>
      </c>
      <c r="C98" s="16">
        <v>50000</v>
      </c>
      <c r="D98" s="16" t="s">
        <v>609</v>
      </c>
      <c r="BJ98" s="16">
        <f t="shared" si="425"/>
        <v>0</v>
      </c>
      <c r="BK98" s="16" t="str">
        <f>IF('Sales Projections'!$D$14&gt;=ROW(BK98)-85,+$C98/4,"")</f>
        <v/>
      </c>
      <c r="BL98" s="16" t="str">
        <f>IF('Sales Projections'!$D$14&gt;=ROW(BL98)-85,+$C98/4,"")</f>
        <v/>
      </c>
      <c r="BM98" s="16" t="str">
        <f>IF('Sales Projections'!$D$14&gt;=ROW(BM98)-85,+$C98/4,"")</f>
        <v/>
      </c>
      <c r="BN98" s="16" t="str">
        <f>IF('Sales Projections'!$D$14&gt;=ROW(BN98)-85,+$C98/4,"")</f>
        <v/>
      </c>
      <c r="BP98" s="16">
        <f t="shared" si="446"/>
        <v>0</v>
      </c>
      <c r="BQ98" s="16" t="str">
        <f>IF('Sales Projections'!$E$14&gt;=ROW(BQ98)-85,+$C98/4,"")</f>
        <v/>
      </c>
      <c r="BR98" s="16" t="str">
        <f>IF('Sales Projections'!$E$14&gt;=ROW(BR98)-85,+$C98/4,"")</f>
        <v/>
      </c>
      <c r="BS98" s="16" t="str">
        <f>IF('Sales Projections'!$E$14&gt;=ROW(BS98)-85,+$C98/4,"")</f>
        <v/>
      </c>
      <c r="BT98" s="16" t="str">
        <f>IF('Sales Projections'!$E$14&gt;=ROW(BT98)-85,+$C98/4,"")</f>
        <v/>
      </c>
      <c r="BV98" s="16">
        <f t="shared" si="448"/>
        <v>0</v>
      </c>
      <c r="BW98" s="16" t="str">
        <f>IF('Sales Projections'!$F$14&gt;=ROW(BW98)-85,+$C98/4,"")</f>
        <v/>
      </c>
      <c r="BX98" s="16" t="str">
        <f>IF('Sales Projections'!$F$14&gt;=ROW(BX98)-85,+$C98/4,"")</f>
        <v/>
      </c>
      <c r="BY98" s="16" t="str">
        <f>IF('Sales Projections'!$F$14&gt;=ROW(BY98)-85,+$C98/4,"")</f>
        <v/>
      </c>
      <c r="BZ98" s="16" t="str">
        <f>IF('Sales Projections'!$F$14&gt;=ROW(BZ98)-85,+$C98/4,"")</f>
        <v/>
      </c>
    </row>
    <row r="99" spans="2:78" s="265" customFormat="1" x14ac:dyDescent="0.25">
      <c r="B99" s="16" t="s">
        <v>836</v>
      </c>
      <c r="C99" s="16">
        <v>50000</v>
      </c>
      <c r="D99" s="16" t="s">
        <v>609</v>
      </c>
      <c r="BJ99" s="16">
        <f t="shared" si="425"/>
        <v>0</v>
      </c>
      <c r="BK99" s="16" t="str">
        <f>IF('Sales Projections'!$D$14&gt;=ROW(BK99)-85,+$C99/4,"")</f>
        <v/>
      </c>
      <c r="BL99" s="16" t="str">
        <f>IF('Sales Projections'!$D$14&gt;=ROW(BL99)-85,+$C99/4,"")</f>
        <v/>
      </c>
      <c r="BM99" s="16" t="str">
        <f>IF('Sales Projections'!$D$14&gt;=ROW(BM99)-85,+$C99/4,"")</f>
        <v/>
      </c>
      <c r="BN99" s="16" t="str">
        <f>IF('Sales Projections'!$D$14&gt;=ROW(BN99)-85,+$C99/4,"")</f>
        <v/>
      </c>
      <c r="BP99" s="16">
        <f t="shared" si="446"/>
        <v>0</v>
      </c>
      <c r="BQ99" s="16" t="str">
        <f>IF('Sales Projections'!$E$14&gt;=ROW(BQ99)-85,+$C99/4,"")</f>
        <v/>
      </c>
      <c r="BR99" s="16" t="str">
        <f>IF('Sales Projections'!$E$14&gt;=ROW(BR99)-85,+$C99/4,"")</f>
        <v/>
      </c>
      <c r="BS99" s="16" t="str">
        <f>IF('Sales Projections'!$E$14&gt;=ROW(BS99)-85,+$C99/4,"")</f>
        <v/>
      </c>
      <c r="BT99" s="16" t="str">
        <f>IF('Sales Projections'!$E$14&gt;=ROW(BT99)-85,+$C99/4,"")</f>
        <v/>
      </c>
      <c r="BV99" s="16">
        <f t="shared" si="448"/>
        <v>0</v>
      </c>
      <c r="BW99" s="16" t="str">
        <f>IF('Sales Projections'!$F$14&gt;=ROW(BW99)-85,+$C99/4,"")</f>
        <v/>
      </c>
      <c r="BX99" s="16" t="str">
        <f>IF('Sales Projections'!$F$14&gt;=ROW(BX99)-85,+$C99/4,"")</f>
        <v/>
      </c>
      <c r="BY99" s="16" t="str">
        <f>IF('Sales Projections'!$F$14&gt;=ROW(BY99)-85,+$C99/4,"")</f>
        <v/>
      </c>
      <c r="BZ99" s="16" t="str">
        <f>IF('Sales Projections'!$F$14&gt;=ROW(BZ99)-85,+$C99/4,"")</f>
        <v/>
      </c>
    </row>
    <row r="100" spans="2:78" s="265" customFormat="1" x14ac:dyDescent="0.25">
      <c r="B100" s="16" t="s">
        <v>837</v>
      </c>
      <c r="C100" s="16">
        <v>50000</v>
      </c>
      <c r="D100" s="16" t="s">
        <v>609</v>
      </c>
      <c r="BJ100" s="16">
        <f t="shared" si="425"/>
        <v>0</v>
      </c>
      <c r="BK100" s="16" t="str">
        <f>IF('Sales Projections'!$D$14&gt;=ROW(BK100)-85,+$C100/4,"")</f>
        <v/>
      </c>
      <c r="BL100" s="16" t="str">
        <f>IF('Sales Projections'!$D$14&gt;=ROW(BL100)-85,+$C100/4,"")</f>
        <v/>
      </c>
      <c r="BM100" s="16" t="str">
        <f>IF('Sales Projections'!$D$14&gt;=ROW(BM100)-85,+$C100/4,"")</f>
        <v/>
      </c>
      <c r="BN100" s="16" t="str">
        <f>IF('Sales Projections'!$D$14&gt;=ROW(BN100)-85,+$C100/4,"")</f>
        <v/>
      </c>
      <c r="BP100" s="16">
        <f t="shared" si="446"/>
        <v>0</v>
      </c>
      <c r="BQ100" s="16" t="str">
        <f>IF('Sales Projections'!$E$14&gt;=ROW(BQ100)-85,+$C100/4,"")</f>
        <v/>
      </c>
      <c r="BR100" s="16" t="str">
        <f>IF('Sales Projections'!$E$14&gt;=ROW(BR100)-85,+$C100/4,"")</f>
        <v/>
      </c>
      <c r="BS100" s="16" t="str">
        <f>IF('Sales Projections'!$E$14&gt;=ROW(BS100)-85,+$C100/4,"")</f>
        <v/>
      </c>
      <c r="BT100" s="16" t="str">
        <f>IF('Sales Projections'!$E$14&gt;=ROW(BT100)-85,+$C100/4,"")</f>
        <v/>
      </c>
      <c r="BV100" s="16">
        <f t="shared" si="448"/>
        <v>0</v>
      </c>
      <c r="BW100" s="16" t="str">
        <f>IF('Sales Projections'!$F$14&gt;=ROW(BW100)-85,+$C100/4,"")</f>
        <v/>
      </c>
      <c r="BX100" s="16" t="str">
        <f>IF('Sales Projections'!$F$14&gt;=ROW(BX100)-85,+$C100/4,"")</f>
        <v/>
      </c>
      <c r="BY100" s="16" t="str">
        <f>IF('Sales Projections'!$F$14&gt;=ROW(BY100)-85,+$C100/4,"")</f>
        <v/>
      </c>
      <c r="BZ100" s="16" t="str">
        <f>IF('Sales Projections'!$F$14&gt;=ROW(BZ100)-85,+$C100/4,"")</f>
        <v/>
      </c>
    </row>
    <row r="101" spans="2:78" s="16" customFormat="1" x14ac:dyDescent="0.25">
      <c r="B101" s="16" t="s">
        <v>596</v>
      </c>
      <c r="C101" s="16">
        <v>140000</v>
      </c>
      <c r="D101" s="16" t="s">
        <v>531</v>
      </c>
      <c r="AE101" s="16">
        <f t="shared" ref="AE101:AP101" si="450">+$C101/12</f>
        <v>11666.666666666666</v>
      </c>
      <c r="AF101" s="16">
        <f t="shared" si="450"/>
        <v>11666.666666666666</v>
      </c>
      <c r="AG101" s="16">
        <f t="shared" si="450"/>
        <v>11666.666666666666</v>
      </c>
      <c r="AH101" s="16">
        <f t="shared" si="450"/>
        <v>11666.666666666666</v>
      </c>
      <c r="AI101" s="16">
        <f t="shared" si="450"/>
        <v>11666.666666666666</v>
      </c>
      <c r="AJ101" s="16">
        <f t="shared" si="450"/>
        <v>11666.666666666666</v>
      </c>
      <c r="AK101" s="16">
        <f t="shared" si="450"/>
        <v>11666.666666666666</v>
      </c>
      <c r="AL101" s="16">
        <f t="shared" si="450"/>
        <v>11666.666666666666</v>
      </c>
      <c r="AM101" s="16">
        <f t="shared" si="450"/>
        <v>11666.666666666666</v>
      </c>
      <c r="AN101" s="16">
        <f t="shared" si="450"/>
        <v>11666.666666666666</v>
      </c>
      <c r="AO101" s="16">
        <f t="shared" si="450"/>
        <v>11666.666666666666</v>
      </c>
      <c r="AP101" s="16">
        <f t="shared" si="450"/>
        <v>11666.666666666666</v>
      </c>
      <c r="AR101" s="16">
        <f t="shared" si="392"/>
        <v>0</v>
      </c>
      <c r="AS101" s="16">
        <f t="shared" si="393"/>
        <v>0</v>
      </c>
      <c r="AT101" s="16">
        <f t="shared" si="394"/>
        <v>0</v>
      </c>
      <c r="AU101" s="16">
        <f t="shared" si="395"/>
        <v>0</v>
      </c>
      <c r="AV101" s="16">
        <f t="shared" si="396"/>
        <v>0</v>
      </c>
      <c r="AX101" s="16">
        <f t="shared" si="397"/>
        <v>0</v>
      </c>
      <c r="AY101" s="16">
        <f t="shared" si="398"/>
        <v>0</v>
      </c>
      <c r="AZ101" s="16">
        <f t="shared" si="399"/>
        <v>0</v>
      </c>
      <c r="BA101" s="16">
        <f t="shared" si="400"/>
        <v>0</v>
      </c>
      <c r="BB101" s="16">
        <f t="shared" si="401"/>
        <v>0</v>
      </c>
      <c r="BD101" s="16">
        <f t="shared" si="402"/>
        <v>140000.00000000003</v>
      </c>
      <c r="BE101" s="16">
        <f t="shared" si="403"/>
        <v>35000</v>
      </c>
      <c r="BF101" s="16">
        <f t="shared" si="404"/>
        <v>35000</v>
      </c>
      <c r="BG101" s="16">
        <f t="shared" si="405"/>
        <v>35000</v>
      </c>
      <c r="BH101" s="16">
        <f t="shared" si="406"/>
        <v>35000</v>
      </c>
      <c r="BJ101" s="16">
        <f t="shared" si="425"/>
        <v>140000</v>
      </c>
      <c r="BK101" s="16">
        <f>+$C101/4</f>
        <v>35000</v>
      </c>
      <c r="BL101" s="16">
        <f t="shared" ref="BL101:BN101" si="451">+$C101/4</f>
        <v>35000</v>
      </c>
      <c r="BM101" s="16">
        <f t="shared" si="451"/>
        <v>35000</v>
      </c>
      <c r="BN101" s="16">
        <f t="shared" si="451"/>
        <v>35000</v>
      </c>
      <c r="BP101" s="16">
        <f t="shared" si="446"/>
        <v>140000</v>
      </c>
      <c r="BQ101" s="16">
        <f>+$C101/4</f>
        <v>35000</v>
      </c>
      <c r="BR101" s="16">
        <f t="shared" ref="BR101:BT101" si="452">+$C101/4</f>
        <v>35000</v>
      </c>
      <c r="BS101" s="16">
        <f t="shared" si="452"/>
        <v>35000</v>
      </c>
      <c r="BT101" s="16">
        <f t="shared" si="452"/>
        <v>35000</v>
      </c>
      <c r="BV101" s="16">
        <f t="shared" si="448"/>
        <v>140000</v>
      </c>
      <c r="BW101" s="16">
        <f>+$C101/4</f>
        <v>35000</v>
      </c>
      <c r="BX101" s="16">
        <f t="shared" ref="BX101:BZ101" si="453">+$C101/4</f>
        <v>35000</v>
      </c>
      <c r="BY101" s="16">
        <f t="shared" si="453"/>
        <v>35000</v>
      </c>
      <c r="BZ101" s="16">
        <f t="shared" si="453"/>
        <v>35000</v>
      </c>
    </row>
    <row r="102" spans="2:78" s="16" customFormat="1" x14ac:dyDescent="0.25">
      <c r="B102" s="16" t="s">
        <v>597</v>
      </c>
      <c r="C102" s="16">
        <v>140000</v>
      </c>
      <c r="D102" s="16" t="s">
        <v>531</v>
      </c>
      <c r="AR102" s="16">
        <f t="shared" si="392"/>
        <v>0</v>
      </c>
      <c r="AS102" s="16">
        <f t="shared" si="393"/>
        <v>0</v>
      </c>
      <c r="AT102" s="16">
        <f t="shared" si="394"/>
        <v>0</v>
      </c>
      <c r="AU102" s="16">
        <f t="shared" si="395"/>
        <v>0</v>
      </c>
      <c r="AV102" s="16">
        <f t="shared" si="396"/>
        <v>0</v>
      </c>
      <c r="AX102" s="16">
        <f t="shared" si="397"/>
        <v>0</v>
      </c>
      <c r="AY102" s="16">
        <f t="shared" si="398"/>
        <v>0</v>
      </c>
      <c r="AZ102" s="16">
        <f t="shared" si="399"/>
        <v>0</v>
      </c>
      <c r="BA102" s="16">
        <f t="shared" si="400"/>
        <v>0</v>
      </c>
      <c r="BB102" s="16">
        <f t="shared" si="401"/>
        <v>0</v>
      </c>
      <c r="BD102" s="16">
        <f t="shared" si="402"/>
        <v>0</v>
      </c>
      <c r="BE102" s="16">
        <f t="shared" si="403"/>
        <v>0</v>
      </c>
      <c r="BF102" s="16">
        <f t="shared" si="404"/>
        <v>0</v>
      </c>
      <c r="BG102" s="16">
        <f t="shared" si="405"/>
        <v>0</v>
      </c>
      <c r="BH102" s="16">
        <f t="shared" si="406"/>
        <v>0</v>
      </c>
      <c r="BJ102" s="16">
        <f t="shared" si="425"/>
        <v>140000</v>
      </c>
      <c r="BK102" s="16">
        <f>IF('Sales Projections'!$D$13&gt;=ROW(BK102)-100,+$C102/4,"")</f>
        <v>35000</v>
      </c>
      <c r="BL102" s="16">
        <f>IF('Sales Projections'!$D$13&gt;=ROW(BL102)-100,+$C102/4,"")</f>
        <v>35000</v>
      </c>
      <c r="BM102" s="16">
        <f>IF('Sales Projections'!$D$13&gt;=ROW(BM102)-100,+$C102/4,"")</f>
        <v>35000</v>
      </c>
      <c r="BN102" s="16">
        <f>IF('Sales Projections'!$D$13&gt;=ROW(BN102)-100,+$C102/4,"")</f>
        <v>35000</v>
      </c>
      <c r="BP102" s="16">
        <f t="shared" si="446"/>
        <v>140000</v>
      </c>
      <c r="BQ102" s="16">
        <f>IF('Sales Projections'!$E$13&gt;=ROW(BQ102)-100,+$C102/4,"")</f>
        <v>35000</v>
      </c>
      <c r="BR102" s="16">
        <f>IF('Sales Projections'!$E$13&gt;=ROW(BR102)-100,+$C102/4,"")</f>
        <v>35000</v>
      </c>
      <c r="BS102" s="16">
        <f>IF('Sales Projections'!$E$13&gt;=ROW(BS102)-100,+$C102/4,"")</f>
        <v>35000</v>
      </c>
      <c r="BT102" s="16">
        <f>IF('Sales Projections'!$E$13&gt;=ROW(BT102)-100,+$C102/4,"")</f>
        <v>35000</v>
      </c>
      <c r="BV102" s="16">
        <f t="shared" si="448"/>
        <v>140000</v>
      </c>
      <c r="BW102" s="16">
        <f>IF('Sales Projections'!$F$13&gt;=ROW(BW102)-100,+$C102/4,"")</f>
        <v>35000</v>
      </c>
      <c r="BX102" s="16">
        <f>IF('Sales Projections'!$F$13&gt;=ROW(BX102)-100,+$C102/4,"")</f>
        <v>35000</v>
      </c>
      <c r="BY102" s="16">
        <f>IF('Sales Projections'!$F$13&gt;=ROW(BY102)-100,+$C102/4,"")</f>
        <v>35000</v>
      </c>
      <c r="BZ102" s="16">
        <f>IF('Sales Projections'!$F$13&gt;=ROW(BZ102)-100,+$C102/4,"")</f>
        <v>35000</v>
      </c>
    </row>
    <row r="103" spans="2:78" s="16" customFormat="1" x14ac:dyDescent="0.25">
      <c r="B103" s="16" t="s">
        <v>598</v>
      </c>
      <c r="C103" s="16">
        <v>140000</v>
      </c>
      <c r="D103" s="16" t="s">
        <v>531</v>
      </c>
      <c r="AR103" s="16">
        <f t="shared" si="392"/>
        <v>0</v>
      </c>
      <c r="AS103" s="16">
        <f t="shared" si="393"/>
        <v>0</v>
      </c>
      <c r="AT103" s="16">
        <f t="shared" si="394"/>
        <v>0</v>
      </c>
      <c r="AU103" s="16">
        <f t="shared" si="395"/>
        <v>0</v>
      </c>
      <c r="AV103" s="16">
        <f t="shared" si="396"/>
        <v>0</v>
      </c>
      <c r="AX103" s="16">
        <f t="shared" si="397"/>
        <v>0</v>
      </c>
      <c r="AY103" s="16">
        <f t="shared" si="398"/>
        <v>0</v>
      </c>
      <c r="AZ103" s="16">
        <f t="shared" si="399"/>
        <v>0</v>
      </c>
      <c r="BA103" s="16">
        <f t="shared" si="400"/>
        <v>0</v>
      </c>
      <c r="BB103" s="16">
        <f t="shared" si="401"/>
        <v>0</v>
      </c>
      <c r="BD103" s="16">
        <f t="shared" si="402"/>
        <v>0</v>
      </c>
      <c r="BE103" s="16">
        <f t="shared" si="403"/>
        <v>0</v>
      </c>
      <c r="BF103" s="16">
        <f t="shared" si="404"/>
        <v>0</v>
      </c>
      <c r="BG103" s="16">
        <f t="shared" si="405"/>
        <v>0</v>
      </c>
      <c r="BH103" s="16">
        <f t="shared" si="406"/>
        <v>0</v>
      </c>
      <c r="BJ103" s="16">
        <f t="shared" si="425"/>
        <v>140000</v>
      </c>
      <c r="BK103" s="16">
        <f>IF('Sales Projections'!$D$13&gt;=ROW(BK103)-100,+$C103/4,"")</f>
        <v>35000</v>
      </c>
      <c r="BL103" s="16">
        <f>IF('Sales Projections'!$D$13&gt;=ROW(BL103)-100,+$C103/4,"")</f>
        <v>35000</v>
      </c>
      <c r="BM103" s="16">
        <f>IF('Sales Projections'!$D$13&gt;=ROW(BM103)-100,+$C103/4,"")</f>
        <v>35000</v>
      </c>
      <c r="BN103" s="16">
        <f>IF('Sales Projections'!$D$13&gt;=ROW(BN103)-100,+$C103/4,"")</f>
        <v>35000</v>
      </c>
      <c r="BP103" s="16">
        <f t="shared" si="446"/>
        <v>140000</v>
      </c>
      <c r="BQ103" s="16">
        <f>IF('Sales Projections'!$E$13&gt;=ROW(BQ103)-100,+$C103/4,"")</f>
        <v>35000</v>
      </c>
      <c r="BR103" s="16">
        <f>IF('Sales Projections'!$E$13&gt;=ROW(BR103)-100,+$C103/4,"")</f>
        <v>35000</v>
      </c>
      <c r="BS103" s="16">
        <f>IF('Sales Projections'!$E$13&gt;=ROW(BS103)-100,+$C103/4,"")</f>
        <v>35000</v>
      </c>
      <c r="BT103" s="16">
        <f>IF('Sales Projections'!$E$13&gt;=ROW(BT103)-100,+$C103/4,"")</f>
        <v>35000</v>
      </c>
      <c r="BV103" s="16">
        <f t="shared" si="448"/>
        <v>140000</v>
      </c>
      <c r="BW103" s="16">
        <f>IF('Sales Projections'!$F$13&gt;=ROW(BW103)-100,+$C103/4,"")</f>
        <v>35000</v>
      </c>
      <c r="BX103" s="16">
        <f>IF('Sales Projections'!$F$13&gt;=ROW(BX103)-100,+$C103/4,"")</f>
        <v>35000</v>
      </c>
      <c r="BY103" s="16">
        <f>IF('Sales Projections'!$F$13&gt;=ROW(BY103)-100,+$C103/4,"")</f>
        <v>35000</v>
      </c>
      <c r="BZ103" s="16">
        <f>IF('Sales Projections'!$F$13&gt;=ROW(BZ103)-100,+$C103/4,"")</f>
        <v>35000</v>
      </c>
    </row>
    <row r="104" spans="2:78" s="16" customFormat="1" x14ac:dyDescent="0.25">
      <c r="B104" s="7" t="s">
        <v>611</v>
      </c>
      <c r="C104" s="16">
        <v>180000</v>
      </c>
      <c r="D104" s="16" t="s">
        <v>531</v>
      </c>
      <c r="BJ104" s="16">
        <f t="shared" si="425"/>
        <v>180000</v>
      </c>
      <c r="BK104" s="16">
        <f>IF('Sales Projections'!$D$13&gt;=ROW(BK104)-100,+$C104/4,"")</f>
        <v>45000</v>
      </c>
      <c r="BL104" s="16">
        <f>IF('Sales Projections'!$D$13&gt;=ROW(BL104)-100,+$C104/4,"")</f>
        <v>45000</v>
      </c>
      <c r="BM104" s="16">
        <f>IF('Sales Projections'!$D$13&gt;=ROW(BM104)-100,+$C104/4,"")</f>
        <v>45000</v>
      </c>
      <c r="BN104" s="16">
        <f>IF('Sales Projections'!$D$13&gt;=ROW(BN104)-100,+$C104/4,"")</f>
        <v>45000</v>
      </c>
      <c r="BP104" s="16">
        <f t="shared" si="446"/>
        <v>180000</v>
      </c>
      <c r="BQ104" s="16">
        <f>IF('Sales Projections'!$E$13&gt;=ROW(BQ104)-100,+$C104/4,"")</f>
        <v>45000</v>
      </c>
      <c r="BR104" s="16">
        <f>IF('Sales Projections'!$E$13&gt;=ROW(BR104)-100,+$C104/4,"")</f>
        <v>45000</v>
      </c>
      <c r="BS104" s="16">
        <f>IF('Sales Projections'!$E$13&gt;=ROW(BS104)-100,+$C104/4,"")</f>
        <v>45000</v>
      </c>
      <c r="BT104" s="16">
        <f>IF('Sales Projections'!$E$13&gt;=ROW(BT104)-100,+$C104/4,"")</f>
        <v>45000</v>
      </c>
      <c r="BV104" s="16">
        <f t="shared" si="448"/>
        <v>180000</v>
      </c>
      <c r="BW104" s="16">
        <f>IF('Sales Projections'!$F$13&gt;=ROW(BW104)-100,+$C104/4,"")</f>
        <v>45000</v>
      </c>
      <c r="BX104" s="16">
        <f>IF('Sales Projections'!$F$13&gt;=ROW(BX104)-100,+$C104/4,"")</f>
        <v>45000</v>
      </c>
      <c r="BY104" s="16">
        <f>IF('Sales Projections'!$F$13&gt;=ROW(BY104)-100,+$C104/4,"")</f>
        <v>45000</v>
      </c>
      <c r="BZ104" s="16">
        <f>IF('Sales Projections'!$F$13&gt;=ROW(BZ104)-100,+$C104/4,"")</f>
        <v>45000</v>
      </c>
    </row>
    <row r="105" spans="2:78" x14ac:dyDescent="0.25">
      <c r="B105" s="16" t="s">
        <v>840</v>
      </c>
      <c r="C105" s="16">
        <v>140000</v>
      </c>
      <c r="D105" s="16" t="s">
        <v>531</v>
      </c>
      <c r="BJ105" s="16">
        <f t="shared" si="425"/>
        <v>140000</v>
      </c>
      <c r="BK105" s="16">
        <f>IF('Sales Projections'!$D$13&gt;=ROW(BK105)-100,+$C105/4,"")</f>
        <v>35000</v>
      </c>
      <c r="BL105" s="16">
        <f>IF('Sales Projections'!$D$13&gt;=ROW(BL105)-100,+$C105/4,"")</f>
        <v>35000</v>
      </c>
      <c r="BM105" s="16">
        <f>IF('Sales Projections'!$D$13&gt;=ROW(BM105)-100,+$C105/4,"")</f>
        <v>35000</v>
      </c>
      <c r="BN105" s="16">
        <f>IF('Sales Projections'!$D$13&gt;=ROW(BN105)-100,+$C105/4,"")</f>
        <v>35000</v>
      </c>
      <c r="BP105" s="16">
        <f t="shared" si="446"/>
        <v>140000</v>
      </c>
      <c r="BQ105" s="16">
        <f>IF('Sales Projections'!$E$13&gt;=ROW(BQ105)-100,+$C105/4,"")</f>
        <v>35000</v>
      </c>
      <c r="BR105" s="16">
        <f>IF('Sales Projections'!$E$13&gt;=ROW(BR105)-100,+$C105/4,"")</f>
        <v>35000</v>
      </c>
      <c r="BS105" s="16">
        <f>IF('Sales Projections'!$E$13&gt;=ROW(BS105)-100,+$C105/4,"")</f>
        <v>35000</v>
      </c>
      <c r="BT105" s="16">
        <f>IF('Sales Projections'!$E$13&gt;=ROW(BT105)-100,+$C105/4,"")</f>
        <v>35000</v>
      </c>
      <c r="BV105" s="16">
        <f t="shared" si="448"/>
        <v>140000</v>
      </c>
      <c r="BW105" s="16">
        <f>IF('Sales Projections'!$F$13&gt;=ROW(BW105)-100,+$C105/4,"")</f>
        <v>35000</v>
      </c>
      <c r="BX105" s="16">
        <f>IF('Sales Projections'!$F$13&gt;=ROW(BX105)-100,+$C105/4,"")</f>
        <v>35000</v>
      </c>
      <c r="BY105" s="16">
        <f>IF('Sales Projections'!$F$13&gt;=ROW(BY105)-100,+$C105/4,"")</f>
        <v>35000</v>
      </c>
      <c r="BZ105" s="16">
        <f>IF('Sales Projections'!$F$13&gt;=ROW(BZ105)-100,+$C105/4,"")</f>
        <v>35000</v>
      </c>
    </row>
    <row r="106" spans="2:78" x14ac:dyDescent="0.25">
      <c r="B106" s="16" t="s">
        <v>841</v>
      </c>
      <c r="C106" s="16">
        <v>125000</v>
      </c>
      <c r="D106" s="16" t="s">
        <v>531</v>
      </c>
      <c r="BJ106" s="16">
        <f t="shared" si="425"/>
        <v>125000</v>
      </c>
      <c r="BK106" s="16">
        <f>IF('Sales Projections'!$D$13&gt;=ROW(BK106)-100,+$C106/4,"")</f>
        <v>31250</v>
      </c>
      <c r="BL106" s="16">
        <f>IF('Sales Projections'!$D$13&gt;=ROW(BL106)-100,+$C106/4,"")</f>
        <v>31250</v>
      </c>
      <c r="BM106" s="16">
        <f>IF('Sales Projections'!$D$13&gt;=ROW(BM106)-100,+$C106/4,"")</f>
        <v>31250</v>
      </c>
      <c r="BN106" s="16">
        <f>IF('Sales Projections'!$D$13&gt;=ROW(BN106)-100,+$C106/4,"")</f>
        <v>31250</v>
      </c>
      <c r="BP106" s="16">
        <f t="shared" si="446"/>
        <v>140000</v>
      </c>
      <c r="BQ106" s="16">
        <f>IF('Sales Projections'!$E$13&gt;=ROW(BQ106)-100,+($C106+15000)/4,"")</f>
        <v>35000</v>
      </c>
      <c r="BR106" s="16">
        <f>IF('Sales Projections'!$E$13&gt;=ROW(BR106)-100,+($C106+15000)/4,"")</f>
        <v>35000</v>
      </c>
      <c r="BS106" s="16">
        <f>IF('Sales Projections'!$E$13&gt;=ROW(BS106)-100,+($C106+15000)/4,"")</f>
        <v>35000</v>
      </c>
      <c r="BT106" s="16">
        <f>IF('Sales Projections'!$E$13&gt;=ROW(BT106)-100,+($C106+15000)/4,"")</f>
        <v>35000</v>
      </c>
      <c r="BV106" s="16">
        <f t="shared" si="448"/>
        <v>140000</v>
      </c>
      <c r="BW106" s="16">
        <f>IF('Sales Projections'!$E$13&gt;=ROW(BW106)-100,+($C106+15000)/4,"")</f>
        <v>35000</v>
      </c>
      <c r="BX106" s="16">
        <f>IF('Sales Projections'!$E$13&gt;=ROW(BX106)-100,+($C106+15000)/4,"")</f>
        <v>35000</v>
      </c>
      <c r="BY106" s="16">
        <f>IF('Sales Projections'!$E$13&gt;=ROW(BY106)-100,+($C106+15000)/4,"")</f>
        <v>35000</v>
      </c>
      <c r="BZ106" s="16">
        <f>IF('Sales Projections'!$E$13&gt;=ROW(BZ106)-100,+($C106+15000)/4,"")</f>
        <v>35000</v>
      </c>
    </row>
    <row r="107" spans="2:78" s="16" customFormat="1" x14ac:dyDescent="0.25">
      <c r="B107" s="16" t="s">
        <v>599</v>
      </c>
      <c r="C107" s="16">
        <v>125000</v>
      </c>
      <c r="D107" s="16" t="s">
        <v>531</v>
      </c>
      <c r="BJ107" s="16">
        <f t="shared" si="425"/>
        <v>125000</v>
      </c>
      <c r="BK107" s="16">
        <f>IF('Sales Projections'!$D$13&gt;=ROW(BK107)-100,+$C107/4,"")</f>
        <v>31250</v>
      </c>
      <c r="BL107" s="16">
        <f>IF('Sales Projections'!$D$13&gt;=ROW(BL107)-100,+$C107/4,"")</f>
        <v>31250</v>
      </c>
      <c r="BM107" s="16">
        <f>IF('Sales Projections'!$D$13&gt;=ROW(BM107)-100,+$C107/4,"")</f>
        <v>31250</v>
      </c>
      <c r="BN107" s="16">
        <f>IF('Sales Projections'!$D$13&gt;=ROW(BN107)-100,+$C107/4,"")</f>
        <v>31250</v>
      </c>
      <c r="BP107" s="16">
        <f t="shared" si="446"/>
        <v>125000</v>
      </c>
      <c r="BQ107" s="16">
        <f>IF('Sales Projections'!$E$13&gt;=ROW(BQ107)-100,+$C107/4,"")</f>
        <v>31250</v>
      </c>
      <c r="BR107" s="16">
        <f>IF('Sales Projections'!$E$13&gt;=ROW(BR107)-100,+$C107/4,"")</f>
        <v>31250</v>
      </c>
      <c r="BS107" s="16">
        <f>IF('Sales Projections'!$E$13&gt;=ROW(BS107)-100,+$C107/4,"")</f>
        <v>31250</v>
      </c>
      <c r="BT107" s="16">
        <f>IF('Sales Projections'!$E$13&gt;=ROW(BT107)-100,+$C107/4,"")</f>
        <v>31250</v>
      </c>
      <c r="BV107" s="16">
        <f t="shared" si="448"/>
        <v>125000</v>
      </c>
      <c r="BW107" s="16">
        <f>IF('Sales Projections'!$F$13&gt;=ROW(BW107)-100,+$C107/4,"")</f>
        <v>31250</v>
      </c>
      <c r="BX107" s="16">
        <f>IF('Sales Projections'!$F$13&gt;=ROW(BX107)-100,+$C107/4,"")</f>
        <v>31250</v>
      </c>
      <c r="BY107" s="16">
        <f>IF('Sales Projections'!$F$13&gt;=ROW(BY107)-100,+$C107/4,"")</f>
        <v>31250</v>
      </c>
      <c r="BZ107" s="16">
        <f>IF('Sales Projections'!$F$13&gt;=ROW(BZ107)-100,+$C107/4,"")</f>
        <v>31250</v>
      </c>
    </row>
    <row r="108" spans="2:78" s="16" customFormat="1" x14ac:dyDescent="0.25">
      <c r="B108" s="16" t="s">
        <v>600</v>
      </c>
      <c r="C108" s="16">
        <v>125000</v>
      </c>
      <c r="D108" s="16" t="s">
        <v>531</v>
      </c>
      <c r="BJ108" s="16">
        <f t="shared" si="425"/>
        <v>125000</v>
      </c>
      <c r="BK108" s="16">
        <f>IF('Sales Projections'!$D$13&gt;=ROW(BK108)-100,+$C108/4,"")</f>
        <v>31250</v>
      </c>
      <c r="BL108" s="16">
        <f>IF('Sales Projections'!$D$13&gt;=ROW(BL108)-100,+$C108/4,"")</f>
        <v>31250</v>
      </c>
      <c r="BM108" s="16">
        <f>IF('Sales Projections'!$D$13&gt;=ROW(BM108)-100,+$C108/4,"")</f>
        <v>31250</v>
      </c>
      <c r="BN108" s="16">
        <f>IF('Sales Projections'!$D$13&gt;=ROW(BN108)-100,+$C108/4,"")</f>
        <v>31250</v>
      </c>
      <c r="BP108" s="16">
        <f t="shared" si="446"/>
        <v>125000</v>
      </c>
      <c r="BQ108" s="16">
        <f>IF('Sales Projections'!$E$13&gt;=ROW(BQ108)-100,+$C108/4,"")</f>
        <v>31250</v>
      </c>
      <c r="BR108" s="16">
        <f>IF('Sales Projections'!$E$13&gt;=ROW(BR108)-100,+$C108/4,"")</f>
        <v>31250</v>
      </c>
      <c r="BS108" s="16">
        <f>IF('Sales Projections'!$E$13&gt;=ROW(BS108)-100,+$C108/4,"")</f>
        <v>31250</v>
      </c>
      <c r="BT108" s="16">
        <f>IF('Sales Projections'!$E$13&gt;=ROW(BT108)-100,+$C108/4,"")</f>
        <v>31250</v>
      </c>
      <c r="BV108" s="16">
        <f t="shared" si="448"/>
        <v>125000</v>
      </c>
      <c r="BW108" s="16">
        <f>IF('Sales Projections'!$F$13&gt;=ROW(BW108)-100,+$C108/4,"")</f>
        <v>31250</v>
      </c>
      <c r="BX108" s="16">
        <f>IF('Sales Projections'!$F$13&gt;=ROW(BX108)-100,+$C108/4,"")</f>
        <v>31250</v>
      </c>
      <c r="BY108" s="16">
        <f>IF('Sales Projections'!$F$13&gt;=ROW(BY108)-100,+$C108/4,"")</f>
        <v>31250</v>
      </c>
      <c r="BZ108" s="16">
        <f>IF('Sales Projections'!$F$13&gt;=ROW(BZ108)-100,+$C108/4,"")</f>
        <v>31250</v>
      </c>
    </row>
    <row r="109" spans="2:78" s="16" customFormat="1" x14ac:dyDescent="0.25">
      <c r="B109" s="16" t="s">
        <v>601</v>
      </c>
      <c r="C109" s="16">
        <v>125000</v>
      </c>
      <c r="D109" s="16" t="s">
        <v>531</v>
      </c>
      <c r="BJ109" s="16">
        <f t="shared" si="425"/>
        <v>125000</v>
      </c>
      <c r="BK109" s="16">
        <f>IF('Sales Projections'!$D$13&gt;=ROW(BK109)-100,+$C109/4,"")</f>
        <v>31250</v>
      </c>
      <c r="BL109" s="16">
        <f>IF('Sales Projections'!$D$13&gt;=ROW(BL109)-100,+$C109/4,"")</f>
        <v>31250</v>
      </c>
      <c r="BM109" s="16">
        <f>IF('Sales Projections'!$D$13&gt;=ROW(BM109)-100,+$C109/4,"")</f>
        <v>31250</v>
      </c>
      <c r="BN109" s="16">
        <f>IF('Sales Projections'!$D$13&gt;=ROW(BN109)-100,+$C109/4,"")</f>
        <v>31250</v>
      </c>
      <c r="BP109" s="16">
        <f t="shared" si="446"/>
        <v>125000</v>
      </c>
      <c r="BQ109" s="16">
        <f>IF('Sales Projections'!$E$13&gt;=ROW(BQ109)-100,+$C109/4,"")</f>
        <v>31250</v>
      </c>
      <c r="BR109" s="16">
        <f>IF('Sales Projections'!$E$13&gt;=ROW(BR109)-100,+$C109/4,"")</f>
        <v>31250</v>
      </c>
      <c r="BS109" s="16">
        <f>IF('Sales Projections'!$E$13&gt;=ROW(BS109)-100,+$C109/4,"")</f>
        <v>31250</v>
      </c>
      <c r="BT109" s="16">
        <f>IF('Sales Projections'!$E$13&gt;=ROW(BT109)-100,+$C109/4,"")</f>
        <v>31250</v>
      </c>
      <c r="BV109" s="16">
        <f t="shared" si="448"/>
        <v>125000</v>
      </c>
      <c r="BW109" s="16">
        <f>IF('Sales Projections'!$F$13&gt;=ROW(BW109)-100,+$C109/4,"")</f>
        <v>31250</v>
      </c>
      <c r="BX109" s="16">
        <f>IF('Sales Projections'!$F$13&gt;=ROW(BX109)-100,+$C109/4,"")</f>
        <v>31250</v>
      </c>
      <c r="BY109" s="16">
        <f>IF('Sales Projections'!$F$13&gt;=ROW(BY109)-100,+$C109/4,"")</f>
        <v>31250</v>
      </c>
      <c r="BZ109" s="16">
        <f>IF('Sales Projections'!$F$13&gt;=ROW(BZ109)-100,+$C109/4,"")</f>
        <v>31250</v>
      </c>
    </row>
    <row r="110" spans="2:78" s="16" customFormat="1" x14ac:dyDescent="0.25">
      <c r="B110" s="16" t="s">
        <v>602</v>
      </c>
      <c r="C110" s="16">
        <v>125000</v>
      </c>
      <c r="D110" s="16" t="s">
        <v>531</v>
      </c>
      <c r="BJ110" s="16">
        <f t="shared" si="425"/>
        <v>125000</v>
      </c>
      <c r="BK110" s="16">
        <f>IF('Sales Projections'!$D$13&gt;=ROW(BK110)-100,+$C110/4,"")</f>
        <v>31250</v>
      </c>
      <c r="BL110" s="16">
        <f>IF('Sales Projections'!$D$13&gt;=ROW(BL110)-100,+$C110/4,"")</f>
        <v>31250</v>
      </c>
      <c r="BM110" s="16">
        <f>IF('Sales Projections'!$D$13&gt;=ROW(BM110)-100,+$C110/4,"")</f>
        <v>31250</v>
      </c>
      <c r="BN110" s="16">
        <f>IF('Sales Projections'!$D$13&gt;=ROW(BN110)-100,+$C110/4,"")</f>
        <v>31250</v>
      </c>
      <c r="BP110" s="16">
        <f t="shared" si="446"/>
        <v>125000</v>
      </c>
      <c r="BQ110" s="16">
        <f>IF('Sales Projections'!$E$13&gt;=ROW(BQ110)-100,+$C110/4,"")</f>
        <v>31250</v>
      </c>
      <c r="BR110" s="16">
        <f>IF('Sales Projections'!$E$13&gt;=ROW(BR110)-100,+$C110/4,"")</f>
        <v>31250</v>
      </c>
      <c r="BS110" s="16">
        <f>IF('Sales Projections'!$E$13&gt;=ROW(BS110)-100,+$C110/4,"")</f>
        <v>31250</v>
      </c>
      <c r="BT110" s="16">
        <f>IF('Sales Projections'!$E$13&gt;=ROW(BT110)-100,+$C110/4,"")</f>
        <v>31250</v>
      </c>
      <c r="BV110" s="16">
        <f t="shared" si="448"/>
        <v>125000</v>
      </c>
      <c r="BW110" s="16">
        <f>IF('Sales Projections'!$F$13&gt;=ROW(BW110)-100,+$C110/4,"")</f>
        <v>31250</v>
      </c>
      <c r="BX110" s="16">
        <f>IF('Sales Projections'!$F$13&gt;=ROW(BX110)-100,+$C110/4,"")</f>
        <v>31250</v>
      </c>
      <c r="BY110" s="16">
        <f>IF('Sales Projections'!$F$13&gt;=ROW(BY110)-100,+$C110/4,"")</f>
        <v>31250</v>
      </c>
      <c r="BZ110" s="16">
        <f>IF('Sales Projections'!$F$13&gt;=ROW(BZ110)-100,+$C110/4,"")</f>
        <v>31250</v>
      </c>
    </row>
    <row r="111" spans="2:78" s="16" customFormat="1" x14ac:dyDescent="0.25">
      <c r="B111" s="16" t="s">
        <v>603</v>
      </c>
      <c r="C111" s="16">
        <v>125000</v>
      </c>
      <c r="D111" s="16" t="s">
        <v>531</v>
      </c>
      <c r="BJ111" s="16">
        <f t="shared" si="425"/>
        <v>125000</v>
      </c>
      <c r="BK111" s="16">
        <f>IF('Sales Projections'!$D$13&gt;=ROW(BK111)-100,+$C111/4,"")</f>
        <v>31250</v>
      </c>
      <c r="BL111" s="16">
        <f>IF('Sales Projections'!$D$13&gt;=ROW(BL111)-100,+$C111/4,"")</f>
        <v>31250</v>
      </c>
      <c r="BM111" s="16">
        <f>IF('Sales Projections'!$D$13&gt;=ROW(BM111)-100,+$C111/4,"")</f>
        <v>31250</v>
      </c>
      <c r="BN111" s="16">
        <f>IF('Sales Projections'!$D$13&gt;=ROW(BN111)-100,+$C111/4,"")</f>
        <v>31250</v>
      </c>
      <c r="BP111" s="16">
        <f t="shared" si="446"/>
        <v>125000</v>
      </c>
      <c r="BQ111" s="16">
        <f>IF('Sales Projections'!$E$13&gt;=ROW(BQ111)-100,+$C111/4,"")</f>
        <v>31250</v>
      </c>
      <c r="BR111" s="16">
        <f>IF('Sales Projections'!$E$13&gt;=ROW(BR111)-100,+$C111/4,"")</f>
        <v>31250</v>
      </c>
      <c r="BS111" s="16">
        <f>IF('Sales Projections'!$E$13&gt;=ROW(BS111)-100,+$C111/4,"")</f>
        <v>31250</v>
      </c>
      <c r="BT111" s="16">
        <f>IF('Sales Projections'!$E$13&gt;=ROW(BT111)-100,+$C111/4,"")</f>
        <v>31250</v>
      </c>
      <c r="BV111" s="16">
        <f t="shared" si="448"/>
        <v>125000</v>
      </c>
      <c r="BW111" s="16">
        <f>IF('Sales Projections'!$F$13&gt;=ROW(BW111)-100,+$C111/4,"")</f>
        <v>31250</v>
      </c>
      <c r="BX111" s="16">
        <f>IF('Sales Projections'!$F$13&gt;=ROW(BX111)-100,+$C111/4,"")</f>
        <v>31250</v>
      </c>
      <c r="BY111" s="16">
        <f>IF('Sales Projections'!$F$13&gt;=ROW(BY111)-100,+$C111/4,"")</f>
        <v>31250</v>
      </c>
      <c r="BZ111" s="16">
        <f>IF('Sales Projections'!$F$13&gt;=ROW(BZ111)-100,+$C111/4,"")</f>
        <v>31250</v>
      </c>
    </row>
    <row r="112" spans="2:78" s="16" customFormat="1" x14ac:dyDescent="0.25">
      <c r="B112" s="16" t="s">
        <v>604</v>
      </c>
      <c r="C112" s="16">
        <v>125000</v>
      </c>
      <c r="D112" s="16" t="s">
        <v>531</v>
      </c>
      <c r="BJ112" s="16">
        <f t="shared" si="425"/>
        <v>125000</v>
      </c>
      <c r="BK112" s="16">
        <f>IF('Sales Projections'!$D$13&gt;=ROW(BK112)-100,+$C112/4,"")</f>
        <v>31250</v>
      </c>
      <c r="BL112" s="16">
        <f>IF('Sales Projections'!$D$13&gt;=ROW(BL112)-100,+$C112/4,"")</f>
        <v>31250</v>
      </c>
      <c r="BM112" s="16">
        <f>IF('Sales Projections'!$D$13&gt;=ROW(BM112)-100,+$C112/4,"")</f>
        <v>31250</v>
      </c>
      <c r="BN112" s="16">
        <f>IF('Sales Projections'!$D$13&gt;=ROW(BN112)-100,+$C112/4,"")</f>
        <v>31250</v>
      </c>
      <c r="BP112" s="16">
        <f t="shared" si="446"/>
        <v>125000</v>
      </c>
      <c r="BQ112" s="16">
        <f>IF('Sales Projections'!$E$13&gt;=ROW(BQ112)-100,+$C112/4,"")</f>
        <v>31250</v>
      </c>
      <c r="BR112" s="16">
        <f>IF('Sales Projections'!$E$13&gt;=ROW(BR112)-100,+$C112/4,"")</f>
        <v>31250</v>
      </c>
      <c r="BS112" s="16">
        <f>IF('Sales Projections'!$E$13&gt;=ROW(BS112)-100,+$C112/4,"")</f>
        <v>31250</v>
      </c>
      <c r="BT112" s="16">
        <f>IF('Sales Projections'!$E$13&gt;=ROW(BT112)-100,+$C112/4,"")</f>
        <v>31250</v>
      </c>
      <c r="BV112" s="16">
        <f t="shared" si="448"/>
        <v>125000</v>
      </c>
      <c r="BW112" s="16">
        <f>IF('Sales Projections'!$F$13&gt;=ROW(BW112)-100,+$C112/4,"")</f>
        <v>31250</v>
      </c>
      <c r="BX112" s="16">
        <f>IF('Sales Projections'!$F$13&gt;=ROW(BX112)-100,+$C112/4,"")</f>
        <v>31250</v>
      </c>
      <c r="BY112" s="16">
        <f>IF('Sales Projections'!$F$13&gt;=ROW(BY112)-100,+$C112/4,"")</f>
        <v>31250</v>
      </c>
      <c r="BZ112" s="16">
        <f>IF('Sales Projections'!$F$13&gt;=ROW(BZ112)-100,+$C112/4,"")</f>
        <v>31250</v>
      </c>
    </row>
    <row r="113" spans="2:78" s="16" customFormat="1" x14ac:dyDescent="0.25">
      <c r="B113" s="16" t="s">
        <v>605</v>
      </c>
      <c r="C113" s="16">
        <v>125000</v>
      </c>
      <c r="D113" s="16" t="s">
        <v>531</v>
      </c>
      <c r="BJ113" s="16">
        <f t="shared" si="425"/>
        <v>125000</v>
      </c>
      <c r="BK113" s="16">
        <f>IF('Sales Projections'!$D$13&gt;=ROW(BK113)-100,+$C113/4,"")</f>
        <v>31250</v>
      </c>
      <c r="BL113" s="16">
        <f>IF('Sales Projections'!$D$13&gt;=ROW(BL113)-100,+$C113/4,"")</f>
        <v>31250</v>
      </c>
      <c r="BM113" s="16">
        <f>IF('Sales Projections'!$D$13&gt;=ROW(BM113)-100,+$C113/4,"")</f>
        <v>31250</v>
      </c>
      <c r="BN113" s="16">
        <f>IF('Sales Projections'!$D$13&gt;=ROW(BN113)-100,+$C113/4,"")</f>
        <v>31250</v>
      </c>
      <c r="BP113" s="16">
        <f t="shared" si="446"/>
        <v>125000</v>
      </c>
      <c r="BQ113" s="16">
        <f>IF('Sales Projections'!$E$13&gt;=ROW(BQ113)-100,+$C113/4,"")</f>
        <v>31250</v>
      </c>
      <c r="BR113" s="16">
        <f>IF('Sales Projections'!$E$13&gt;=ROW(BR113)-100,+$C113/4,"")</f>
        <v>31250</v>
      </c>
      <c r="BS113" s="16">
        <f>IF('Sales Projections'!$E$13&gt;=ROW(BS113)-100,+$C113/4,"")</f>
        <v>31250</v>
      </c>
      <c r="BT113" s="16">
        <f>IF('Sales Projections'!$E$13&gt;=ROW(BT113)-100,+$C113/4,"")</f>
        <v>31250</v>
      </c>
      <c r="BV113" s="16">
        <f t="shared" si="448"/>
        <v>125000</v>
      </c>
      <c r="BW113" s="16">
        <f>IF('Sales Projections'!$F$13&gt;=ROW(BW113)-100,+$C113/4,"")</f>
        <v>31250</v>
      </c>
      <c r="BX113" s="16">
        <f>IF('Sales Projections'!$F$13&gt;=ROW(BX113)-100,+$C113/4,"")</f>
        <v>31250</v>
      </c>
      <c r="BY113" s="16">
        <f>IF('Sales Projections'!$F$13&gt;=ROW(BY113)-100,+$C113/4,"")</f>
        <v>31250</v>
      </c>
      <c r="BZ113" s="16">
        <f>IF('Sales Projections'!$F$13&gt;=ROW(BZ113)-100,+$C113/4,"")</f>
        <v>31250</v>
      </c>
    </row>
    <row r="114" spans="2:78" s="16" customFormat="1" x14ac:dyDescent="0.25">
      <c r="B114" s="16" t="s">
        <v>606</v>
      </c>
      <c r="C114" s="16">
        <v>125000</v>
      </c>
      <c r="D114" s="16" t="s">
        <v>531</v>
      </c>
      <c r="BJ114" s="16">
        <f t="shared" si="425"/>
        <v>125000</v>
      </c>
      <c r="BK114" s="16">
        <f>IF('Sales Projections'!$D$13&gt;=ROW(BK114)-100,+$C114/4,"")</f>
        <v>31250</v>
      </c>
      <c r="BL114" s="16">
        <f>IF('Sales Projections'!$D$13&gt;=ROW(BL114)-100,+$C114/4,"")</f>
        <v>31250</v>
      </c>
      <c r="BM114" s="16">
        <f>IF('Sales Projections'!$D$13&gt;=ROW(BM114)-100,+$C114/4,"")</f>
        <v>31250</v>
      </c>
      <c r="BN114" s="16">
        <f>IF('Sales Projections'!$D$13&gt;=ROW(BN114)-100,+$C114/4,"")</f>
        <v>31250</v>
      </c>
      <c r="BP114" s="16">
        <f t="shared" si="446"/>
        <v>125000</v>
      </c>
      <c r="BQ114" s="16">
        <f>IF('Sales Projections'!$E$13&gt;=ROW(BQ114)-100,+$C114/4,"")</f>
        <v>31250</v>
      </c>
      <c r="BR114" s="16">
        <f>IF('Sales Projections'!$E$13&gt;=ROW(BR114)-100,+$C114/4,"")</f>
        <v>31250</v>
      </c>
      <c r="BS114" s="16">
        <f>IF('Sales Projections'!$E$13&gt;=ROW(BS114)-100,+$C114/4,"")</f>
        <v>31250</v>
      </c>
      <c r="BT114" s="16">
        <f>IF('Sales Projections'!$E$13&gt;=ROW(BT114)-100,+$C114/4,"")</f>
        <v>31250</v>
      </c>
      <c r="BV114" s="16">
        <f t="shared" si="448"/>
        <v>125000</v>
      </c>
      <c r="BW114" s="16">
        <f>IF('Sales Projections'!$F$13&gt;=ROW(BW114)-100,+$C114/4,"")</f>
        <v>31250</v>
      </c>
      <c r="BX114" s="16">
        <f>IF('Sales Projections'!$F$13&gt;=ROW(BX114)-100,+$C114/4,"")</f>
        <v>31250</v>
      </c>
      <c r="BY114" s="16">
        <f>IF('Sales Projections'!$F$13&gt;=ROW(BY114)-100,+$C114/4,"")</f>
        <v>31250</v>
      </c>
      <c r="BZ114" s="16">
        <f>IF('Sales Projections'!$F$13&gt;=ROW(BZ114)-100,+$C114/4,"")</f>
        <v>31250</v>
      </c>
    </row>
    <row r="115" spans="2:78" s="16" customFormat="1" x14ac:dyDescent="0.25">
      <c r="B115" s="16" t="s">
        <v>607</v>
      </c>
      <c r="C115" s="16">
        <v>125000</v>
      </c>
      <c r="D115" s="16" t="s">
        <v>531</v>
      </c>
      <c r="BJ115" s="16">
        <f t="shared" ref="BJ115:BJ178" si="454">SUM(BK115:BN115)</f>
        <v>125000</v>
      </c>
      <c r="BK115" s="16">
        <f>IF('Sales Projections'!$D$13&gt;=ROW(BK115)-100,+$C115/4,"")</f>
        <v>31250</v>
      </c>
      <c r="BL115" s="16">
        <f>IF('Sales Projections'!$D$13&gt;=ROW(BL115)-100,+$C115/4,"")</f>
        <v>31250</v>
      </c>
      <c r="BM115" s="16">
        <f>IF('Sales Projections'!$D$13&gt;=ROW(BM115)-100,+$C115/4,"")</f>
        <v>31250</v>
      </c>
      <c r="BN115" s="16">
        <f>IF('Sales Projections'!$D$13&gt;=ROW(BN115)-100,+$C115/4,"")</f>
        <v>31250</v>
      </c>
      <c r="BP115" s="16">
        <f t="shared" si="446"/>
        <v>125000</v>
      </c>
      <c r="BQ115" s="16">
        <f>IF('Sales Projections'!$E$13&gt;=ROW(BQ115)-100,+$C115/4,"")</f>
        <v>31250</v>
      </c>
      <c r="BR115" s="16">
        <f>IF('Sales Projections'!$E$13&gt;=ROW(BR115)-100,+$C115/4,"")</f>
        <v>31250</v>
      </c>
      <c r="BS115" s="16">
        <f>IF('Sales Projections'!$E$13&gt;=ROW(BS115)-100,+$C115/4,"")</f>
        <v>31250</v>
      </c>
      <c r="BT115" s="16">
        <f>IF('Sales Projections'!$E$13&gt;=ROW(BT115)-100,+$C115/4,"")</f>
        <v>31250</v>
      </c>
      <c r="BV115" s="16">
        <f t="shared" si="448"/>
        <v>125000</v>
      </c>
      <c r="BW115" s="16">
        <f>IF('Sales Projections'!$F$13&gt;=ROW(BW115)-100,+$C115/4,"")</f>
        <v>31250</v>
      </c>
      <c r="BX115" s="16">
        <f>IF('Sales Projections'!$F$13&gt;=ROW(BX115)-100,+$C115/4,"")</f>
        <v>31250</v>
      </c>
      <c r="BY115" s="16">
        <f>IF('Sales Projections'!$F$13&gt;=ROW(BY115)-100,+$C115/4,"")</f>
        <v>31250</v>
      </c>
      <c r="BZ115" s="16">
        <f>IF('Sales Projections'!$F$13&gt;=ROW(BZ115)-100,+$C115/4,"")</f>
        <v>31250</v>
      </c>
    </row>
    <row r="116" spans="2:78" s="16" customFormat="1" x14ac:dyDescent="0.25">
      <c r="B116" s="16" t="s">
        <v>612</v>
      </c>
      <c r="C116" s="16">
        <v>125000</v>
      </c>
      <c r="D116" s="16" t="s">
        <v>531</v>
      </c>
      <c r="BJ116" s="16">
        <f t="shared" si="454"/>
        <v>125000</v>
      </c>
      <c r="BK116" s="16">
        <f>IF('Sales Projections'!$D$13&gt;=ROW(BK116)-100,+$C116/4,"")</f>
        <v>31250</v>
      </c>
      <c r="BL116" s="16">
        <f>IF('Sales Projections'!$D$13&gt;=ROW(BL116)-100,+$C116/4,"")</f>
        <v>31250</v>
      </c>
      <c r="BM116" s="16">
        <f>IF('Sales Projections'!$D$13&gt;=ROW(BM116)-100,+$C116/4,"")</f>
        <v>31250</v>
      </c>
      <c r="BN116" s="16">
        <f>IF('Sales Projections'!$D$13&gt;=ROW(BN116)-100,+$C116/4,"")</f>
        <v>31250</v>
      </c>
      <c r="BP116" s="16">
        <f t="shared" si="446"/>
        <v>125000</v>
      </c>
      <c r="BQ116" s="16">
        <f>IF('Sales Projections'!$E$13&gt;=ROW(BQ116)-100,+$C116/4,"")</f>
        <v>31250</v>
      </c>
      <c r="BR116" s="16">
        <f>IF('Sales Projections'!$E$13&gt;=ROW(BR116)-100,+$C116/4,"")</f>
        <v>31250</v>
      </c>
      <c r="BS116" s="16">
        <f>IF('Sales Projections'!$E$13&gt;=ROW(BS116)-100,+$C116/4,"")</f>
        <v>31250</v>
      </c>
      <c r="BT116" s="16">
        <f>IF('Sales Projections'!$E$13&gt;=ROW(BT116)-100,+$C116/4,"")</f>
        <v>31250</v>
      </c>
      <c r="BV116" s="16">
        <f t="shared" si="448"/>
        <v>125000</v>
      </c>
      <c r="BW116" s="16">
        <f>IF('Sales Projections'!$F$13&gt;=ROW(BW116)-100,+$C116/4,"")</f>
        <v>31250</v>
      </c>
      <c r="BX116" s="16">
        <f>IF('Sales Projections'!$F$13&gt;=ROW(BX116)-100,+$C116/4,"")</f>
        <v>31250</v>
      </c>
      <c r="BY116" s="16">
        <f>IF('Sales Projections'!$F$13&gt;=ROW(BY116)-100,+$C116/4,"")</f>
        <v>31250</v>
      </c>
      <c r="BZ116" s="16">
        <f>IF('Sales Projections'!$F$13&gt;=ROW(BZ116)-100,+$C116/4,"")</f>
        <v>31250</v>
      </c>
    </row>
    <row r="117" spans="2:78" s="16" customFormat="1" x14ac:dyDescent="0.25">
      <c r="B117" s="16" t="s">
        <v>613</v>
      </c>
      <c r="C117" s="16">
        <v>125000</v>
      </c>
      <c r="D117" s="16" t="s">
        <v>531</v>
      </c>
      <c r="BJ117" s="16">
        <f t="shared" si="454"/>
        <v>125000</v>
      </c>
      <c r="BK117" s="16">
        <f>IF('Sales Projections'!$D$13&gt;=ROW(BK117)-100,+$C117/4,"")</f>
        <v>31250</v>
      </c>
      <c r="BL117" s="16">
        <f>IF('Sales Projections'!$D$13&gt;=ROW(BL117)-100,+$C117/4,"")</f>
        <v>31250</v>
      </c>
      <c r="BM117" s="16">
        <f>IF('Sales Projections'!$D$13&gt;=ROW(BM117)-100,+$C117/4,"")</f>
        <v>31250</v>
      </c>
      <c r="BN117" s="16">
        <f>IF('Sales Projections'!$D$13&gt;=ROW(BN117)-100,+$C117/4,"")</f>
        <v>31250</v>
      </c>
      <c r="BP117" s="16">
        <f t="shared" si="446"/>
        <v>125000</v>
      </c>
      <c r="BQ117" s="16">
        <f>IF('Sales Projections'!$E$13&gt;=ROW(BQ117)-100,+$C117/4,"")</f>
        <v>31250</v>
      </c>
      <c r="BR117" s="16">
        <f>IF('Sales Projections'!$E$13&gt;=ROW(BR117)-100,+$C117/4,"")</f>
        <v>31250</v>
      </c>
      <c r="BS117" s="16">
        <f>IF('Sales Projections'!$E$13&gt;=ROW(BS117)-100,+$C117/4,"")</f>
        <v>31250</v>
      </c>
      <c r="BT117" s="16">
        <f>IF('Sales Projections'!$E$13&gt;=ROW(BT117)-100,+$C117/4,"")</f>
        <v>31250</v>
      </c>
      <c r="BV117" s="16">
        <f t="shared" si="448"/>
        <v>125000</v>
      </c>
      <c r="BW117" s="16">
        <f>IF('Sales Projections'!$F$13&gt;=ROW(BW117)-100,+$C117/4,"")</f>
        <v>31250</v>
      </c>
      <c r="BX117" s="16">
        <f>IF('Sales Projections'!$F$13&gt;=ROW(BX117)-100,+$C117/4,"")</f>
        <v>31250</v>
      </c>
      <c r="BY117" s="16">
        <f>IF('Sales Projections'!$F$13&gt;=ROW(BY117)-100,+$C117/4,"")</f>
        <v>31250</v>
      </c>
      <c r="BZ117" s="16">
        <f>IF('Sales Projections'!$F$13&gt;=ROW(BZ117)-100,+$C117/4,"")</f>
        <v>31250</v>
      </c>
    </row>
    <row r="118" spans="2:78" s="16" customFormat="1" x14ac:dyDescent="0.25">
      <c r="B118" s="16" t="s">
        <v>614</v>
      </c>
      <c r="C118" s="16">
        <v>125000</v>
      </c>
      <c r="D118" s="16" t="s">
        <v>531</v>
      </c>
      <c r="BJ118" s="16">
        <f t="shared" si="454"/>
        <v>125000</v>
      </c>
      <c r="BK118" s="16">
        <f>IF('Sales Projections'!$D$13&gt;=ROW(BK118)-100,+$C118/4,"")</f>
        <v>31250</v>
      </c>
      <c r="BL118" s="16">
        <f>IF('Sales Projections'!$D$13&gt;=ROW(BL118)-100,+$C118/4,"")</f>
        <v>31250</v>
      </c>
      <c r="BM118" s="16">
        <f>IF('Sales Projections'!$D$13&gt;=ROW(BM118)-100,+$C118/4,"")</f>
        <v>31250</v>
      </c>
      <c r="BN118" s="16">
        <f>IF('Sales Projections'!$D$13&gt;=ROW(BN118)-100,+$C118/4,"")</f>
        <v>31250</v>
      </c>
      <c r="BP118" s="16">
        <f t="shared" si="446"/>
        <v>125000</v>
      </c>
      <c r="BQ118" s="16">
        <f>IF('Sales Projections'!$E$13&gt;=ROW(BQ118)-100,+$C118/4,"")</f>
        <v>31250</v>
      </c>
      <c r="BR118" s="16">
        <f>IF('Sales Projections'!$E$13&gt;=ROW(BR118)-100,+$C118/4,"")</f>
        <v>31250</v>
      </c>
      <c r="BS118" s="16">
        <f>IF('Sales Projections'!$E$13&gt;=ROW(BS118)-100,+$C118/4,"")</f>
        <v>31250</v>
      </c>
      <c r="BT118" s="16">
        <f>IF('Sales Projections'!$E$13&gt;=ROW(BT118)-100,+$C118/4,"")</f>
        <v>31250</v>
      </c>
      <c r="BV118" s="16">
        <f t="shared" si="448"/>
        <v>125000</v>
      </c>
      <c r="BW118" s="16">
        <f>IF('Sales Projections'!$F$13&gt;=ROW(BW118)-100,+$C118/4,"")</f>
        <v>31250</v>
      </c>
      <c r="BX118" s="16">
        <f>IF('Sales Projections'!$F$13&gt;=ROW(BX118)-100,+$C118/4,"")</f>
        <v>31250</v>
      </c>
      <c r="BY118" s="16">
        <f>IF('Sales Projections'!$F$13&gt;=ROW(BY118)-100,+$C118/4,"")</f>
        <v>31250</v>
      </c>
      <c r="BZ118" s="16">
        <f>IF('Sales Projections'!$F$13&gt;=ROW(BZ118)-100,+$C118/4,"")</f>
        <v>31250</v>
      </c>
    </row>
    <row r="119" spans="2:78" s="265" customFormat="1" x14ac:dyDescent="0.25">
      <c r="B119" s="16" t="s">
        <v>695</v>
      </c>
      <c r="C119" s="16">
        <v>125000</v>
      </c>
      <c r="D119" s="16" t="s">
        <v>531</v>
      </c>
      <c r="BJ119" s="16">
        <f t="shared" si="454"/>
        <v>125000</v>
      </c>
      <c r="BK119" s="16">
        <f>IF('Sales Projections'!$D$13&gt;=ROW(BK119)-100,+$C119/4,"")</f>
        <v>31250</v>
      </c>
      <c r="BL119" s="16">
        <f>IF('Sales Projections'!$D$13&gt;=ROW(BL119)-100,+$C119/4,"")</f>
        <v>31250</v>
      </c>
      <c r="BM119" s="16">
        <f>IF('Sales Projections'!$D$13&gt;=ROW(BM119)-100,+$C119/4,"")</f>
        <v>31250</v>
      </c>
      <c r="BN119" s="16">
        <f>IF('Sales Projections'!$D$13&gt;=ROW(BN119)-100,+$C119/4,"")</f>
        <v>31250</v>
      </c>
      <c r="BP119" s="16">
        <f t="shared" si="446"/>
        <v>125000</v>
      </c>
      <c r="BQ119" s="16">
        <f>IF('Sales Projections'!$E$13&gt;=ROW(BQ119)-100,+$C119/4,"")</f>
        <v>31250</v>
      </c>
      <c r="BR119" s="16">
        <f>IF('Sales Projections'!$E$13&gt;=ROW(BR119)-100,+$C119/4,"")</f>
        <v>31250</v>
      </c>
      <c r="BS119" s="16">
        <f>IF('Sales Projections'!$E$13&gt;=ROW(BS119)-100,+$C119/4,"")</f>
        <v>31250</v>
      </c>
      <c r="BT119" s="16">
        <f>IF('Sales Projections'!$E$13&gt;=ROW(BT119)-100,+$C119/4,"")</f>
        <v>31250</v>
      </c>
      <c r="BV119" s="16">
        <f t="shared" si="448"/>
        <v>125000</v>
      </c>
      <c r="BW119" s="16">
        <f>IF('Sales Projections'!$F$13&gt;=ROW(BW119)-100,+$C119/4,"")</f>
        <v>31250</v>
      </c>
      <c r="BX119" s="16">
        <f>IF('Sales Projections'!$F$13&gt;=ROW(BX119)-100,+$C119/4,"")</f>
        <v>31250</v>
      </c>
      <c r="BY119" s="16">
        <f>IF('Sales Projections'!$F$13&gt;=ROW(BY119)-100,+$C119/4,"")</f>
        <v>31250</v>
      </c>
      <c r="BZ119" s="16">
        <f>IF('Sales Projections'!$F$13&gt;=ROW(BZ119)-100,+$C119/4,"")</f>
        <v>31250</v>
      </c>
    </row>
    <row r="120" spans="2:78" s="265" customFormat="1" x14ac:dyDescent="0.25">
      <c r="B120" s="16" t="s">
        <v>696</v>
      </c>
      <c r="C120" s="16">
        <v>125000</v>
      </c>
      <c r="D120" s="16" t="s">
        <v>531</v>
      </c>
      <c r="BJ120" s="16">
        <f t="shared" si="454"/>
        <v>125000</v>
      </c>
      <c r="BK120" s="16">
        <f>IF('Sales Projections'!$D$13&gt;=ROW(BK120)-100,+$C120/4,"")</f>
        <v>31250</v>
      </c>
      <c r="BL120" s="16">
        <f>IF('Sales Projections'!$D$13&gt;=ROW(BL120)-100,+$C120/4,"")</f>
        <v>31250</v>
      </c>
      <c r="BM120" s="16">
        <f>IF('Sales Projections'!$D$13&gt;=ROW(BM120)-100,+$C120/4,"")</f>
        <v>31250</v>
      </c>
      <c r="BN120" s="16">
        <f>IF('Sales Projections'!$D$13&gt;=ROW(BN120)-100,+$C120/4,"")</f>
        <v>31250</v>
      </c>
      <c r="BP120" s="16">
        <f t="shared" si="446"/>
        <v>125000</v>
      </c>
      <c r="BQ120" s="16">
        <f>IF('Sales Projections'!$E$13&gt;=ROW(BQ120)-100,+$C120/4,"")</f>
        <v>31250</v>
      </c>
      <c r="BR120" s="16">
        <f>IF('Sales Projections'!$E$13&gt;=ROW(BR120)-100,+$C120/4,"")</f>
        <v>31250</v>
      </c>
      <c r="BS120" s="16">
        <f>IF('Sales Projections'!$E$13&gt;=ROW(BS120)-100,+$C120/4,"")</f>
        <v>31250</v>
      </c>
      <c r="BT120" s="16">
        <f>IF('Sales Projections'!$E$13&gt;=ROW(BT120)-100,+$C120/4,"")</f>
        <v>31250</v>
      </c>
      <c r="BV120" s="16">
        <f t="shared" si="448"/>
        <v>125000</v>
      </c>
      <c r="BW120" s="16">
        <f>IF('Sales Projections'!$F$13&gt;=ROW(BW120)-100,+$C120/4,"")</f>
        <v>31250</v>
      </c>
      <c r="BX120" s="16">
        <f>IF('Sales Projections'!$F$13&gt;=ROW(BX120)-100,+$C120/4,"")</f>
        <v>31250</v>
      </c>
      <c r="BY120" s="16">
        <f>IF('Sales Projections'!$F$13&gt;=ROW(BY120)-100,+$C120/4,"")</f>
        <v>31250</v>
      </c>
      <c r="BZ120" s="16">
        <f>IF('Sales Projections'!$F$13&gt;=ROW(BZ120)-100,+$C120/4,"")</f>
        <v>31250</v>
      </c>
    </row>
    <row r="121" spans="2:78" s="265" customFormat="1" x14ac:dyDescent="0.25">
      <c r="B121" s="16" t="s">
        <v>697</v>
      </c>
      <c r="C121" s="16">
        <v>125000</v>
      </c>
      <c r="D121" s="16" t="s">
        <v>531</v>
      </c>
      <c r="BJ121" s="16">
        <f t="shared" si="454"/>
        <v>125000</v>
      </c>
      <c r="BK121" s="16">
        <f>IF('Sales Projections'!$D$13&gt;=ROW(BK121)-100,+$C121/4,"")</f>
        <v>31250</v>
      </c>
      <c r="BL121" s="16">
        <f>IF('Sales Projections'!$D$13&gt;=ROW(BL121)-100,+$C121/4,"")</f>
        <v>31250</v>
      </c>
      <c r="BM121" s="16">
        <f>IF('Sales Projections'!$D$13&gt;=ROW(BM121)-100,+$C121/4,"")</f>
        <v>31250</v>
      </c>
      <c r="BN121" s="16">
        <f>IF('Sales Projections'!$D$13&gt;=ROW(BN121)-100,+$C121/4,"")</f>
        <v>31250</v>
      </c>
      <c r="BP121" s="16">
        <f t="shared" si="446"/>
        <v>125000</v>
      </c>
      <c r="BQ121" s="16">
        <f>IF('Sales Projections'!$E$13&gt;=ROW(BQ121)-100,+$C121/4,"")</f>
        <v>31250</v>
      </c>
      <c r="BR121" s="16">
        <f>IF('Sales Projections'!$E$13&gt;=ROW(BR121)-100,+$C121/4,"")</f>
        <v>31250</v>
      </c>
      <c r="BS121" s="16">
        <f>IF('Sales Projections'!$E$13&gt;=ROW(BS121)-100,+$C121/4,"")</f>
        <v>31250</v>
      </c>
      <c r="BT121" s="16">
        <f>IF('Sales Projections'!$E$13&gt;=ROW(BT121)-100,+$C121/4,"")</f>
        <v>31250</v>
      </c>
      <c r="BV121" s="16">
        <f t="shared" si="448"/>
        <v>125000</v>
      </c>
      <c r="BW121" s="16">
        <f>IF('Sales Projections'!$F$13&gt;=ROW(BW121)-100,+$C121/4,"")</f>
        <v>31250</v>
      </c>
      <c r="BX121" s="16">
        <f>IF('Sales Projections'!$F$13&gt;=ROW(BX121)-100,+$C121/4,"")</f>
        <v>31250</v>
      </c>
      <c r="BY121" s="16">
        <f>IF('Sales Projections'!$F$13&gt;=ROW(BY121)-100,+$C121/4,"")</f>
        <v>31250</v>
      </c>
      <c r="BZ121" s="16">
        <f>IF('Sales Projections'!$F$13&gt;=ROW(BZ121)-100,+$C121/4,"")</f>
        <v>31250</v>
      </c>
    </row>
    <row r="122" spans="2:78" s="265" customFormat="1" x14ac:dyDescent="0.25">
      <c r="B122" s="16" t="s">
        <v>698</v>
      </c>
      <c r="C122" s="16">
        <v>125000</v>
      </c>
      <c r="D122" s="16" t="s">
        <v>531</v>
      </c>
      <c r="BJ122" s="16">
        <f t="shared" si="454"/>
        <v>0</v>
      </c>
      <c r="BK122" s="16" t="str">
        <f>IF('Sales Projections'!$D$13&gt;=ROW(BK122)-100,+$C122/4,"")</f>
        <v/>
      </c>
      <c r="BL122" s="16" t="str">
        <f>IF('Sales Projections'!$D$13&gt;=ROW(BL122)-100,+$C122/4,"")</f>
        <v/>
      </c>
      <c r="BM122" s="16" t="str">
        <f>IF('Sales Projections'!$D$13&gt;=ROW(BM122)-100,+$C122/4,"")</f>
        <v/>
      </c>
      <c r="BN122" s="16" t="str">
        <f>IF('Sales Projections'!$D$13&gt;=ROW(BN122)-100,+$C122/4,"")</f>
        <v/>
      </c>
      <c r="BP122" s="16">
        <f t="shared" si="446"/>
        <v>125000</v>
      </c>
      <c r="BQ122" s="16">
        <f>IF('Sales Projections'!$E$13&gt;=ROW(BQ122)-100,+$C122/4,"")</f>
        <v>31250</v>
      </c>
      <c r="BR122" s="16">
        <f>IF('Sales Projections'!$E$13&gt;=ROW(BR122)-100,+$C122/4,"")</f>
        <v>31250</v>
      </c>
      <c r="BS122" s="16">
        <f>IF('Sales Projections'!$E$13&gt;=ROW(BS122)-100,+$C122/4,"")</f>
        <v>31250</v>
      </c>
      <c r="BT122" s="16">
        <f>IF('Sales Projections'!$E$13&gt;=ROW(BT122)-100,+$C122/4,"")</f>
        <v>31250</v>
      </c>
      <c r="BV122" s="16">
        <f t="shared" si="448"/>
        <v>125000</v>
      </c>
      <c r="BW122" s="16">
        <f>IF('Sales Projections'!$F$13&gt;=ROW(BW122)-100,+$C122/4,"")</f>
        <v>31250</v>
      </c>
      <c r="BX122" s="16">
        <f>IF('Sales Projections'!$F$13&gt;=ROW(BX122)-100,+$C122/4,"")</f>
        <v>31250</v>
      </c>
      <c r="BY122" s="16">
        <f>IF('Sales Projections'!$F$13&gt;=ROW(BY122)-100,+$C122/4,"")</f>
        <v>31250</v>
      </c>
      <c r="BZ122" s="16">
        <f>IF('Sales Projections'!$F$13&gt;=ROW(BZ122)-100,+$C122/4,"")</f>
        <v>31250</v>
      </c>
    </row>
    <row r="123" spans="2:78" s="265" customFormat="1" x14ac:dyDescent="0.25">
      <c r="B123" s="16" t="s">
        <v>699</v>
      </c>
      <c r="C123" s="16">
        <v>125000</v>
      </c>
      <c r="D123" s="16" t="s">
        <v>531</v>
      </c>
      <c r="BJ123" s="16">
        <f t="shared" si="454"/>
        <v>0</v>
      </c>
      <c r="BK123" s="16" t="str">
        <f>IF('Sales Projections'!$D$13&gt;=ROW(BK123)-100,+$C123/4,"")</f>
        <v/>
      </c>
      <c r="BL123" s="16" t="str">
        <f>IF('Sales Projections'!$D$13&gt;=ROW(BL123)-100,+$C123/4,"")</f>
        <v/>
      </c>
      <c r="BM123" s="16" t="str">
        <f>IF('Sales Projections'!$D$13&gt;=ROW(BM123)-100,+$C123/4,"")</f>
        <v/>
      </c>
      <c r="BN123" s="16" t="str">
        <f>IF('Sales Projections'!$D$13&gt;=ROW(BN123)-100,+$C123/4,"")</f>
        <v/>
      </c>
      <c r="BP123" s="16">
        <f t="shared" si="446"/>
        <v>125000</v>
      </c>
      <c r="BQ123" s="16">
        <f>IF('Sales Projections'!$E$13&gt;=ROW(BQ123)-100,+$C123/4,"")</f>
        <v>31250</v>
      </c>
      <c r="BR123" s="16">
        <f>IF('Sales Projections'!$E$13&gt;=ROW(BR123)-100,+$C123/4,"")</f>
        <v>31250</v>
      </c>
      <c r="BS123" s="16">
        <f>IF('Sales Projections'!$E$13&gt;=ROW(BS123)-100,+$C123/4,"")</f>
        <v>31250</v>
      </c>
      <c r="BT123" s="16">
        <f>IF('Sales Projections'!$E$13&gt;=ROW(BT123)-100,+$C123/4,"")</f>
        <v>31250</v>
      </c>
      <c r="BV123" s="16">
        <f t="shared" si="448"/>
        <v>125000</v>
      </c>
      <c r="BW123" s="16">
        <f>IF('Sales Projections'!$F$13&gt;=ROW(BW123)-100,+$C123/4,"")</f>
        <v>31250</v>
      </c>
      <c r="BX123" s="16">
        <f>IF('Sales Projections'!$F$13&gt;=ROW(BX123)-100,+$C123/4,"")</f>
        <v>31250</v>
      </c>
      <c r="BY123" s="16">
        <f>IF('Sales Projections'!$F$13&gt;=ROW(BY123)-100,+$C123/4,"")</f>
        <v>31250</v>
      </c>
      <c r="BZ123" s="16">
        <f>IF('Sales Projections'!$F$13&gt;=ROW(BZ123)-100,+$C123/4,"")</f>
        <v>31250</v>
      </c>
    </row>
    <row r="124" spans="2:78" s="265" customFormat="1" x14ac:dyDescent="0.25">
      <c r="B124" s="16" t="s">
        <v>700</v>
      </c>
      <c r="C124" s="16">
        <v>125000</v>
      </c>
      <c r="D124" s="16" t="s">
        <v>531</v>
      </c>
      <c r="BJ124" s="16">
        <f t="shared" si="454"/>
        <v>0</v>
      </c>
      <c r="BK124" s="16" t="str">
        <f>IF('Sales Projections'!$D$13&gt;=ROW(BK124)-100,+$C124/4,"")</f>
        <v/>
      </c>
      <c r="BL124" s="16" t="str">
        <f>IF('Sales Projections'!$D$13&gt;=ROW(BL124)-100,+$C124/4,"")</f>
        <v/>
      </c>
      <c r="BM124" s="16" t="str">
        <f>IF('Sales Projections'!$D$13&gt;=ROW(BM124)-100,+$C124/4,"")</f>
        <v/>
      </c>
      <c r="BN124" s="16" t="str">
        <f>IF('Sales Projections'!$D$13&gt;=ROW(BN124)-100,+$C124/4,"")</f>
        <v/>
      </c>
      <c r="BP124" s="16">
        <f t="shared" si="446"/>
        <v>125000</v>
      </c>
      <c r="BQ124" s="16">
        <f>IF('Sales Projections'!$E$13&gt;=ROW(BQ124)-100,+$C124/4,"")</f>
        <v>31250</v>
      </c>
      <c r="BR124" s="16">
        <f>IF('Sales Projections'!$E$13&gt;=ROW(BR124)-100,+$C124/4,"")</f>
        <v>31250</v>
      </c>
      <c r="BS124" s="16">
        <f>IF('Sales Projections'!$E$13&gt;=ROW(BS124)-100,+$C124/4,"")</f>
        <v>31250</v>
      </c>
      <c r="BT124" s="16">
        <f>IF('Sales Projections'!$E$13&gt;=ROW(BT124)-100,+$C124/4,"")</f>
        <v>31250</v>
      </c>
      <c r="BV124" s="16">
        <f t="shared" si="448"/>
        <v>125000</v>
      </c>
      <c r="BW124" s="16">
        <f>IF('Sales Projections'!$F$13&gt;=ROW(BW124)-100,+$C124/4,"")</f>
        <v>31250</v>
      </c>
      <c r="BX124" s="16">
        <f>IF('Sales Projections'!$F$13&gt;=ROW(BX124)-100,+$C124/4,"")</f>
        <v>31250</v>
      </c>
      <c r="BY124" s="16">
        <f>IF('Sales Projections'!$F$13&gt;=ROW(BY124)-100,+$C124/4,"")</f>
        <v>31250</v>
      </c>
      <c r="BZ124" s="16">
        <f>IF('Sales Projections'!$F$13&gt;=ROW(BZ124)-100,+$C124/4,"")</f>
        <v>31250</v>
      </c>
    </row>
    <row r="125" spans="2:78" s="265" customFormat="1" x14ac:dyDescent="0.25">
      <c r="B125" s="16" t="s">
        <v>701</v>
      </c>
      <c r="C125" s="16">
        <v>125000</v>
      </c>
      <c r="D125" s="16" t="s">
        <v>531</v>
      </c>
      <c r="BJ125" s="16">
        <f t="shared" si="454"/>
        <v>0</v>
      </c>
      <c r="BK125" s="16" t="str">
        <f>IF('Sales Projections'!$D$13&gt;=ROW(BK125)-100,+$C125/4,"")</f>
        <v/>
      </c>
      <c r="BL125" s="16" t="str">
        <f>IF('Sales Projections'!$D$13&gt;=ROW(BL125)-100,+$C125/4,"")</f>
        <v/>
      </c>
      <c r="BM125" s="16" t="str">
        <f>IF('Sales Projections'!$D$13&gt;=ROW(BM125)-100,+$C125/4,"")</f>
        <v/>
      </c>
      <c r="BN125" s="16" t="str">
        <f>IF('Sales Projections'!$D$13&gt;=ROW(BN125)-100,+$C125/4,"")</f>
        <v/>
      </c>
      <c r="BP125" s="16">
        <f t="shared" si="446"/>
        <v>125000</v>
      </c>
      <c r="BQ125" s="16">
        <f>IF('Sales Projections'!$E$13&gt;=ROW(BQ125)-100,+$C125/4,"")</f>
        <v>31250</v>
      </c>
      <c r="BR125" s="16">
        <f>IF('Sales Projections'!$E$13&gt;=ROW(BR125)-100,+$C125/4,"")</f>
        <v>31250</v>
      </c>
      <c r="BS125" s="16">
        <f>IF('Sales Projections'!$E$13&gt;=ROW(BS125)-100,+$C125/4,"")</f>
        <v>31250</v>
      </c>
      <c r="BT125" s="16">
        <f>IF('Sales Projections'!$E$13&gt;=ROW(BT125)-100,+$C125/4,"")</f>
        <v>31250</v>
      </c>
      <c r="BV125" s="16">
        <f t="shared" si="448"/>
        <v>125000</v>
      </c>
      <c r="BW125" s="16">
        <f>IF('Sales Projections'!$F$13&gt;=ROW(BW125)-100,+$C125/4,"")</f>
        <v>31250</v>
      </c>
      <c r="BX125" s="16">
        <f>IF('Sales Projections'!$F$13&gt;=ROW(BX125)-100,+$C125/4,"")</f>
        <v>31250</v>
      </c>
      <c r="BY125" s="16">
        <f>IF('Sales Projections'!$F$13&gt;=ROW(BY125)-100,+$C125/4,"")</f>
        <v>31250</v>
      </c>
      <c r="BZ125" s="16">
        <f>IF('Sales Projections'!$F$13&gt;=ROW(BZ125)-100,+$C125/4,"")</f>
        <v>31250</v>
      </c>
    </row>
    <row r="126" spans="2:78" s="265" customFormat="1" x14ac:dyDescent="0.25">
      <c r="B126" s="16" t="s">
        <v>702</v>
      </c>
      <c r="C126" s="16">
        <v>125000</v>
      </c>
      <c r="D126" s="16" t="s">
        <v>531</v>
      </c>
      <c r="BJ126" s="16">
        <f t="shared" si="454"/>
        <v>0</v>
      </c>
      <c r="BK126" s="16" t="str">
        <f>IF('Sales Projections'!$D$13&gt;=ROW(BK126)-100,+$C126/4,"")</f>
        <v/>
      </c>
      <c r="BL126" s="16" t="str">
        <f>IF('Sales Projections'!$D$13&gt;=ROW(BL126)-100,+$C126/4,"")</f>
        <v/>
      </c>
      <c r="BM126" s="16" t="str">
        <f>IF('Sales Projections'!$D$13&gt;=ROW(BM126)-100,+$C126/4,"")</f>
        <v/>
      </c>
      <c r="BN126" s="16" t="str">
        <f>IF('Sales Projections'!$D$13&gt;=ROW(BN126)-100,+$C126/4,"")</f>
        <v/>
      </c>
      <c r="BP126" s="16">
        <f t="shared" si="446"/>
        <v>125000</v>
      </c>
      <c r="BQ126" s="16">
        <f>IF('Sales Projections'!$E$13&gt;=ROW(BQ126)-100,+$C126/4,"")</f>
        <v>31250</v>
      </c>
      <c r="BR126" s="16">
        <f>IF('Sales Projections'!$E$13&gt;=ROW(BR126)-100,+$C126/4,"")</f>
        <v>31250</v>
      </c>
      <c r="BS126" s="16">
        <f>IF('Sales Projections'!$E$13&gt;=ROW(BS126)-100,+$C126/4,"")</f>
        <v>31250</v>
      </c>
      <c r="BT126" s="16">
        <f>IF('Sales Projections'!$E$13&gt;=ROW(BT126)-100,+$C126/4,"")</f>
        <v>31250</v>
      </c>
      <c r="BV126" s="16">
        <f t="shared" si="448"/>
        <v>125000</v>
      </c>
      <c r="BW126" s="16">
        <f>IF('Sales Projections'!$F$13&gt;=ROW(BW126)-100,+$C126/4,"")</f>
        <v>31250</v>
      </c>
      <c r="BX126" s="16">
        <f>IF('Sales Projections'!$F$13&gt;=ROW(BX126)-100,+$C126/4,"")</f>
        <v>31250</v>
      </c>
      <c r="BY126" s="16">
        <f>IF('Sales Projections'!$F$13&gt;=ROW(BY126)-100,+$C126/4,"")</f>
        <v>31250</v>
      </c>
      <c r="BZ126" s="16">
        <f>IF('Sales Projections'!$F$13&gt;=ROW(BZ126)-100,+$C126/4,"")</f>
        <v>31250</v>
      </c>
    </row>
    <row r="127" spans="2:78" s="265" customFormat="1" x14ac:dyDescent="0.25">
      <c r="B127" s="16" t="s">
        <v>703</v>
      </c>
      <c r="C127" s="16">
        <v>125000</v>
      </c>
      <c r="D127" s="16" t="s">
        <v>531</v>
      </c>
      <c r="BJ127" s="16">
        <f t="shared" si="454"/>
        <v>0</v>
      </c>
      <c r="BK127" s="16" t="str">
        <f>IF('Sales Projections'!$D$13&gt;=ROW(BK127)-100,+$C127/4,"")</f>
        <v/>
      </c>
      <c r="BL127" s="16" t="str">
        <f>IF('Sales Projections'!$D$13&gt;=ROW(BL127)-100,+$C127/4,"")</f>
        <v/>
      </c>
      <c r="BM127" s="16" t="str">
        <f>IF('Sales Projections'!$D$13&gt;=ROW(BM127)-100,+$C127/4,"")</f>
        <v/>
      </c>
      <c r="BN127" s="16" t="str">
        <f>IF('Sales Projections'!$D$13&gt;=ROW(BN127)-100,+$C127/4,"")</f>
        <v/>
      </c>
      <c r="BP127" s="16">
        <f t="shared" si="446"/>
        <v>125000</v>
      </c>
      <c r="BQ127" s="16">
        <f>IF('Sales Projections'!$E$13&gt;=ROW(BQ127)-100,+$C127/4,"")</f>
        <v>31250</v>
      </c>
      <c r="BR127" s="16">
        <f>IF('Sales Projections'!$E$13&gt;=ROW(BR127)-100,+$C127/4,"")</f>
        <v>31250</v>
      </c>
      <c r="BS127" s="16">
        <f>IF('Sales Projections'!$E$13&gt;=ROW(BS127)-100,+$C127/4,"")</f>
        <v>31250</v>
      </c>
      <c r="BT127" s="16">
        <f>IF('Sales Projections'!$E$13&gt;=ROW(BT127)-100,+$C127/4,"")</f>
        <v>31250</v>
      </c>
      <c r="BV127" s="16">
        <f t="shared" si="448"/>
        <v>125000</v>
      </c>
      <c r="BW127" s="16">
        <f>IF('Sales Projections'!$F$13&gt;=ROW(BW127)-100,+$C127/4,"")</f>
        <v>31250</v>
      </c>
      <c r="BX127" s="16">
        <f>IF('Sales Projections'!$F$13&gt;=ROW(BX127)-100,+$C127/4,"")</f>
        <v>31250</v>
      </c>
      <c r="BY127" s="16">
        <f>IF('Sales Projections'!$F$13&gt;=ROW(BY127)-100,+$C127/4,"")</f>
        <v>31250</v>
      </c>
      <c r="BZ127" s="16">
        <f>IF('Sales Projections'!$F$13&gt;=ROW(BZ127)-100,+$C127/4,"")</f>
        <v>31250</v>
      </c>
    </row>
    <row r="128" spans="2:78" s="265" customFormat="1" x14ac:dyDescent="0.25">
      <c r="B128" s="16" t="s">
        <v>704</v>
      </c>
      <c r="C128" s="16">
        <v>125000</v>
      </c>
      <c r="D128" s="16" t="s">
        <v>531</v>
      </c>
      <c r="BJ128" s="16">
        <f t="shared" si="454"/>
        <v>0</v>
      </c>
      <c r="BK128" s="16" t="str">
        <f>IF('Sales Projections'!$D$13&gt;=ROW(BK128)-100,+$C128/4,"")</f>
        <v/>
      </c>
      <c r="BL128" s="16" t="str">
        <f>IF('Sales Projections'!$D$13&gt;=ROW(BL128)-100,+$C128/4,"")</f>
        <v/>
      </c>
      <c r="BM128" s="16" t="str">
        <f>IF('Sales Projections'!$D$13&gt;=ROW(BM128)-100,+$C128/4,"")</f>
        <v/>
      </c>
      <c r="BN128" s="16" t="str">
        <f>IF('Sales Projections'!$D$13&gt;=ROW(BN128)-100,+$C128/4,"")</f>
        <v/>
      </c>
      <c r="BP128" s="16">
        <f t="shared" si="446"/>
        <v>125000</v>
      </c>
      <c r="BQ128" s="16">
        <f>IF('Sales Projections'!$E$13&gt;=ROW(BQ128)-100,+$C128/4,"")</f>
        <v>31250</v>
      </c>
      <c r="BR128" s="16">
        <f>IF('Sales Projections'!$E$13&gt;=ROW(BR128)-100,+$C128/4,"")</f>
        <v>31250</v>
      </c>
      <c r="BS128" s="16">
        <f>IF('Sales Projections'!$E$13&gt;=ROW(BS128)-100,+$C128/4,"")</f>
        <v>31250</v>
      </c>
      <c r="BT128" s="16">
        <f>IF('Sales Projections'!$E$13&gt;=ROW(BT128)-100,+$C128/4,"")</f>
        <v>31250</v>
      </c>
      <c r="BV128" s="16">
        <f t="shared" si="448"/>
        <v>125000</v>
      </c>
      <c r="BW128" s="16">
        <f>IF('Sales Projections'!$F$13&gt;=ROW(BW128)-100,+$C128/4,"")</f>
        <v>31250</v>
      </c>
      <c r="BX128" s="16">
        <f>IF('Sales Projections'!$F$13&gt;=ROW(BX128)-100,+$C128/4,"")</f>
        <v>31250</v>
      </c>
      <c r="BY128" s="16">
        <f>IF('Sales Projections'!$F$13&gt;=ROW(BY128)-100,+$C128/4,"")</f>
        <v>31250</v>
      </c>
      <c r="BZ128" s="16">
        <f>IF('Sales Projections'!$F$13&gt;=ROW(BZ128)-100,+$C128/4,"")</f>
        <v>31250</v>
      </c>
    </row>
    <row r="129" spans="2:78" s="265" customFormat="1" x14ac:dyDescent="0.25">
      <c r="B129" s="16" t="s">
        <v>705</v>
      </c>
      <c r="C129" s="16">
        <v>125000</v>
      </c>
      <c r="D129" s="16" t="s">
        <v>531</v>
      </c>
      <c r="BJ129" s="16">
        <f t="shared" si="454"/>
        <v>0</v>
      </c>
      <c r="BK129" s="16" t="str">
        <f>IF('Sales Projections'!$D$13&gt;=ROW(BK129)-100,+$C129/4,"")</f>
        <v/>
      </c>
      <c r="BL129" s="16" t="str">
        <f>IF('Sales Projections'!$D$13&gt;=ROW(BL129)-100,+$C129/4,"")</f>
        <v/>
      </c>
      <c r="BM129" s="16" t="str">
        <f>IF('Sales Projections'!$D$13&gt;=ROW(BM129)-100,+$C129/4,"")</f>
        <v/>
      </c>
      <c r="BN129" s="16" t="str">
        <f>IF('Sales Projections'!$D$13&gt;=ROW(BN129)-100,+$C129/4,"")</f>
        <v/>
      </c>
      <c r="BP129" s="16">
        <f t="shared" si="446"/>
        <v>125000</v>
      </c>
      <c r="BQ129" s="16">
        <f>IF('Sales Projections'!$E$13&gt;=ROW(BQ129)-100,+$C129/4,"")</f>
        <v>31250</v>
      </c>
      <c r="BR129" s="16">
        <f>IF('Sales Projections'!$E$13&gt;=ROW(BR129)-100,+$C129/4,"")</f>
        <v>31250</v>
      </c>
      <c r="BS129" s="16">
        <f>IF('Sales Projections'!$E$13&gt;=ROW(BS129)-100,+$C129/4,"")</f>
        <v>31250</v>
      </c>
      <c r="BT129" s="16">
        <f>IF('Sales Projections'!$E$13&gt;=ROW(BT129)-100,+$C129/4,"")</f>
        <v>31250</v>
      </c>
      <c r="BV129" s="16">
        <f t="shared" si="448"/>
        <v>125000</v>
      </c>
      <c r="BW129" s="16">
        <f>IF('Sales Projections'!$F$13&gt;=ROW(BW129)-100,+$C129/4,"")</f>
        <v>31250</v>
      </c>
      <c r="BX129" s="16">
        <f>IF('Sales Projections'!$F$13&gt;=ROW(BX129)-100,+$C129/4,"")</f>
        <v>31250</v>
      </c>
      <c r="BY129" s="16">
        <f>IF('Sales Projections'!$F$13&gt;=ROW(BY129)-100,+$C129/4,"")</f>
        <v>31250</v>
      </c>
      <c r="BZ129" s="16">
        <f>IF('Sales Projections'!$F$13&gt;=ROW(BZ129)-100,+$C129/4,"")</f>
        <v>31250</v>
      </c>
    </row>
    <row r="130" spans="2:78" s="265" customFormat="1" x14ac:dyDescent="0.25">
      <c r="B130" s="16" t="s">
        <v>706</v>
      </c>
      <c r="C130" s="16">
        <v>125000</v>
      </c>
      <c r="D130" s="16" t="s">
        <v>531</v>
      </c>
      <c r="BJ130" s="16">
        <f t="shared" si="454"/>
        <v>0</v>
      </c>
      <c r="BK130" s="16" t="str">
        <f>IF('Sales Projections'!$D$13&gt;=ROW(BK130)-100,+$C130/4,"")</f>
        <v/>
      </c>
      <c r="BL130" s="16" t="str">
        <f>IF('Sales Projections'!$D$13&gt;=ROW(BL130)-100,+$C130/4,"")</f>
        <v/>
      </c>
      <c r="BM130" s="16" t="str">
        <f>IF('Sales Projections'!$D$13&gt;=ROW(BM130)-100,+$C130/4,"")</f>
        <v/>
      </c>
      <c r="BN130" s="16" t="str">
        <f>IF('Sales Projections'!$D$13&gt;=ROW(BN130)-100,+$C130/4,"")</f>
        <v/>
      </c>
      <c r="BP130" s="16">
        <f t="shared" si="446"/>
        <v>125000</v>
      </c>
      <c r="BQ130" s="16">
        <f>IF('Sales Projections'!$E$13&gt;=ROW(BQ130)-100,+$C130/4,"")</f>
        <v>31250</v>
      </c>
      <c r="BR130" s="16">
        <f>IF('Sales Projections'!$E$13&gt;=ROW(BR130)-100,+$C130/4,"")</f>
        <v>31250</v>
      </c>
      <c r="BS130" s="16">
        <f>IF('Sales Projections'!$E$13&gt;=ROW(BS130)-100,+$C130/4,"")</f>
        <v>31250</v>
      </c>
      <c r="BT130" s="16">
        <f>IF('Sales Projections'!$E$13&gt;=ROW(BT130)-100,+$C130/4,"")</f>
        <v>31250</v>
      </c>
      <c r="BV130" s="16">
        <f t="shared" si="448"/>
        <v>125000</v>
      </c>
      <c r="BW130" s="16">
        <f>IF('Sales Projections'!$F$13&gt;=ROW(BW130)-100,+$C130/4,"")</f>
        <v>31250</v>
      </c>
      <c r="BX130" s="16">
        <f>IF('Sales Projections'!$F$13&gt;=ROW(BX130)-100,+$C130/4,"")</f>
        <v>31250</v>
      </c>
      <c r="BY130" s="16">
        <f>IF('Sales Projections'!$F$13&gt;=ROW(BY130)-100,+$C130/4,"")</f>
        <v>31250</v>
      </c>
      <c r="BZ130" s="16">
        <f>IF('Sales Projections'!$F$13&gt;=ROW(BZ130)-100,+$C130/4,"")</f>
        <v>31250</v>
      </c>
    </row>
    <row r="131" spans="2:78" s="265" customFormat="1" x14ac:dyDescent="0.25">
      <c r="B131" s="16" t="s">
        <v>707</v>
      </c>
      <c r="C131" s="16">
        <v>125000</v>
      </c>
      <c r="D131" s="16" t="s">
        <v>531</v>
      </c>
      <c r="BJ131" s="16">
        <f t="shared" si="454"/>
        <v>0</v>
      </c>
      <c r="BK131" s="16" t="str">
        <f>IF('Sales Projections'!$D$13&gt;=ROW(BK131)-100,+$C131/4,"")</f>
        <v/>
      </c>
      <c r="BL131" s="16" t="str">
        <f>IF('Sales Projections'!$D$13&gt;=ROW(BL131)-100,+$C131/4,"")</f>
        <v/>
      </c>
      <c r="BM131" s="16" t="str">
        <f>IF('Sales Projections'!$D$13&gt;=ROW(BM131)-100,+$C131/4,"")</f>
        <v/>
      </c>
      <c r="BN131" s="16" t="str">
        <f>IF('Sales Projections'!$D$13&gt;=ROW(BN131)-100,+$C131/4,"")</f>
        <v/>
      </c>
      <c r="BP131" s="16">
        <f t="shared" si="446"/>
        <v>125000</v>
      </c>
      <c r="BQ131" s="16">
        <f>IF('Sales Projections'!$E$13&gt;=ROW(BQ131)-100,+$C131/4,"")</f>
        <v>31250</v>
      </c>
      <c r="BR131" s="16">
        <f>IF('Sales Projections'!$E$13&gt;=ROW(BR131)-100,+$C131/4,"")</f>
        <v>31250</v>
      </c>
      <c r="BS131" s="16">
        <f>IF('Sales Projections'!$E$13&gt;=ROW(BS131)-100,+$C131/4,"")</f>
        <v>31250</v>
      </c>
      <c r="BT131" s="16">
        <f>IF('Sales Projections'!$E$13&gt;=ROW(BT131)-100,+$C131/4,"")</f>
        <v>31250</v>
      </c>
      <c r="BV131" s="16">
        <f t="shared" si="448"/>
        <v>125000</v>
      </c>
      <c r="BW131" s="16">
        <f>IF('Sales Projections'!$F$13&gt;=ROW(BW131)-100,+$C131/4,"")</f>
        <v>31250</v>
      </c>
      <c r="BX131" s="16">
        <f>IF('Sales Projections'!$F$13&gt;=ROW(BX131)-100,+$C131/4,"")</f>
        <v>31250</v>
      </c>
      <c r="BY131" s="16">
        <f>IF('Sales Projections'!$F$13&gt;=ROW(BY131)-100,+$C131/4,"")</f>
        <v>31250</v>
      </c>
      <c r="BZ131" s="16">
        <f>IF('Sales Projections'!$F$13&gt;=ROW(BZ131)-100,+$C131/4,"")</f>
        <v>31250</v>
      </c>
    </row>
    <row r="132" spans="2:78" s="265" customFormat="1" x14ac:dyDescent="0.25">
      <c r="B132" s="16" t="s">
        <v>708</v>
      </c>
      <c r="C132" s="16">
        <v>125000</v>
      </c>
      <c r="D132" s="16" t="s">
        <v>531</v>
      </c>
      <c r="BJ132" s="16">
        <f t="shared" si="454"/>
        <v>0</v>
      </c>
      <c r="BK132" s="16" t="str">
        <f>IF('Sales Projections'!$D$13&gt;=ROW(BK132)-100,+$C132/4,"")</f>
        <v/>
      </c>
      <c r="BL132" s="16" t="str">
        <f>IF('Sales Projections'!$D$13&gt;=ROW(BL132)-100,+$C132/4,"")</f>
        <v/>
      </c>
      <c r="BM132" s="16" t="str">
        <f>IF('Sales Projections'!$D$13&gt;=ROW(BM132)-100,+$C132/4,"")</f>
        <v/>
      </c>
      <c r="BN132" s="16" t="str">
        <f>IF('Sales Projections'!$D$13&gt;=ROW(BN132)-100,+$C132/4,"")</f>
        <v/>
      </c>
      <c r="BP132" s="16">
        <f t="shared" si="446"/>
        <v>125000</v>
      </c>
      <c r="BQ132" s="16">
        <f>IF('Sales Projections'!$E$13&gt;=ROW(BQ132)-100,+$C132/4,"")</f>
        <v>31250</v>
      </c>
      <c r="BR132" s="16">
        <f>IF('Sales Projections'!$E$13&gt;=ROW(BR132)-100,+$C132/4,"")</f>
        <v>31250</v>
      </c>
      <c r="BS132" s="16">
        <f>IF('Sales Projections'!$E$13&gt;=ROW(BS132)-100,+$C132/4,"")</f>
        <v>31250</v>
      </c>
      <c r="BT132" s="16">
        <f>IF('Sales Projections'!$E$13&gt;=ROW(BT132)-100,+$C132/4,"")</f>
        <v>31250</v>
      </c>
      <c r="BV132" s="16">
        <f t="shared" si="448"/>
        <v>125000</v>
      </c>
      <c r="BW132" s="16">
        <f>IF('Sales Projections'!$F$13&gt;=ROW(BW132)-100,+$C132/4,"")</f>
        <v>31250</v>
      </c>
      <c r="BX132" s="16">
        <f>IF('Sales Projections'!$F$13&gt;=ROW(BX132)-100,+$C132/4,"")</f>
        <v>31250</v>
      </c>
      <c r="BY132" s="16">
        <f>IF('Sales Projections'!$F$13&gt;=ROW(BY132)-100,+$C132/4,"")</f>
        <v>31250</v>
      </c>
      <c r="BZ132" s="16">
        <f>IF('Sales Projections'!$F$13&gt;=ROW(BZ132)-100,+$C132/4,"")</f>
        <v>31250</v>
      </c>
    </row>
    <row r="133" spans="2:78" s="265" customFormat="1" x14ac:dyDescent="0.25">
      <c r="B133" s="16" t="s">
        <v>709</v>
      </c>
      <c r="C133" s="16">
        <v>125000</v>
      </c>
      <c r="D133" s="16" t="s">
        <v>531</v>
      </c>
      <c r="BJ133" s="16">
        <f t="shared" si="454"/>
        <v>0</v>
      </c>
      <c r="BK133" s="16" t="str">
        <f>IF('Sales Projections'!$D$13&gt;=ROW(BK133)-100,+$C133/4,"")</f>
        <v/>
      </c>
      <c r="BL133" s="16" t="str">
        <f>IF('Sales Projections'!$D$13&gt;=ROW(BL133)-100,+$C133/4,"")</f>
        <v/>
      </c>
      <c r="BM133" s="16" t="str">
        <f>IF('Sales Projections'!$D$13&gt;=ROW(BM133)-100,+$C133/4,"")</f>
        <v/>
      </c>
      <c r="BN133" s="16" t="str">
        <f>IF('Sales Projections'!$D$13&gt;=ROW(BN133)-100,+$C133/4,"")</f>
        <v/>
      </c>
      <c r="BP133" s="16">
        <f t="shared" si="446"/>
        <v>125000</v>
      </c>
      <c r="BQ133" s="16">
        <f>IF('Sales Projections'!$E$13&gt;=ROW(BQ133)-100,+$C133/4,"")</f>
        <v>31250</v>
      </c>
      <c r="BR133" s="16">
        <f>IF('Sales Projections'!$E$13&gt;=ROW(BR133)-100,+$C133/4,"")</f>
        <v>31250</v>
      </c>
      <c r="BS133" s="16">
        <f>IF('Sales Projections'!$E$13&gt;=ROW(BS133)-100,+$C133/4,"")</f>
        <v>31250</v>
      </c>
      <c r="BT133" s="16">
        <f>IF('Sales Projections'!$E$13&gt;=ROW(BT133)-100,+$C133/4,"")</f>
        <v>31250</v>
      </c>
      <c r="BV133" s="16">
        <f t="shared" si="448"/>
        <v>125000</v>
      </c>
      <c r="BW133" s="16">
        <f>IF('Sales Projections'!$F$13&gt;=ROW(BW133)-100,+$C133/4,"")</f>
        <v>31250</v>
      </c>
      <c r="BX133" s="16">
        <f>IF('Sales Projections'!$F$13&gt;=ROW(BX133)-100,+$C133/4,"")</f>
        <v>31250</v>
      </c>
      <c r="BY133" s="16">
        <f>IF('Sales Projections'!$F$13&gt;=ROW(BY133)-100,+$C133/4,"")</f>
        <v>31250</v>
      </c>
      <c r="BZ133" s="16">
        <f>IF('Sales Projections'!$F$13&gt;=ROW(BZ133)-100,+$C133/4,"")</f>
        <v>31250</v>
      </c>
    </row>
    <row r="134" spans="2:78" s="265" customFormat="1" x14ac:dyDescent="0.25">
      <c r="B134" s="16" t="s">
        <v>710</v>
      </c>
      <c r="C134" s="16">
        <v>125000</v>
      </c>
      <c r="D134" s="16" t="s">
        <v>531</v>
      </c>
      <c r="BJ134" s="16">
        <f t="shared" si="454"/>
        <v>0</v>
      </c>
      <c r="BK134" s="16" t="str">
        <f>IF('Sales Projections'!$D$13&gt;=ROW(BK134)-100,+$C134/4,"")</f>
        <v/>
      </c>
      <c r="BL134" s="16" t="str">
        <f>IF('Sales Projections'!$D$13&gt;=ROW(BL134)-100,+$C134/4,"")</f>
        <v/>
      </c>
      <c r="BM134" s="16" t="str">
        <f>IF('Sales Projections'!$D$13&gt;=ROW(BM134)-100,+$C134/4,"")</f>
        <v/>
      </c>
      <c r="BN134" s="16" t="str">
        <f>IF('Sales Projections'!$D$13&gt;=ROW(BN134)-100,+$C134/4,"")</f>
        <v/>
      </c>
      <c r="BP134" s="16">
        <f t="shared" si="446"/>
        <v>125000</v>
      </c>
      <c r="BQ134" s="16">
        <f>IF('Sales Projections'!$E$13&gt;=ROW(BQ134)-100,+$C134/4,"")</f>
        <v>31250</v>
      </c>
      <c r="BR134" s="16">
        <f>IF('Sales Projections'!$E$13&gt;=ROW(BR134)-100,+$C134/4,"")</f>
        <v>31250</v>
      </c>
      <c r="BS134" s="16">
        <f>IF('Sales Projections'!$E$13&gt;=ROW(BS134)-100,+$C134/4,"")</f>
        <v>31250</v>
      </c>
      <c r="BT134" s="16">
        <f>IF('Sales Projections'!$E$13&gt;=ROW(BT134)-100,+$C134/4,"")</f>
        <v>31250</v>
      </c>
      <c r="BV134" s="16">
        <f t="shared" si="448"/>
        <v>125000</v>
      </c>
      <c r="BW134" s="16">
        <f>IF('Sales Projections'!$F$13&gt;=ROW(BW134)-100,+$C134/4,"")</f>
        <v>31250</v>
      </c>
      <c r="BX134" s="16">
        <f>IF('Sales Projections'!$F$13&gt;=ROW(BX134)-100,+$C134/4,"")</f>
        <v>31250</v>
      </c>
      <c r="BY134" s="16">
        <f>IF('Sales Projections'!$F$13&gt;=ROW(BY134)-100,+$C134/4,"")</f>
        <v>31250</v>
      </c>
      <c r="BZ134" s="16">
        <f>IF('Sales Projections'!$F$13&gt;=ROW(BZ134)-100,+$C134/4,"")</f>
        <v>31250</v>
      </c>
    </row>
    <row r="135" spans="2:78" s="265" customFormat="1" x14ac:dyDescent="0.25">
      <c r="B135" s="16" t="s">
        <v>711</v>
      </c>
      <c r="C135" s="16">
        <v>125000</v>
      </c>
      <c r="D135" s="16" t="s">
        <v>531</v>
      </c>
      <c r="BJ135" s="16">
        <f t="shared" si="454"/>
        <v>0</v>
      </c>
      <c r="BK135" s="16" t="str">
        <f>IF('Sales Projections'!$D$13&gt;=ROW(BK135)-100,+$C135/4,"")</f>
        <v/>
      </c>
      <c r="BL135" s="16" t="str">
        <f>IF('Sales Projections'!$D$13&gt;=ROW(BL135)-100,+$C135/4,"")</f>
        <v/>
      </c>
      <c r="BM135" s="16" t="str">
        <f>IF('Sales Projections'!$D$13&gt;=ROW(BM135)-100,+$C135/4,"")</f>
        <v/>
      </c>
      <c r="BN135" s="16" t="str">
        <f>IF('Sales Projections'!$D$13&gt;=ROW(BN135)-100,+$C135/4,"")</f>
        <v/>
      </c>
      <c r="BP135" s="16">
        <f t="shared" si="446"/>
        <v>125000</v>
      </c>
      <c r="BQ135" s="16">
        <f>IF('Sales Projections'!$E$13&gt;=ROW(BQ135)-100,+$C135/4,"")</f>
        <v>31250</v>
      </c>
      <c r="BR135" s="16">
        <f>IF('Sales Projections'!$E$13&gt;=ROW(BR135)-100,+$C135/4,"")</f>
        <v>31250</v>
      </c>
      <c r="BS135" s="16">
        <f>IF('Sales Projections'!$E$13&gt;=ROW(BS135)-100,+$C135/4,"")</f>
        <v>31250</v>
      </c>
      <c r="BT135" s="16">
        <f>IF('Sales Projections'!$E$13&gt;=ROW(BT135)-100,+$C135/4,"")</f>
        <v>31250</v>
      </c>
      <c r="BV135" s="16">
        <f t="shared" si="448"/>
        <v>125000</v>
      </c>
      <c r="BW135" s="16">
        <f>IF('Sales Projections'!$F$13&gt;=ROW(BW135)-100,+$C135/4,"")</f>
        <v>31250</v>
      </c>
      <c r="BX135" s="16">
        <f>IF('Sales Projections'!$F$13&gt;=ROW(BX135)-100,+$C135/4,"")</f>
        <v>31250</v>
      </c>
      <c r="BY135" s="16">
        <f>IF('Sales Projections'!$F$13&gt;=ROW(BY135)-100,+$C135/4,"")</f>
        <v>31250</v>
      </c>
      <c r="BZ135" s="16">
        <f>IF('Sales Projections'!$F$13&gt;=ROW(BZ135)-100,+$C135/4,"")</f>
        <v>31250</v>
      </c>
    </row>
    <row r="136" spans="2:78" s="265" customFormat="1" x14ac:dyDescent="0.25">
      <c r="B136" s="16" t="s">
        <v>712</v>
      </c>
      <c r="C136" s="16">
        <v>125000</v>
      </c>
      <c r="D136" s="16" t="s">
        <v>531</v>
      </c>
      <c r="BJ136" s="16">
        <f t="shared" si="454"/>
        <v>0</v>
      </c>
      <c r="BK136" s="16" t="str">
        <f>IF('Sales Projections'!$D$13&gt;=ROW(BK136)-100,+$C136/4,"")</f>
        <v/>
      </c>
      <c r="BL136" s="16" t="str">
        <f>IF('Sales Projections'!$D$13&gt;=ROW(BL136)-100,+$C136/4,"")</f>
        <v/>
      </c>
      <c r="BM136" s="16" t="str">
        <f>IF('Sales Projections'!$D$13&gt;=ROW(BM136)-100,+$C136/4,"")</f>
        <v/>
      </c>
      <c r="BN136" s="16" t="str">
        <f>IF('Sales Projections'!$D$13&gt;=ROW(BN136)-100,+$C136/4,"")</f>
        <v/>
      </c>
      <c r="BP136" s="16">
        <f t="shared" si="446"/>
        <v>125000</v>
      </c>
      <c r="BQ136" s="16">
        <f>IF('Sales Projections'!$E$13&gt;=ROW(BQ136)-100,+$C136/4,"")</f>
        <v>31250</v>
      </c>
      <c r="BR136" s="16">
        <f>IF('Sales Projections'!$E$13&gt;=ROW(BR136)-100,+$C136/4,"")</f>
        <v>31250</v>
      </c>
      <c r="BS136" s="16">
        <f>IF('Sales Projections'!$E$13&gt;=ROW(BS136)-100,+$C136/4,"")</f>
        <v>31250</v>
      </c>
      <c r="BT136" s="16">
        <f>IF('Sales Projections'!$E$13&gt;=ROW(BT136)-100,+$C136/4,"")</f>
        <v>31250</v>
      </c>
      <c r="BV136" s="16">
        <f t="shared" si="448"/>
        <v>125000</v>
      </c>
      <c r="BW136" s="16">
        <f>IF('Sales Projections'!$F$13&gt;=ROW(BW136)-100,+$C136/4,"")</f>
        <v>31250</v>
      </c>
      <c r="BX136" s="16">
        <f>IF('Sales Projections'!$F$13&gt;=ROW(BX136)-100,+$C136/4,"")</f>
        <v>31250</v>
      </c>
      <c r="BY136" s="16">
        <f>IF('Sales Projections'!$F$13&gt;=ROW(BY136)-100,+$C136/4,"")</f>
        <v>31250</v>
      </c>
      <c r="BZ136" s="16">
        <f>IF('Sales Projections'!$F$13&gt;=ROW(BZ136)-100,+$C136/4,"")</f>
        <v>31250</v>
      </c>
    </row>
    <row r="137" spans="2:78" s="265" customFormat="1" x14ac:dyDescent="0.25">
      <c r="B137" s="16" t="s">
        <v>713</v>
      </c>
      <c r="C137" s="16">
        <v>125000</v>
      </c>
      <c r="D137" s="16" t="s">
        <v>531</v>
      </c>
      <c r="BJ137" s="16">
        <f t="shared" si="454"/>
        <v>0</v>
      </c>
      <c r="BK137" s="16" t="str">
        <f>IF('Sales Projections'!$D$13&gt;=ROW(BK137)-100,+$C137/4,"")</f>
        <v/>
      </c>
      <c r="BL137" s="16" t="str">
        <f>IF('Sales Projections'!$D$13&gt;=ROW(BL137)-100,+$C137/4,"")</f>
        <v/>
      </c>
      <c r="BM137" s="16" t="str">
        <f>IF('Sales Projections'!$D$13&gt;=ROW(BM137)-100,+$C137/4,"")</f>
        <v/>
      </c>
      <c r="BN137" s="16" t="str">
        <f>IF('Sales Projections'!$D$13&gt;=ROW(BN137)-100,+$C137/4,"")</f>
        <v/>
      </c>
      <c r="BP137" s="16">
        <f t="shared" si="446"/>
        <v>125000</v>
      </c>
      <c r="BQ137" s="16">
        <f>IF('Sales Projections'!$E$13&gt;=ROW(BQ137)-100,+$C137/4,"")</f>
        <v>31250</v>
      </c>
      <c r="BR137" s="16">
        <f>IF('Sales Projections'!$E$13&gt;=ROW(BR137)-100,+$C137/4,"")</f>
        <v>31250</v>
      </c>
      <c r="BS137" s="16">
        <f>IF('Sales Projections'!$E$13&gt;=ROW(BS137)-100,+$C137/4,"")</f>
        <v>31250</v>
      </c>
      <c r="BT137" s="16">
        <f>IF('Sales Projections'!$E$13&gt;=ROW(BT137)-100,+$C137/4,"")</f>
        <v>31250</v>
      </c>
      <c r="BV137" s="16">
        <f t="shared" si="448"/>
        <v>125000</v>
      </c>
      <c r="BW137" s="16">
        <f>IF('Sales Projections'!$F$13&gt;=ROW(BW137)-100,+$C137/4,"")</f>
        <v>31250</v>
      </c>
      <c r="BX137" s="16">
        <f>IF('Sales Projections'!$F$13&gt;=ROW(BX137)-100,+$C137/4,"")</f>
        <v>31250</v>
      </c>
      <c r="BY137" s="16">
        <f>IF('Sales Projections'!$F$13&gt;=ROW(BY137)-100,+$C137/4,"")</f>
        <v>31250</v>
      </c>
      <c r="BZ137" s="16">
        <f>IF('Sales Projections'!$F$13&gt;=ROW(BZ137)-100,+$C137/4,"")</f>
        <v>31250</v>
      </c>
    </row>
    <row r="138" spans="2:78" s="265" customFormat="1" x14ac:dyDescent="0.25">
      <c r="B138" s="16" t="s">
        <v>714</v>
      </c>
      <c r="C138" s="16">
        <v>125000</v>
      </c>
      <c r="D138" s="16" t="s">
        <v>531</v>
      </c>
      <c r="BJ138" s="16">
        <f t="shared" si="454"/>
        <v>0</v>
      </c>
      <c r="BK138" s="16" t="str">
        <f>IF('Sales Projections'!$D$13&gt;=ROW(BK138)-100,+$C138/4,"")</f>
        <v/>
      </c>
      <c r="BL138" s="16" t="str">
        <f>IF('Sales Projections'!$D$13&gt;=ROW(BL138)-100,+$C138/4,"")</f>
        <v/>
      </c>
      <c r="BM138" s="16" t="str">
        <f>IF('Sales Projections'!$D$13&gt;=ROW(BM138)-100,+$C138/4,"")</f>
        <v/>
      </c>
      <c r="BN138" s="16" t="str">
        <f>IF('Sales Projections'!$D$13&gt;=ROW(BN138)-100,+$C138/4,"")</f>
        <v/>
      </c>
      <c r="BP138" s="16">
        <f t="shared" si="446"/>
        <v>125000</v>
      </c>
      <c r="BQ138" s="16">
        <f>IF('Sales Projections'!$E$13&gt;=ROW(BQ138)-100,+$C138/4,"")</f>
        <v>31250</v>
      </c>
      <c r="BR138" s="16">
        <f>IF('Sales Projections'!$E$13&gt;=ROW(BR138)-100,+$C138/4,"")</f>
        <v>31250</v>
      </c>
      <c r="BS138" s="16">
        <f>IF('Sales Projections'!$E$13&gt;=ROW(BS138)-100,+$C138/4,"")</f>
        <v>31250</v>
      </c>
      <c r="BT138" s="16">
        <f>IF('Sales Projections'!$E$13&gt;=ROW(BT138)-100,+$C138/4,"")</f>
        <v>31250</v>
      </c>
      <c r="BV138" s="16">
        <f t="shared" si="448"/>
        <v>125000</v>
      </c>
      <c r="BW138" s="16">
        <f>IF('Sales Projections'!$F$13&gt;=ROW(BW138)-100,+$C138/4,"")</f>
        <v>31250</v>
      </c>
      <c r="BX138" s="16">
        <f>IF('Sales Projections'!$F$13&gt;=ROW(BX138)-100,+$C138/4,"")</f>
        <v>31250</v>
      </c>
      <c r="BY138" s="16">
        <f>IF('Sales Projections'!$F$13&gt;=ROW(BY138)-100,+$C138/4,"")</f>
        <v>31250</v>
      </c>
      <c r="BZ138" s="16">
        <f>IF('Sales Projections'!$F$13&gt;=ROW(BZ138)-100,+$C138/4,"")</f>
        <v>31250</v>
      </c>
    </row>
    <row r="139" spans="2:78" s="265" customFormat="1" x14ac:dyDescent="0.25">
      <c r="B139" s="16" t="s">
        <v>715</v>
      </c>
      <c r="C139" s="16">
        <v>125000</v>
      </c>
      <c r="D139" s="16" t="s">
        <v>531</v>
      </c>
      <c r="BJ139" s="16">
        <f t="shared" si="454"/>
        <v>0</v>
      </c>
      <c r="BK139" s="16" t="str">
        <f>IF('Sales Projections'!$D$13&gt;=ROW(BK139)-100,+$C139/4,"")</f>
        <v/>
      </c>
      <c r="BL139" s="16" t="str">
        <f>IF('Sales Projections'!$D$13&gt;=ROW(BL139)-100,+$C139/4,"")</f>
        <v/>
      </c>
      <c r="BM139" s="16" t="str">
        <f>IF('Sales Projections'!$D$13&gt;=ROW(BM139)-100,+$C139/4,"")</f>
        <v/>
      </c>
      <c r="BN139" s="16" t="str">
        <f>IF('Sales Projections'!$D$13&gt;=ROW(BN139)-100,+$C139/4,"")</f>
        <v/>
      </c>
      <c r="BP139" s="16">
        <f t="shared" si="446"/>
        <v>125000</v>
      </c>
      <c r="BQ139" s="16">
        <f>IF('Sales Projections'!$E$13&gt;=ROW(BQ139)-100,+$C139/4,"")</f>
        <v>31250</v>
      </c>
      <c r="BR139" s="16">
        <f>IF('Sales Projections'!$E$13&gt;=ROW(BR139)-100,+$C139/4,"")</f>
        <v>31250</v>
      </c>
      <c r="BS139" s="16">
        <f>IF('Sales Projections'!$E$13&gt;=ROW(BS139)-100,+$C139/4,"")</f>
        <v>31250</v>
      </c>
      <c r="BT139" s="16">
        <f>IF('Sales Projections'!$E$13&gt;=ROW(BT139)-100,+$C139/4,"")</f>
        <v>31250</v>
      </c>
      <c r="BV139" s="16">
        <f t="shared" si="448"/>
        <v>125000</v>
      </c>
      <c r="BW139" s="16">
        <f>IF('Sales Projections'!$F$13&gt;=ROW(BW139)-100,+$C139/4,"")</f>
        <v>31250</v>
      </c>
      <c r="BX139" s="16">
        <f>IF('Sales Projections'!$F$13&gt;=ROW(BX139)-100,+$C139/4,"")</f>
        <v>31250</v>
      </c>
      <c r="BY139" s="16">
        <f>IF('Sales Projections'!$F$13&gt;=ROW(BY139)-100,+$C139/4,"")</f>
        <v>31250</v>
      </c>
      <c r="BZ139" s="16">
        <f>IF('Sales Projections'!$F$13&gt;=ROW(BZ139)-100,+$C139/4,"")</f>
        <v>31250</v>
      </c>
    </row>
    <row r="140" spans="2:78" s="265" customFormat="1" x14ac:dyDescent="0.25">
      <c r="B140" s="16" t="s">
        <v>716</v>
      </c>
      <c r="C140" s="16">
        <v>125000</v>
      </c>
      <c r="D140" s="16" t="s">
        <v>531</v>
      </c>
      <c r="BJ140" s="16">
        <f t="shared" si="454"/>
        <v>0</v>
      </c>
      <c r="BK140" s="16" t="str">
        <f>IF('Sales Projections'!$D$13&gt;=ROW(BK140)-100,+$C140/4,"")</f>
        <v/>
      </c>
      <c r="BL140" s="16" t="str">
        <f>IF('Sales Projections'!$D$13&gt;=ROW(BL140)-100,+$C140/4,"")</f>
        <v/>
      </c>
      <c r="BM140" s="16" t="str">
        <f>IF('Sales Projections'!$D$13&gt;=ROW(BM140)-100,+$C140/4,"")</f>
        <v/>
      </c>
      <c r="BN140" s="16" t="str">
        <f>IF('Sales Projections'!$D$13&gt;=ROW(BN140)-100,+$C140/4,"")</f>
        <v/>
      </c>
      <c r="BP140" s="16">
        <f t="shared" si="446"/>
        <v>125000</v>
      </c>
      <c r="BQ140" s="16">
        <f>IF('Sales Projections'!$E$13&gt;=ROW(BQ140)-100,+$C140/4,"")</f>
        <v>31250</v>
      </c>
      <c r="BR140" s="16">
        <f>IF('Sales Projections'!$E$13&gt;=ROW(BR140)-100,+$C140/4,"")</f>
        <v>31250</v>
      </c>
      <c r="BS140" s="16">
        <f>IF('Sales Projections'!$E$13&gt;=ROW(BS140)-100,+$C140/4,"")</f>
        <v>31250</v>
      </c>
      <c r="BT140" s="16">
        <f>IF('Sales Projections'!$E$13&gt;=ROW(BT140)-100,+$C140/4,"")</f>
        <v>31250</v>
      </c>
      <c r="BV140" s="16">
        <f t="shared" si="448"/>
        <v>125000</v>
      </c>
      <c r="BW140" s="16">
        <f>IF('Sales Projections'!$F$13&gt;=ROW(BW140)-100,+$C140/4,"")</f>
        <v>31250</v>
      </c>
      <c r="BX140" s="16">
        <f>IF('Sales Projections'!$F$13&gt;=ROW(BX140)-100,+$C140/4,"")</f>
        <v>31250</v>
      </c>
      <c r="BY140" s="16">
        <f>IF('Sales Projections'!$F$13&gt;=ROW(BY140)-100,+$C140/4,"")</f>
        <v>31250</v>
      </c>
      <c r="BZ140" s="16">
        <f>IF('Sales Projections'!$F$13&gt;=ROW(BZ140)-100,+$C140/4,"")</f>
        <v>31250</v>
      </c>
    </row>
    <row r="141" spans="2:78" s="265" customFormat="1" x14ac:dyDescent="0.25">
      <c r="B141" s="16" t="s">
        <v>717</v>
      </c>
      <c r="C141" s="16">
        <v>125000</v>
      </c>
      <c r="D141" s="16" t="s">
        <v>531</v>
      </c>
      <c r="BJ141" s="16">
        <f t="shared" si="454"/>
        <v>0</v>
      </c>
      <c r="BK141" s="16" t="str">
        <f>IF('Sales Projections'!$D$13&gt;=ROW(BK141)-100,+$C141/4,"")</f>
        <v/>
      </c>
      <c r="BL141" s="16" t="str">
        <f>IF('Sales Projections'!$D$13&gt;=ROW(BL141)-100,+$C141/4,"")</f>
        <v/>
      </c>
      <c r="BM141" s="16" t="str">
        <f>IF('Sales Projections'!$D$13&gt;=ROW(BM141)-100,+$C141/4,"")</f>
        <v/>
      </c>
      <c r="BN141" s="16" t="str">
        <f>IF('Sales Projections'!$D$13&gt;=ROW(BN141)-100,+$C141/4,"")</f>
        <v/>
      </c>
      <c r="BP141" s="16">
        <f t="shared" si="446"/>
        <v>125000</v>
      </c>
      <c r="BQ141" s="16">
        <f>IF('Sales Projections'!$E$13&gt;=ROW(BQ141)-100,+$C141/4,"")</f>
        <v>31250</v>
      </c>
      <c r="BR141" s="16">
        <f>IF('Sales Projections'!$E$13&gt;=ROW(BR141)-100,+$C141/4,"")</f>
        <v>31250</v>
      </c>
      <c r="BS141" s="16">
        <f>IF('Sales Projections'!$E$13&gt;=ROW(BS141)-100,+$C141/4,"")</f>
        <v>31250</v>
      </c>
      <c r="BT141" s="16">
        <f>IF('Sales Projections'!$E$13&gt;=ROW(BT141)-100,+$C141/4,"")</f>
        <v>31250</v>
      </c>
      <c r="BV141" s="16">
        <f t="shared" si="448"/>
        <v>125000</v>
      </c>
      <c r="BW141" s="16">
        <f>IF('Sales Projections'!$F$13&gt;=ROW(BW141)-100,+$C141/4,"")</f>
        <v>31250</v>
      </c>
      <c r="BX141" s="16">
        <f>IF('Sales Projections'!$F$13&gt;=ROW(BX141)-100,+$C141/4,"")</f>
        <v>31250</v>
      </c>
      <c r="BY141" s="16">
        <f>IF('Sales Projections'!$F$13&gt;=ROW(BY141)-100,+$C141/4,"")</f>
        <v>31250</v>
      </c>
      <c r="BZ141" s="16">
        <f>IF('Sales Projections'!$F$13&gt;=ROW(BZ141)-100,+$C141/4,"")</f>
        <v>31250</v>
      </c>
    </row>
    <row r="142" spans="2:78" s="265" customFormat="1" x14ac:dyDescent="0.25">
      <c r="B142" s="16" t="s">
        <v>718</v>
      </c>
      <c r="C142" s="16">
        <v>125000</v>
      </c>
      <c r="D142" s="16" t="s">
        <v>531</v>
      </c>
      <c r="BJ142" s="16">
        <f t="shared" si="454"/>
        <v>0</v>
      </c>
      <c r="BK142" s="16" t="str">
        <f>IF('Sales Projections'!$D$13&gt;=ROW(BK142)-100,+$C142/4,"")</f>
        <v/>
      </c>
      <c r="BL142" s="16" t="str">
        <f>IF('Sales Projections'!$D$13&gt;=ROW(BL142)-100,+$C142/4,"")</f>
        <v/>
      </c>
      <c r="BM142" s="16" t="str">
        <f>IF('Sales Projections'!$D$13&gt;=ROW(BM142)-100,+$C142/4,"")</f>
        <v/>
      </c>
      <c r="BN142" s="16" t="str">
        <f>IF('Sales Projections'!$D$13&gt;=ROW(BN142)-100,+$C142/4,"")</f>
        <v/>
      </c>
      <c r="BP142" s="16">
        <f t="shared" si="446"/>
        <v>125000</v>
      </c>
      <c r="BQ142" s="16">
        <f>IF('Sales Projections'!$E$13&gt;=ROW(BQ142)-100,+$C142/4,"")</f>
        <v>31250</v>
      </c>
      <c r="BR142" s="16">
        <f>IF('Sales Projections'!$E$13&gt;=ROW(BR142)-100,+$C142/4,"")</f>
        <v>31250</v>
      </c>
      <c r="BS142" s="16">
        <f>IF('Sales Projections'!$E$13&gt;=ROW(BS142)-100,+$C142/4,"")</f>
        <v>31250</v>
      </c>
      <c r="BT142" s="16">
        <f>IF('Sales Projections'!$E$13&gt;=ROW(BT142)-100,+$C142/4,"")</f>
        <v>31250</v>
      </c>
      <c r="BV142" s="16">
        <f t="shared" si="448"/>
        <v>125000</v>
      </c>
      <c r="BW142" s="16">
        <f>IF('Sales Projections'!$F$13&gt;=ROW(BW142)-100,+$C142/4,"")</f>
        <v>31250</v>
      </c>
      <c r="BX142" s="16">
        <f>IF('Sales Projections'!$F$13&gt;=ROW(BX142)-100,+$C142/4,"")</f>
        <v>31250</v>
      </c>
      <c r="BY142" s="16">
        <f>IF('Sales Projections'!$F$13&gt;=ROW(BY142)-100,+$C142/4,"")</f>
        <v>31250</v>
      </c>
      <c r="BZ142" s="16">
        <f>IF('Sales Projections'!$F$13&gt;=ROW(BZ142)-100,+$C142/4,"")</f>
        <v>31250</v>
      </c>
    </row>
    <row r="143" spans="2:78" s="265" customFormat="1" x14ac:dyDescent="0.25">
      <c r="B143" s="16" t="s">
        <v>719</v>
      </c>
      <c r="C143" s="16">
        <v>125000</v>
      </c>
      <c r="D143" s="16" t="s">
        <v>531</v>
      </c>
      <c r="BJ143" s="16">
        <f t="shared" si="454"/>
        <v>0</v>
      </c>
      <c r="BK143" s="16" t="str">
        <f>IF('Sales Projections'!$D$13&gt;=ROW(BK143)-100,+$C143/4,"")</f>
        <v/>
      </c>
      <c r="BL143" s="16" t="str">
        <f>IF('Sales Projections'!$D$13&gt;=ROW(BL143)-100,+$C143/4,"")</f>
        <v/>
      </c>
      <c r="BM143" s="16" t="str">
        <f>IF('Sales Projections'!$D$13&gt;=ROW(BM143)-100,+$C143/4,"")</f>
        <v/>
      </c>
      <c r="BN143" s="16" t="str">
        <f>IF('Sales Projections'!$D$13&gt;=ROW(BN143)-100,+$C143/4,"")</f>
        <v/>
      </c>
      <c r="BP143" s="16">
        <f t="shared" si="446"/>
        <v>125000</v>
      </c>
      <c r="BQ143" s="16">
        <f>IF('Sales Projections'!$E$13&gt;=ROW(BQ143)-100,+$C143/4,"")</f>
        <v>31250</v>
      </c>
      <c r="BR143" s="16">
        <f>IF('Sales Projections'!$E$13&gt;=ROW(BR143)-100,+$C143/4,"")</f>
        <v>31250</v>
      </c>
      <c r="BS143" s="16">
        <f>IF('Sales Projections'!$E$13&gt;=ROW(BS143)-100,+$C143/4,"")</f>
        <v>31250</v>
      </c>
      <c r="BT143" s="16">
        <f>IF('Sales Projections'!$E$13&gt;=ROW(BT143)-100,+$C143/4,"")</f>
        <v>31250</v>
      </c>
      <c r="BV143" s="16">
        <f t="shared" si="448"/>
        <v>125000</v>
      </c>
      <c r="BW143" s="16">
        <f>IF('Sales Projections'!$F$13&gt;=ROW(BW143)-100,+$C143/4,"")</f>
        <v>31250</v>
      </c>
      <c r="BX143" s="16">
        <f>IF('Sales Projections'!$F$13&gt;=ROW(BX143)-100,+$C143/4,"")</f>
        <v>31250</v>
      </c>
      <c r="BY143" s="16">
        <f>IF('Sales Projections'!$F$13&gt;=ROW(BY143)-100,+$C143/4,"")</f>
        <v>31250</v>
      </c>
      <c r="BZ143" s="16">
        <f>IF('Sales Projections'!$F$13&gt;=ROW(BZ143)-100,+$C143/4,"")</f>
        <v>31250</v>
      </c>
    </row>
    <row r="144" spans="2:78" s="265" customFormat="1" x14ac:dyDescent="0.25">
      <c r="B144" s="16" t="s">
        <v>720</v>
      </c>
      <c r="C144" s="16">
        <v>125000</v>
      </c>
      <c r="D144" s="16" t="s">
        <v>531</v>
      </c>
      <c r="BJ144" s="16">
        <f t="shared" si="454"/>
        <v>0</v>
      </c>
      <c r="BK144" s="16" t="str">
        <f>IF('Sales Projections'!$D$13&gt;=ROW(BK144)-100,+$C144/4,"")</f>
        <v/>
      </c>
      <c r="BL144" s="16" t="str">
        <f>IF('Sales Projections'!$D$13&gt;=ROW(BL144)-100,+$C144/4,"")</f>
        <v/>
      </c>
      <c r="BM144" s="16" t="str">
        <f>IF('Sales Projections'!$D$13&gt;=ROW(BM144)-100,+$C144/4,"")</f>
        <v/>
      </c>
      <c r="BN144" s="16" t="str">
        <f>IF('Sales Projections'!$D$13&gt;=ROW(BN144)-100,+$C144/4,"")</f>
        <v/>
      </c>
      <c r="BP144" s="16">
        <f t="shared" si="446"/>
        <v>0</v>
      </c>
      <c r="BQ144" s="16" t="str">
        <f>IF('Sales Projections'!$E$13&gt;=ROW(BQ144)-100,+$C144/4,"")</f>
        <v/>
      </c>
      <c r="BR144" s="16" t="str">
        <f>IF('Sales Projections'!$E$13&gt;=ROW(BR144)-100,+$C144/4,"")</f>
        <v/>
      </c>
      <c r="BS144" s="16" t="str">
        <f>IF('Sales Projections'!$E$13&gt;=ROW(BS144)-100,+$C144/4,"")</f>
        <v/>
      </c>
      <c r="BT144" s="16" t="str">
        <f>IF('Sales Projections'!$E$13&gt;=ROW(BT144)-100,+$C144/4,"")</f>
        <v/>
      </c>
      <c r="BV144" s="16">
        <f t="shared" si="448"/>
        <v>125000</v>
      </c>
      <c r="BW144" s="16">
        <f>IF('Sales Projections'!$F$13&gt;=ROW(BW144)-100,+$C144/4,"")</f>
        <v>31250</v>
      </c>
      <c r="BX144" s="16">
        <f>IF('Sales Projections'!$F$13&gt;=ROW(BX144)-100,+$C144/4,"")</f>
        <v>31250</v>
      </c>
      <c r="BY144" s="16">
        <f>IF('Sales Projections'!$F$13&gt;=ROW(BY144)-100,+$C144/4,"")</f>
        <v>31250</v>
      </c>
      <c r="BZ144" s="16">
        <f>IF('Sales Projections'!$F$13&gt;=ROW(BZ144)-100,+$C144/4,"")</f>
        <v>31250</v>
      </c>
    </row>
    <row r="145" spans="2:78" s="265" customFormat="1" x14ac:dyDescent="0.25">
      <c r="B145" s="16" t="s">
        <v>721</v>
      </c>
      <c r="C145" s="16">
        <v>125000</v>
      </c>
      <c r="D145" s="16" t="s">
        <v>531</v>
      </c>
      <c r="BJ145" s="16">
        <f t="shared" si="454"/>
        <v>0</v>
      </c>
      <c r="BK145" s="16" t="str">
        <f>IF('Sales Projections'!$D$13&gt;=ROW(BK145)-100,+$C145/4,"")</f>
        <v/>
      </c>
      <c r="BL145" s="16" t="str">
        <f>IF('Sales Projections'!$D$13&gt;=ROW(BL145)-100,+$C145/4,"")</f>
        <v/>
      </c>
      <c r="BM145" s="16" t="str">
        <f>IF('Sales Projections'!$D$13&gt;=ROW(BM145)-100,+$C145/4,"")</f>
        <v/>
      </c>
      <c r="BN145" s="16" t="str">
        <f>IF('Sales Projections'!$D$13&gt;=ROW(BN145)-100,+$C145/4,"")</f>
        <v/>
      </c>
      <c r="BP145" s="16">
        <f t="shared" si="446"/>
        <v>0</v>
      </c>
      <c r="BQ145" s="16" t="str">
        <f>IF('Sales Projections'!$E$13&gt;=ROW(BQ145)-100,+$C145/4,"")</f>
        <v/>
      </c>
      <c r="BR145" s="16" t="str">
        <f>IF('Sales Projections'!$E$13&gt;=ROW(BR145)-100,+$C145/4,"")</f>
        <v/>
      </c>
      <c r="BS145" s="16" t="str">
        <f>IF('Sales Projections'!$E$13&gt;=ROW(BS145)-100,+$C145/4,"")</f>
        <v/>
      </c>
      <c r="BT145" s="16" t="str">
        <f>IF('Sales Projections'!$E$13&gt;=ROW(BT145)-100,+$C145/4,"")</f>
        <v/>
      </c>
      <c r="BV145" s="16">
        <f t="shared" si="448"/>
        <v>125000</v>
      </c>
      <c r="BW145" s="16">
        <f>IF('Sales Projections'!$F$13&gt;=ROW(BW145)-100,+$C145/4,"")</f>
        <v>31250</v>
      </c>
      <c r="BX145" s="16">
        <f>IF('Sales Projections'!$F$13&gt;=ROW(BX145)-100,+$C145/4,"")</f>
        <v>31250</v>
      </c>
      <c r="BY145" s="16">
        <f>IF('Sales Projections'!$F$13&gt;=ROW(BY145)-100,+$C145/4,"")</f>
        <v>31250</v>
      </c>
      <c r="BZ145" s="16">
        <f>IF('Sales Projections'!$F$13&gt;=ROW(BZ145)-100,+$C145/4,"")</f>
        <v>31250</v>
      </c>
    </row>
    <row r="146" spans="2:78" s="265" customFormat="1" x14ac:dyDescent="0.25">
      <c r="B146" s="16" t="s">
        <v>722</v>
      </c>
      <c r="C146" s="16">
        <v>125000</v>
      </c>
      <c r="D146" s="16" t="s">
        <v>531</v>
      </c>
      <c r="BJ146" s="16">
        <f t="shared" si="454"/>
        <v>0</v>
      </c>
      <c r="BK146" s="16" t="str">
        <f>IF('Sales Projections'!$D$13&gt;=ROW(BK146)-100,+$C146/4,"")</f>
        <v/>
      </c>
      <c r="BL146" s="16" t="str">
        <f>IF('Sales Projections'!$D$13&gt;=ROW(BL146)-100,+$C146/4,"")</f>
        <v/>
      </c>
      <c r="BM146" s="16" t="str">
        <f>IF('Sales Projections'!$D$13&gt;=ROW(BM146)-100,+$C146/4,"")</f>
        <v/>
      </c>
      <c r="BN146" s="16" t="str">
        <f>IF('Sales Projections'!$D$13&gt;=ROW(BN146)-100,+$C146/4,"")</f>
        <v/>
      </c>
      <c r="BP146" s="16">
        <f t="shared" si="446"/>
        <v>0</v>
      </c>
      <c r="BQ146" s="16" t="str">
        <f>IF('Sales Projections'!$E$13&gt;=ROW(BQ146)-100,+$C146/4,"")</f>
        <v/>
      </c>
      <c r="BR146" s="16" t="str">
        <f>IF('Sales Projections'!$E$13&gt;=ROW(BR146)-100,+$C146/4,"")</f>
        <v/>
      </c>
      <c r="BS146" s="16" t="str">
        <f>IF('Sales Projections'!$E$13&gt;=ROW(BS146)-100,+$C146/4,"")</f>
        <v/>
      </c>
      <c r="BT146" s="16" t="str">
        <f>IF('Sales Projections'!$E$13&gt;=ROW(BT146)-100,+$C146/4,"")</f>
        <v/>
      </c>
      <c r="BV146" s="16">
        <f t="shared" si="448"/>
        <v>125000</v>
      </c>
      <c r="BW146" s="16">
        <f>IF('Sales Projections'!$F$13&gt;=ROW(BW146)-100,+$C146/4,"")</f>
        <v>31250</v>
      </c>
      <c r="BX146" s="16">
        <f>IF('Sales Projections'!$F$13&gt;=ROW(BX146)-100,+$C146/4,"")</f>
        <v>31250</v>
      </c>
      <c r="BY146" s="16">
        <f>IF('Sales Projections'!$F$13&gt;=ROW(BY146)-100,+$C146/4,"")</f>
        <v>31250</v>
      </c>
      <c r="BZ146" s="16">
        <f>IF('Sales Projections'!$F$13&gt;=ROW(BZ146)-100,+$C146/4,"")</f>
        <v>31250</v>
      </c>
    </row>
    <row r="147" spans="2:78" s="265" customFormat="1" x14ac:dyDescent="0.25">
      <c r="B147" s="16" t="s">
        <v>723</v>
      </c>
      <c r="C147" s="16">
        <v>125000</v>
      </c>
      <c r="D147" s="16" t="s">
        <v>531</v>
      </c>
      <c r="BJ147" s="16">
        <f t="shared" si="454"/>
        <v>0</v>
      </c>
      <c r="BK147" s="16" t="str">
        <f>IF('Sales Projections'!$D$13&gt;=ROW(BK147)-100,+$C147/4,"")</f>
        <v/>
      </c>
      <c r="BL147" s="16" t="str">
        <f>IF('Sales Projections'!$D$13&gt;=ROW(BL147)-100,+$C147/4,"")</f>
        <v/>
      </c>
      <c r="BM147" s="16" t="str">
        <f>IF('Sales Projections'!$D$13&gt;=ROW(BM147)-100,+$C147/4,"")</f>
        <v/>
      </c>
      <c r="BN147" s="16" t="str">
        <f>IF('Sales Projections'!$D$13&gt;=ROW(BN147)-100,+$C147/4,"")</f>
        <v/>
      </c>
      <c r="BP147" s="16">
        <f t="shared" si="446"/>
        <v>0</v>
      </c>
      <c r="BQ147" s="16" t="str">
        <f>IF('Sales Projections'!$E$13&gt;=ROW(BQ147)-100,+$C147/4,"")</f>
        <v/>
      </c>
      <c r="BR147" s="16" t="str">
        <f>IF('Sales Projections'!$E$13&gt;=ROW(BR147)-100,+$C147/4,"")</f>
        <v/>
      </c>
      <c r="BS147" s="16" t="str">
        <f>IF('Sales Projections'!$E$13&gt;=ROW(BS147)-100,+$C147/4,"")</f>
        <v/>
      </c>
      <c r="BT147" s="16" t="str">
        <f>IF('Sales Projections'!$E$13&gt;=ROW(BT147)-100,+$C147/4,"")</f>
        <v/>
      </c>
      <c r="BV147" s="16">
        <f t="shared" si="448"/>
        <v>125000</v>
      </c>
      <c r="BW147" s="16">
        <f>IF('Sales Projections'!$F$13&gt;=ROW(BW147)-100,+$C147/4,"")</f>
        <v>31250</v>
      </c>
      <c r="BX147" s="16">
        <f>IF('Sales Projections'!$F$13&gt;=ROW(BX147)-100,+$C147/4,"")</f>
        <v>31250</v>
      </c>
      <c r="BY147" s="16">
        <f>IF('Sales Projections'!$F$13&gt;=ROW(BY147)-100,+$C147/4,"")</f>
        <v>31250</v>
      </c>
      <c r="BZ147" s="16">
        <f>IF('Sales Projections'!$F$13&gt;=ROW(BZ147)-100,+$C147/4,"")</f>
        <v>31250</v>
      </c>
    </row>
    <row r="148" spans="2:78" s="265" customFormat="1" x14ac:dyDescent="0.25">
      <c r="B148" s="16" t="s">
        <v>724</v>
      </c>
      <c r="C148" s="16">
        <v>125000</v>
      </c>
      <c r="D148" s="16" t="s">
        <v>531</v>
      </c>
      <c r="BJ148" s="16">
        <f t="shared" si="454"/>
        <v>0</v>
      </c>
      <c r="BK148" s="16" t="str">
        <f>IF('Sales Projections'!$D$13&gt;=ROW(BK148)-100,+$C148/4,"")</f>
        <v/>
      </c>
      <c r="BL148" s="16" t="str">
        <f>IF('Sales Projections'!$D$13&gt;=ROW(BL148)-100,+$C148/4,"")</f>
        <v/>
      </c>
      <c r="BM148" s="16" t="str">
        <f>IF('Sales Projections'!$D$13&gt;=ROW(BM148)-100,+$C148/4,"")</f>
        <v/>
      </c>
      <c r="BN148" s="16" t="str">
        <f>IF('Sales Projections'!$D$13&gt;=ROW(BN148)-100,+$C148/4,"")</f>
        <v/>
      </c>
      <c r="BP148" s="16">
        <f t="shared" si="446"/>
        <v>0</v>
      </c>
      <c r="BQ148" s="16" t="str">
        <f>IF('Sales Projections'!$E$13&gt;=ROW(BQ148)-100,+$C148/4,"")</f>
        <v/>
      </c>
      <c r="BR148" s="16" t="str">
        <f>IF('Sales Projections'!$E$13&gt;=ROW(BR148)-100,+$C148/4,"")</f>
        <v/>
      </c>
      <c r="BS148" s="16" t="str">
        <f>IF('Sales Projections'!$E$13&gt;=ROW(BS148)-100,+$C148/4,"")</f>
        <v/>
      </c>
      <c r="BT148" s="16" t="str">
        <f>IF('Sales Projections'!$E$13&gt;=ROW(BT148)-100,+$C148/4,"")</f>
        <v/>
      </c>
      <c r="BV148" s="16">
        <f t="shared" si="448"/>
        <v>125000</v>
      </c>
      <c r="BW148" s="16">
        <f>IF('Sales Projections'!$F$13&gt;=ROW(BW148)-100,+$C148/4,"")</f>
        <v>31250</v>
      </c>
      <c r="BX148" s="16">
        <f>IF('Sales Projections'!$F$13&gt;=ROW(BX148)-100,+$C148/4,"")</f>
        <v>31250</v>
      </c>
      <c r="BY148" s="16">
        <f>IF('Sales Projections'!$F$13&gt;=ROW(BY148)-100,+$C148/4,"")</f>
        <v>31250</v>
      </c>
      <c r="BZ148" s="16">
        <f>IF('Sales Projections'!$F$13&gt;=ROW(BZ148)-100,+$C148/4,"")</f>
        <v>31250</v>
      </c>
    </row>
    <row r="149" spans="2:78" s="265" customFormat="1" x14ac:dyDescent="0.25">
      <c r="B149" s="16" t="s">
        <v>725</v>
      </c>
      <c r="C149" s="16">
        <v>125000</v>
      </c>
      <c r="D149" s="16" t="s">
        <v>531</v>
      </c>
      <c r="BJ149" s="16">
        <f t="shared" si="454"/>
        <v>0</v>
      </c>
      <c r="BK149" s="16" t="str">
        <f>IF('Sales Projections'!$D$13&gt;=ROW(BK149)-100,+$C149/4,"")</f>
        <v/>
      </c>
      <c r="BL149" s="16" t="str">
        <f>IF('Sales Projections'!$D$13&gt;=ROW(BL149)-100,+$C149/4,"")</f>
        <v/>
      </c>
      <c r="BM149" s="16" t="str">
        <f>IF('Sales Projections'!$D$13&gt;=ROW(BM149)-100,+$C149/4,"")</f>
        <v/>
      </c>
      <c r="BN149" s="16" t="str">
        <f>IF('Sales Projections'!$D$13&gt;=ROW(BN149)-100,+$C149/4,"")</f>
        <v/>
      </c>
      <c r="BP149" s="16">
        <f t="shared" si="446"/>
        <v>0</v>
      </c>
      <c r="BQ149" s="16" t="str">
        <f>IF('Sales Projections'!$E$13&gt;=ROW(BQ149)-100,+$C149/4,"")</f>
        <v/>
      </c>
      <c r="BR149" s="16" t="str">
        <f>IF('Sales Projections'!$E$13&gt;=ROW(BR149)-100,+$C149/4,"")</f>
        <v/>
      </c>
      <c r="BS149" s="16" t="str">
        <f>IF('Sales Projections'!$E$13&gt;=ROW(BS149)-100,+$C149/4,"")</f>
        <v/>
      </c>
      <c r="BT149" s="16" t="str">
        <f>IF('Sales Projections'!$E$13&gt;=ROW(BT149)-100,+$C149/4,"")</f>
        <v/>
      </c>
      <c r="BV149" s="16">
        <f t="shared" si="448"/>
        <v>125000</v>
      </c>
      <c r="BW149" s="16">
        <f>IF('Sales Projections'!$F$13&gt;=ROW(BW149)-100,+$C149/4,"")</f>
        <v>31250</v>
      </c>
      <c r="BX149" s="16">
        <f>IF('Sales Projections'!$F$13&gt;=ROW(BX149)-100,+$C149/4,"")</f>
        <v>31250</v>
      </c>
      <c r="BY149" s="16">
        <f>IF('Sales Projections'!$F$13&gt;=ROW(BY149)-100,+$C149/4,"")</f>
        <v>31250</v>
      </c>
      <c r="BZ149" s="16">
        <f>IF('Sales Projections'!$F$13&gt;=ROW(BZ149)-100,+$C149/4,"")</f>
        <v>31250</v>
      </c>
    </row>
    <row r="150" spans="2:78" s="265" customFormat="1" x14ac:dyDescent="0.25">
      <c r="B150" s="16" t="s">
        <v>726</v>
      </c>
      <c r="C150" s="16">
        <v>125000</v>
      </c>
      <c r="D150" s="16" t="s">
        <v>531</v>
      </c>
      <c r="BJ150" s="16">
        <f t="shared" si="454"/>
        <v>0</v>
      </c>
      <c r="BK150" s="16" t="str">
        <f>IF('Sales Projections'!$D$13&gt;=ROW(BK150)-100,+$C150/4,"")</f>
        <v/>
      </c>
      <c r="BL150" s="16" t="str">
        <f>IF('Sales Projections'!$D$13&gt;=ROW(BL150)-100,+$C150/4,"")</f>
        <v/>
      </c>
      <c r="BM150" s="16" t="str">
        <f>IF('Sales Projections'!$D$13&gt;=ROW(BM150)-100,+$C150/4,"")</f>
        <v/>
      </c>
      <c r="BN150" s="16" t="str">
        <f>IF('Sales Projections'!$D$13&gt;=ROW(BN150)-100,+$C150/4,"")</f>
        <v/>
      </c>
      <c r="BP150" s="16">
        <f t="shared" ref="BP150:BP213" si="455">SUM(BQ150:BT150)</f>
        <v>0</v>
      </c>
      <c r="BQ150" s="16" t="str">
        <f>IF('Sales Projections'!$E$13&gt;=ROW(BQ150)-100,+$C150/4,"")</f>
        <v/>
      </c>
      <c r="BR150" s="16" t="str">
        <f>IF('Sales Projections'!$E$13&gt;=ROW(BR150)-100,+$C150/4,"")</f>
        <v/>
      </c>
      <c r="BS150" s="16" t="str">
        <f>IF('Sales Projections'!$E$13&gt;=ROW(BS150)-100,+$C150/4,"")</f>
        <v/>
      </c>
      <c r="BT150" s="16" t="str">
        <f>IF('Sales Projections'!$E$13&gt;=ROW(BT150)-100,+$C150/4,"")</f>
        <v/>
      </c>
      <c r="BV150" s="16">
        <f t="shared" ref="BV150:BV213" si="456">SUM(BW150:BZ150)</f>
        <v>125000</v>
      </c>
      <c r="BW150" s="16">
        <f>IF('Sales Projections'!$F$13&gt;=ROW(BW150)-100,+$C150/4,"")</f>
        <v>31250</v>
      </c>
      <c r="BX150" s="16">
        <f>IF('Sales Projections'!$F$13&gt;=ROW(BX150)-100,+$C150/4,"")</f>
        <v>31250</v>
      </c>
      <c r="BY150" s="16">
        <f>IF('Sales Projections'!$F$13&gt;=ROW(BY150)-100,+$C150/4,"")</f>
        <v>31250</v>
      </c>
      <c r="BZ150" s="16">
        <f>IF('Sales Projections'!$F$13&gt;=ROW(BZ150)-100,+$C150/4,"")</f>
        <v>31250</v>
      </c>
    </row>
    <row r="151" spans="2:78" s="265" customFormat="1" x14ac:dyDescent="0.25">
      <c r="B151" s="16" t="s">
        <v>727</v>
      </c>
      <c r="C151" s="16">
        <v>125000</v>
      </c>
      <c r="D151" s="16" t="s">
        <v>531</v>
      </c>
      <c r="BJ151" s="16">
        <f t="shared" si="454"/>
        <v>0</v>
      </c>
      <c r="BK151" s="16" t="str">
        <f>IF('Sales Projections'!$D$13&gt;=ROW(BK151)-100,+$C151/4,"")</f>
        <v/>
      </c>
      <c r="BL151" s="16" t="str">
        <f>IF('Sales Projections'!$D$13&gt;=ROW(BL151)-100,+$C151/4,"")</f>
        <v/>
      </c>
      <c r="BM151" s="16" t="str">
        <f>IF('Sales Projections'!$D$13&gt;=ROW(BM151)-100,+$C151/4,"")</f>
        <v/>
      </c>
      <c r="BN151" s="16" t="str">
        <f>IF('Sales Projections'!$D$13&gt;=ROW(BN151)-100,+$C151/4,"")</f>
        <v/>
      </c>
      <c r="BP151" s="16">
        <f t="shared" si="455"/>
        <v>0</v>
      </c>
      <c r="BQ151" s="16" t="str">
        <f>IF('Sales Projections'!$E$13&gt;=ROW(BQ151)-100,+$C151/4,"")</f>
        <v/>
      </c>
      <c r="BR151" s="16" t="str">
        <f>IF('Sales Projections'!$E$13&gt;=ROW(BR151)-100,+$C151/4,"")</f>
        <v/>
      </c>
      <c r="BS151" s="16" t="str">
        <f>IF('Sales Projections'!$E$13&gt;=ROW(BS151)-100,+$C151/4,"")</f>
        <v/>
      </c>
      <c r="BT151" s="16" t="str">
        <f>IF('Sales Projections'!$E$13&gt;=ROW(BT151)-100,+$C151/4,"")</f>
        <v/>
      </c>
      <c r="BV151" s="16">
        <f t="shared" si="456"/>
        <v>125000</v>
      </c>
      <c r="BW151" s="16">
        <f>IF('Sales Projections'!$F$13&gt;=ROW(BW151)-100,+$C151/4,"")</f>
        <v>31250</v>
      </c>
      <c r="BX151" s="16">
        <f>IF('Sales Projections'!$F$13&gt;=ROW(BX151)-100,+$C151/4,"")</f>
        <v>31250</v>
      </c>
      <c r="BY151" s="16">
        <f>IF('Sales Projections'!$F$13&gt;=ROW(BY151)-100,+$C151/4,"")</f>
        <v>31250</v>
      </c>
      <c r="BZ151" s="16">
        <f>IF('Sales Projections'!$F$13&gt;=ROW(BZ151)-100,+$C151/4,"")</f>
        <v>31250</v>
      </c>
    </row>
    <row r="152" spans="2:78" s="265" customFormat="1" x14ac:dyDescent="0.25">
      <c r="B152" s="16" t="s">
        <v>728</v>
      </c>
      <c r="C152" s="16">
        <v>125000</v>
      </c>
      <c r="D152" s="16" t="s">
        <v>531</v>
      </c>
      <c r="BJ152" s="16">
        <f t="shared" si="454"/>
        <v>0</v>
      </c>
      <c r="BK152" s="16" t="str">
        <f>IF('Sales Projections'!$D$13&gt;=ROW(BK152)-100,+$C152/4,"")</f>
        <v/>
      </c>
      <c r="BL152" s="16" t="str">
        <f>IF('Sales Projections'!$D$13&gt;=ROW(BL152)-100,+$C152/4,"")</f>
        <v/>
      </c>
      <c r="BM152" s="16" t="str">
        <f>IF('Sales Projections'!$D$13&gt;=ROW(BM152)-100,+$C152/4,"")</f>
        <v/>
      </c>
      <c r="BN152" s="16" t="str">
        <f>IF('Sales Projections'!$D$13&gt;=ROW(BN152)-100,+$C152/4,"")</f>
        <v/>
      </c>
      <c r="BP152" s="16">
        <f t="shared" si="455"/>
        <v>0</v>
      </c>
      <c r="BQ152" s="16" t="str">
        <f>IF('Sales Projections'!$E$13&gt;=ROW(BQ152)-100,+$C152/4,"")</f>
        <v/>
      </c>
      <c r="BR152" s="16" t="str">
        <f>IF('Sales Projections'!$E$13&gt;=ROW(BR152)-100,+$C152/4,"")</f>
        <v/>
      </c>
      <c r="BS152" s="16" t="str">
        <f>IF('Sales Projections'!$E$13&gt;=ROW(BS152)-100,+$C152/4,"")</f>
        <v/>
      </c>
      <c r="BT152" s="16" t="str">
        <f>IF('Sales Projections'!$E$13&gt;=ROW(BT152)-100,+$C152/4,"")</f>
        <v/>
      </c>
      <c r="BV152" s="16">
        <f t="shared" si="456"/>
        <v>125000</v>
      </c>
      <c r="BW152" s="16">
        <f>IF('Sales Projections'!$F$13&gt;=ROW(BW152)-100,+$C152/4,"")</f>
        <v>31250</v>
      </c>
      <c r="BX152" s="16">
        <f>IF('Sales Projections'!$F$13&gt;=ROW(BX152)-100,+$C152/4,"")</f>
        <v>31250</v>
      </c>
      <c r="BY152" s="16">
        <f>IF('Sales Projections'!$F$13&gt;=ROW(BY152)-100,+$C152/4,"")</f>
        <v>31250</v>
      </c>
      <c r="BZ152" s="16">
        <f>IF('Sales Projections'!$F$13&gt;=ROW(BZ152)-100,+$C152/4,"")</f>
        <v>31250</v>
      </c>
    </row>
    <row r="153" spans="2:78" s="265" customFormat="1" x14ac:dyDescent="0.25">
      <c r="B153" s="16" t="s">
        <v>729</v>
      </c>
      <c r="C153" s="16">
        <v>125000</v>
      </c>
      <c r="D153" s="16" t="s">
        <v>531</v>
      </c>
      <c r="BJ153" s="16">
        <f t="shared" si="454"/>
        <v>0</v>
      </c>
      <c r="BK153" s="16" t="str">
        <f>IF('Sales Projections'!$D$13&gt;=ROW(BK153)-100,+$C153/4,"")</f>
        <v/>
      </c>
      <c r="BL153" s="16" t="str">
        <f>IF('Sales Projections'!$D$13&gt;=ROW(BL153)-100,+$C153/4,"")</f>
        <v/>
      </c>
      <c r="BM153" s="16" t="str">
        <f>IF('Sales Projections'!$D$13&gt;=ROW(BM153)-100,+$C153/4,"")</f>
        <v/>
      </c>
      <c r="BN153" s="16" t="str">
        <f>IF('Sales Projections'!$D$13&gt;=ROW(BN153)-100,+$C153/4,"")</f>
        <v/>
      </c>
      <c r="BP153" s="16">
        <f t="shared" si="455"/>
        <v>0</v>
      </c>
      <c r="BQ153" s="16" t="str">
        <f>IF('Sales Projections'!$E$13&gt;=ROW(BQ153)-100,+$C153/4,"")</f>
        <v/>
      </c>
      <c r="BR153" s="16" t="str">
        <f>IF('Sales Projections'!$E$13&gt;=ROW(BR153)-100,+$C153/4,"")</f>
        <v/>
      </c>
      <c r="BS153" s="16" t="str">
        <f>IF('Sales Projections'!$E$13&gt;=ROW(BS153)-100,+$C153/4,"")</f>
        <v/>
      </c>
      <c r="BT153" s="16" t="str">
        <f>IF('Sales Projections'!$E$13&gt;=ROW(BT153)-100,+$C153/4,"")</f>
        <v/>
      </c>
      <c r="BV153" s="16">
        <f t="shared" si="456"/>
        <v>125000</v>
      </c>
      <c r="BW153" s="16">
        <f>IF('Sales Projections'!$F$13&gt;=ROW(BW153)-100,+$C153/4,"")</f>
        <v>31250</v>
      </c>
      <c r="BX153" s="16">
        <f>IF('Sales Projections'!$F$13&gt;=ROW(BX153)-100,+$C153/4,"")</f>
        <v>31250</v>
      </c>
      <c r="BY153" s="16">
        <f>IF('Sales Projections'!$F$13&gt;=ROW(BY153)-100,+$C153/4,"")</f>
        <v>31250</v>
      </c>
      <c r="BZ153" s="16">
        <f>IF('Sales Projections'!$F$13&gt;=ROW(BZ153)-100,+$C153/4,"")</f>
        <v>31250</v>
      </c>
    </row>
    <row r="154" spans="2:78" s="265" customFormat="1" x14ac:dyDescent="0.25">
      <c r="B154" s="16" t="s">
        <v>730</v>
      </c>
      <c r="C154" s="16">
        <v>125000</v>
      </c>
      <c r="D154" s="16" t="s">
        <v>531</v>
      </c>
      <c r="BJ154" s="16">
        <f t="shared" si="454"/>
        <v>0</v>
      </c>
      <c r="BK154" s="16" t="str">
        <f>IF('Sales Projections'!$D$13&gt;=ROW(BK154)-100,+$C154/4,"")</f>
        <v/>
      </c>
      <c r="BL154" s="16" t="str">
        <f>IF('Sales Projections'!$D$13&gt;=ROW(BL154)-100,+$C154/4,"")</f>
        <v/>
      </c>
      <c r="BM154" s="16" t="str">
        <f>IF('Sales Projections'!$D$13&gt;=ROW(BM154)-100,+$C154/4,"")</f>
        <v/>
      </c>
      <c r="BN154" s="16" t="str">
        <f>IF('Sales Projections'!$D$13&gt;=ROW(BN154)-100,+$C154/4,"")</f>
        <v/>
      </c>
      <c r="BP154" s="16">
        <f t="shared" si="455"/>
        <v>0</v>
      </c>
      <c r="BQ154" s="16" t="str">
        <f>IF('Sales Projections'!$E$13&gt;=ROW(BQ154)-100,+$C154/4,"")</f>
        <v/>
      </c>
      <c r="BR154" s="16" t="str">
        <f>IF('Sales Projections'!$E$13&gt;=ROW(BR154)-100,+$C154/4,"")</f>
        <v/>
      </c>
      <c r="BS154" s="16" t="str">
        <f>IF('Sales Projections'!$E$13&gt;=ROW(BS154)-100,+$C154/4,"")</f>
        <v/>
      </c>
      <c r="BT154" s="16" t="str">
        <f>IF('Sales Projections'!$E$13&gt;=ROW(BT154)-100,+$C154/4,"")</f>
        <v/>
      </c>
      <c r="BV154" s="16">
        <f t="shared" si="456"/>
        <v>0</v>
      </c>
      <c r="BW154" s="16" t="str">
        <f>IF('Sales Projections'!$F$13&gt;=ROW(BW154)-100,+$C154/4,"")</f>
        <v/>
      </c>
      <c r="BX154" s="16" t="str">
        <f>IF('Sales Projections'!$F$13&gt;=ROW(BX154)-100,+$C154/4,"")</f>
        <v/>
      </c>
      <c r="BY154" s="16" t="str">
        <f>IF('Sales Projections'!$F$13&gt;=ROW(BY154)-100,+$C154/4,"")</f>
        <v/>
      </c>
      <c r="BZ154" s="16" t="str">
        <f>IF('Sales Projections'!$F$13&gt;=ROW(BZ154)-100,+$C154/4,"")</f>
        <v/>
      </c>
    </row>
    <row r="155" spans="2:78" s="265" customFormat="1" x14ac:dyDescent="0.25">
      <c r="B155" s="16" t="s">
        <v>731</v>
      </c>
      <c r="C155" s="16">
        <v>125000</v>
      </c>
      <c r="D155" s="16" t="s">
        <v>531</v>
      </c>
      <c r="BJ155" s="16">
        <f t="shared" si="454"/>
        <v>0</v>
      </c>
      <c r="BK155" s="16" t="str">
        <f>IF('Sales Projections'!$D$13&gt;=ROW(BK155)-100,+$C155/4,"")</f>
        <v/>
      </c>
      <c r="BL155" s="16" t="str">
        <f>IF('Sales Projections'!$D$13&gt;=ROW(BL155)-100,+$C155/4,"")</f>
        <v/>
      </c>
      <c r="BM155" s="16" t="str">
        <f>IF('Sales Projections'!$D$13&gt;=ROW(BM155)-100,+$C155/4,"")</f>
        <v/>
      </c>
      <c r="BN155" s="16" t="str">
        <f>IF('Sales Projections'!$D$13&gt;=ROW(BN155)-100,+$C155/4,"")</f>
        <v/>
      </c>
      <c r="BP155" s="16">
        <f t="shared" si="455"/>
        <v>0</v>
      </c>
      <c r="BQ155" s="16" t="str">
        <f>IF('Sales Projections'!$E$13&gt;=ROW(BQ155)-100,+$C155/4,"")</f>
        <v/>
      </c>
      <c r="BR155" s="16" t="str">
        <f>IF('Sales Projections'!$E$13&gt;=ROW(BR155)-100,+$C155/4,"")</f>
        <v/>
      </c>
      <c r="BS155" s="16" t="str">
        <f>IF('Sales Projections'!$E$13&gt;=ROW(BS155)-100,+$C155/4,"")</f>
        <v/>
      </c>
      <c r="BT155" s="16" t="str">
        <f>IF('Sales Projections'!$E$13&gt;=ROW(BT155)-100,+$C155/4,"")</f>
        <v/>
      </c>
      <c r="BV155" s="16">
        <f t="shared" si="456"/>
        <v>0</v>
      </c>
      <c r="BW155" s="16" t="str">
        <f>IF('Sales Projections'!$F$13&gt;=ROW(BW155)-100,+$C155/4,"")</f>
        <v/>
      </c>
      <c r="BX155" s="16" t="str">
        <f>IF('Sales Projections'!$F$13&gt;=ROW(BX155)-100,+$C155/4,"")</f>
        <v/>
      </c>
      <c r="BY155" s="16" t="str">
        <f>IF('Sales Projections'!$F$13&gt;=ROW(BY155)-100,+$C155/4,"")</f>
        <v/>
      </c>
      <c r="BZ155" s="16" t="str">
        <f>IF('Sales Projections'!$F$13&gt;=ROW(BZ155)-100,+$C155/4,"")</f>
        <v/>
      </c>
    </row>
    <row r="156" spans="2:78" s="265" customFormat="1" x14ac:dyDescent="0.25">
      <c r="B156" s="16" t="s">
        <v>732</v>
      </c>
      <c r="C156" s="16">
        <v>125000</v>
      </c>
      <c r="D156" s="16" t="s">
        <v>531</v>
      </c>
      <c r="BJ156" s="16">
        <f t="shared" si="454"/>
        <v>0</v>
      </c>
      <c r="BK156" s="16" t="str">
        <f>IF('Sales Projections'!$D$13&gt;=ROW(BK156)-100,+$C156/4,"")</f>
        <v/>
      </c>
      <c r="BL156" s="16" t="str">
        <f>IF('Sales Projections'!$D$13&gt;=ROW(BL156)-100,+$C156/4,"")</f>
        <v/>
      </c>
      <c r="BM156" s="16" t="str">
        <f>IF('Sales Projections'!$D$13&gt;=ROW(BM156)-100,+$C156/4,"")</f>
        <v/>
      </c>
      <c r="BN156" s="16" t="str">
        <f>IF('Sales Projections'!$D$13&gt;=ROW(BN156)-100,+$C156/4,"")</f>
        <v/>
      </c>
      <c r="BP156" s="16">
        <f t="shared" si="455"/>
        <v>0</v>
      </c>
      <c r="BQ156" s="16" t="str">
        <f>IF('Sales Projections'!$E$13&gt;=ROW(BQ156)-100,+$C156/4,"")</f>
        <v/>
      </c>
      <c r="BR156" s="16" t="str">
        <f>IF('Sales Projections'!$E$13&gt;=ROW(BR156)-100,+$C156/4,"")</f>
        <v/>
      </c>
      <c r="BS156" s="16" t="str">
        <f>IF('Sales Projections'!$E$13&gt;=ROW(BS156)-100,+$C156/4,"")</f>
        <v/>
      </c>
      <c r="BT156" s="16" t="str">
        <f>IF('Sales Projections'!$E$13&gt;=ROW(BT156)-100,+$C156/4,"")</f>
        <v/>
      </c>
      <c r="BV156" s="16">
        <f t="shared" si="456"/>
        <v>0</v>
      </c>
      <c r="BW156" s="16" t="str">
        <f>IF('Sales Projections'!$F$13&gt;=ROW(BW156)-100,+$C156/4,"")</f>
        <v/>
      </c>
      <c r="BX156" s="16" t="str">
        <f>IF('Sales Projections'!$F$13&gt;=ROW(BX156)-100,+$C156/4,"")</f>
        <v/>
      </c>
      <c r="BY156" s="16" t="str">
        <f>IF('Sales Projections'!$F$13&gt;=ROW(BY156)-100,+$C156/4,"")</f>
        <v/>
      </c>
      <c r="BZ156" s="16" t="str">
        <f>IF('Sales Projections'!$F$13&gt;=ROW(BZ156)-100,+$C156/4,"")</f>
        <v/>
      </c>
    </row>
    <row r="157" spans="2:78" s="265" customFormat="1" x14ac:dyDescent="0.25">
      <c r="B157" s="16" t="s">
        <v>733</v>
      </c>
      <c r="C157" s="16">
        <v>125000</v>
      </c>
      <c r="D157" s="16" t="s">
        <v>531</v>
      </c>
      <c r="BJ157" s="16">
        <f t="shared" si="454"/>
        <v>0</v>
      </c>
      <c r="BK157" s="16" t="str">
        <f>IF('Sales Projections'!$D$13&gt;=ROW(BK157)-100,+$C157/4,"")</f>
        <v/>
      </c>
      <c r="BL157" s="16" t="str">
        <f>IF('Sales Projections'!$D$13&gt;=ROW(BL157)-100,+$C157/4,"")</f>
        <v/>
      </c>
      <c r="BM157" s="16" t="str">
        <f>IF('Sales Projections'!$D$13&gt;=ROW(BM157)-100,+$C157/4,"")</f>
        <v/>
      </c>
      <c r="BN157" s="16" t="str">
        <f>IF('Sales Projections'!$D$13&gt;=ROW(BN157)-100,+$C157/4,"")</f>
        <v/>
      </c>
      <c r="BP157" s="16">
        <f t="shared" si="455"/>
        <v>0</v>
      </c>
      <c r="BQ157" s="16" t="str">
        <f>IF('Sales Projections'!$E$13&gt;=ROW(BQ157)-100,+$C157/4,"")</f>
        <v/>
      </c>
      <c r="BR157" s="16" t="str">
        <f>IF('Sales Projections'!$E$13&gt;=ROW(BR157)-100,+$C157/4,"")</f>
        <v/>
      </c>
      <c r="BS157" s="16" t="str">
        <f>IF('Sales Projections'!$E$13&gt;=ROW(BS157)-100,+$C157/4,"")</f>
        <v/>
      </c>
      <c r="BT157" s="16" t="str">
        <f>IF('Sales Projections'!$E$13&gt;=ROW(BT157)-100,+$C157/4,"")</f>
        <v/>
      </c>
      <c r="BV157" s="16">
        <f t="shared" si="456"/>
        <v>0</v>
      </c>
      <c r="BW157" s="16" t="str">
        <f>IF('Sales Projections'!$F$13&gt;=ROW(BW157)-100,+$C157/4,"")</f>
        <v/>
      </c>
      <c r="BX157" s="16" t="str">
        <f>IF('Sales Projections'!$F$13&gt;=ROW(BX157)-100,+$C157/4,"")</f>
        <v/>
      </c>
      <c r="BY157" s="16" t="str">
        <f>IF('Sales Projections'!$F$13&gt;=ROW(BY157)-100,+$C157/4,"")</f>
        <v/>
      </c>
      <c r="BZ157" s="16" t="str">
        <f>IF('Sales Projections'!$F$13&gt;=ROW(BZ157)-100,+$C157/4,"")</f>
        <v/>
      </c>
    </row>
    <row r="158" spans="2:78" s="265" customFormat="1" x14ac:dyDescent="0.25">
      <c r="B158" s="16" t="s">
        <v>734</v>
      </c>
      <c r="C158" s="16">
        <v>125000</v>
      </c>
      <c r="D158" s="16" t="s">
        <v>531</v>
      </c>
      <c r="BJ158" s="16">
        <f t="shared" si="454"/>
        <v>0</v>
      </c>
      <c r="BK158" s="16" t="str">
        <f>IF('Sales Projections'!$D$13&gt;=ROW(BK158)-100,+$C158/4,"")</f>
        <v/>
      </c>
      <c r="BL158" s="16" t="str">
        <f>IF('Sales Projections'!$D$13&gt;=ROW(BL158)-100,+$C158/4,"")</f>
        <v/>
      </c>
      <c r="BM158" s="16" t="str">
        <f>IF('Sales Projections'!$D$13&gt;=ROW(BM158)-100,+$C158/4,"")</f>
        <v/>
      </c>
      <c r="BN158" s="16" t="str">
        <f>IF('Sales Projections'!$D$13&gt;=ROW(BN158)-100,+$C158/4,"")</f>
        <v/>
      </c>
      <c r="BP158" s="16">
        <f t="shared" si="455"/>
        <v>0</v>
      </c>
      <c r="BQ158" s="16" t="str">
        <f>IF('Sales Projections'!$E$13&gt;=ROW(BQ158)-100,+$C158/4,"")</f>
        <v/>
      </c>
      <c r="BR158" s="16" t="str">
        <f>IF('Sales Projections'!$E$13&gt;=ROW(BR158)-100,+$C158/4,"")</f>
        <v/>
      </c>
      <c r="BS158" s="16" t="str">
        <f>IF('Sales Projections'!$E$13&gt;=ROW(BS158)-100,+$C158/4,"")</f>
        <v/>
      </c>
      <c r="BT158" s="16" t="str">
        <f>IF('Sales Projections'!$E$13&gt;=ROW(BT158)-100,+$C158/4,"")</f>
        <v/>
      </c>
      <c r="BV158" s="16">
        <f t="shared" si="456"/>
        <v>0</v>
      </c>
      <c r="BW158" s="16" t="str">
        <f>IF('Sales Projections'!$F$13&gt;=ROW(BW158)-100,+$C158/4,"")</f>
        <v/>
      </c>
      <c r="BX158" s="16" t="str">
        <f>IF('Sales Projections'!$F$13&gt;=ROW(BX158)-100,+$C158/4,"")</f>
        <v/>
      </c>
      <c r="BY158" s="16" t="str">
        <f>IF('Sales Projections'!$F$13&gt;=ROW(BY158)-100,+$C158/4,"")</f>
        <v/>
      </c>
      <c r="BZ158" s="16" t="str">
        <f>IF('Sales Projections'!$F$13&gt;=ROW(BZ158)-100,+$C158/4,"")</f>
        <v/>
      </c>
    </row>
    <row r="159" spans="2:78" s="265" customFormat="1" x14ac:dyDescent="0.25">
      <c r="B159" s="16" t="s">
        <v>735</v>
      </c>
      <c r="C159" s="16">
        <v>125000</v>
      </c>
      <c r="D159" s="16" t="s">
        <v>531</v>
      </c>
      <c r="BJ159" s="16">
        <f t="shared" si="454"/>
        <v>0</v>
      </c>
      <c r="BK159" s="16" t="str">
        <f>IF('Sales Projections'!$D$13&gt;=ROW(BK159)-100,+$C159/4,"")</f>
        <v/>
      </c>
      <c r="BL159" s="16" t="str">
        <f>IF('Sales Projections'!$D$13&gt;=ROW(BL159)-100,+$C159/4,"")</f>
        <v/>
      </c>
      <c r="BM159" s="16" t="str">
        <f>IF('Sales Projections'!$D$13&gt;=ROW(BM159)-100,+$C159/4,"")</f>
        <v/>
      </c>
      <c r="BN159" s="16" t="str">
        <f>IF('Sales Projections'!$D$13&gt;=ROW(BN159)-100,+$C159/4,"")</f>
        <v/>
      </c>
      <c r="BP159" s="16">
        <f t="shared" si="455"/>
        <v>0</v>
      </c>
      <c r="BQ159" s="16" t="str">
        <f>IF('Sales Projections'!$E$13&gt;=ROW(BQ159)-100,+$C159/4,"")</f>
        <v/>
      </c>
      <c r="BR159" s="16" t="str">
        <f>IF('Sales Projections'!$E$13&gt;=ROW(BR159)-100,+$C159/4,"")</f>
        <v/>
      </c>
      <c r="BS159" s="16" t="str">
        <f>IF('Sales Projections'!$E$13&gt;=ROW(BS159)-100,+$C159/4,"")</f>
        <v/>
      </c>
      <c r="BT159" s="16" t="str">
        <f>IF('Sales Projections'!$E$13&gt;=ROW(BT159)-100,+$C159/4,"")</f>
        <v/>
      </c>
      <c r="BV159" s="16">
        <f t="shared" si="456"/>
        <v>0</v>
      </c>
      <c r="BW159" s="16" t="str">
        <f>IF('Sales Projections'!$F$13&gt;=ROW(BW159)-100,+$C159/4,"")</f>
        <v/>
      </c>
      <c r="BX159" s="16" t="str">
        <f>IF('Sales Projections'!$F$13&gt;=ROW(BX159)-100,+$C159/4,"")</f>
        <v/>
      </c>
      <c r="BY159" s="16" t="str">
        <f>IF('Sales Projections'!$F$13&gt;=ROW(BY159)-100,+$C159/4,"")</f>
        <v/>
      </c>
      <c r="BZ159" s="16" t="str">
        <f>IF('Sales Projections'!$F$13&gt;=ROW(BZ159)-100,+$C159/4,"")</f>
        <v/>
      </c>
    </row>
    <row r="160" spans="2:78" s="265" customFormat="1" x14ac:dyDescent="0.25">
      <c r="B160" s="16" t="s">
        <v>736</v>
      </c>
      <c r="C160" s="16">
        <v>125000</v>
      </c>
      <c r="D160" s="16" t="s">
        <v>531</v>
      </c>
      <c r="BJ160" s="16">
        <f t="shared" si="454"/>
        <v>0</v>
      </c>
      <c r="BK160" s="16" t="str">
        <f>IF('Sales Projections'!$D$13&gt;=ROW(BK160)-100,+$C160/4,"")</f>
        <v/>
      </c>
      <c r="BL160" s="16" t="str">
        <f>IF('Sales Projections'!$D$13&gt;=ROW(BL160)-100,+$C160/4,"")</f>
        <v/>
      </c>
      <c r="BM160" s="16" t="str">
        <f>IF('Sales Projections'!$D$13&gt;=ROW(BM160)-100,+$C160/4,"")</f>
        <v/>
      </c>
      <c r="BN160" s="16" t="str">
        <f>IF('Sales Projections'!$D$13&gt;=ROW(BN160)-100,+$C160/4,"")</f>
        <v/>
      </c>
      <c r="BP160" s="16">
        <f t="shared" si="455"/>
        <v>0</v>
      </c>
      <c r="BQ160" s="16" t="str">
        <f>IF('Sales Projections'!$E$13&gt;=ROW(BQ160)-100,+$C160/4,"")</f>
        <v/>
      </c>
      <c r="BR160" s="16" t="str">
        <f>IF('Sales Projections'!$E$13&gt;=ROW(BR160)-100,+$C160/4,"")</f>
        <v/>
      </c>
      <c r="BS160" s="16" t="str">
        <f>IF('Sales Projections'!$E$13&gt;=ROW(BS160)-100,+$C160/4,"")</f>
        <v/>
      </c>
      <c r="BT160" s="16" t="str">
        <f>IF('Sales Projections'!$E$13&gt;=ROW(BT160)-100,+$C160/4,"")</f>
        <v/>
      </c>
      <c r="BV160" s="16">
        <f t="shared" si="456"/>
        <v>0</v>
      </c>
      <c r="BW160" s="16" t="str">
        <f>IF('Sales Projections'!$F$13&gt;=ROW(BW160)-100,+$C160/4,"")</f>
        <v/>
      </c>
      <c r="BX160" s="16" t="str">
        <f>IF('Sales Projections'!$F$13&gt;=ROW(BX160)-100,+$C160/4,"")</f>
        <v/>
      </c>
      <c r="BY160" s="16" t="str">
        <f>IF('Sales Projections'!$F$13&gt;=ROW(BY160)-100,+$C160/4,"")</f>
        <v/>
      </c>
      <c r="BZ160" s="16" t="str">
        <f>IF('Sales Projections'!$F$13&gt;=ROW(BZ160)-100,+$C160/4,"")</f>
        <v/>
      </c>
    </row>
    <row r="161" spans="2:78" s="265" customFormat="1" x14ac:dyDescent="0.25">
      <c r="B161" s="16" t="s">
        <v>737</v>
      </c>
      <c r="C161" s="16">
        <v>125000</v>
      </c>
      <c r="D161" s="16" t="s">
        <v>531</v>
      </c>
      <c r="BJ161" s="16">
        <f t="shared" si="454"/>
        <v>0</v>
      </c>
      <c r="BK161" s="16" t="str">
        <f>IF('Sales Projections'!$D$13&gt;=ROW(BK161)-100,+$C161/4,"")</f>
        <v/>
      </c>
      <c r="BL161" s="16" t="str">
        <f>IF('Sales Projections'!$D$13&gt;=ROW(BL161)-100,+$C161/4,"")</f>
        <v/>
      </c>
      <c r="BM161" s="16" t="str">
        <f>IF('Sales Projections'!$D$13&gt;=ROW(BM161)-100,+$C161/4,"")</f>
        <v/>
      </c>
      <c r="BN161" s="16" t="str">
        <f>IF('Sales Projections'!$D$13&gt;=ROW(BN161)-100,+$C161/4,"")</f>
        <v/>
      </c>
      <c r="BP161" s="16">
        <f t="shared" si="455"/>
        <v>0</v>
      </c>
      <c r="BQ161" s="16" t="str">
        <f>IF('Sales Projections'!$E$13&gt;=ROW(BQ161)-100,+$C161/4,"")</f>
        <v/>
      </c>
      <c r="BR161" s="16" t="str">
        <f>IF('Sales Projections'!$E$13&gt;=ROW(BR161)-100,+$C161/4,"")</f>
        <v/>
      </c>
      <c r="BS161" s="16" t="str">
        <f>IF('Sales Projections'!$E$13&gt;=ROW(BS161)-100,+$C161/4,"")</f>
        <v/>
      </c>
      <c r="BT161" s="16" t="str">
        <f>IF('Sales Projections'!$E$13&gt;=ROW(BT161)-100,+$C161/4,"")</f>
        <v/>
      </c>
      <c r="BV161" s="16">
        <f t="shared" si="456"/>
        <v>0</v>
      </c>
      <c r="BW161" s="16" t="str">
        <f>IF('Sales Projections'!$F$13&gt;=ROW(BW161)-100,+$C161/4,"")</f>
        <v/>
      </c>
      <c r="BX161" s="16" t="str">
        <f>IF('Sales Projections'!$F$13&gt;=ROW(BX161)-100,+$C161/4,"")</f>
        <v/>
      </c>
      <c r="BY161" s="16" t="str">
        <f>IF('Sales Projections'!$F$13&gt;=ROW(BY161)-100,+$C161/4,"")</f>
        <v/>
      </c>
      <c r="BZ161" s="16" t="str">
        <f>IF('Sales Projections'!$F$13&gt;=ROW(BZ161)-100,+$C161/4,"")</f>
        <v/>
      </c>
    </row>
    <row r="162" spans="2:78" s="265" customFormat="1" x14ac:dyDescent="0.25">
      <c r="B162" s="16" t="s">
        <v>738</v>
      </c>
      <c r="C162" s="16">
        <v>125000</v>
      </c>
      <c r="D162" s="16" t="s">
        <v>531</v>
      </c>
      <c r="BJ162" s="16">
        <f t="shared" si="454"/>
        <v>0</v>
      </c>
      <c r="BK162" s="16" t="str">
        <f>IF('Sales Projections'!$D$13&gt;=ROW(BK162)-100,+$C162/4,"")</f>
        <v/>
      </c>
      <c r="BL162" s="16" t="str">
        <f>IF('Sales Projections'!$D$13&gt;=ROW(BL162)-100,+$C162/4,"")</f>
        <v/>
      </c>
      <c r="BM162" s="16" t="str">
        <f>IF('Sales Projections'!$D$13&gt;=ROW(BM162)-100,+$C162/4,"")</f>
        <v/>
      </c>
      <c r="BN162" s="16" t="str">
        <f>IF('Sales Projections'!$D$13&gt;=ROW(BN162)-100,+$C162/4,"")</f>
        <v/>
      </c>
      <c r="BP162" s="16">
        <f t="shared" si="455"/>
        <v>0</v>
      </c>
      <c r="BQ162" s="16" t="str">
        <f>IF('Sales Projections'!$E$13&gt;=ROW(BQ162)-100,+$C162/4,"")</f>
        <v/>
      </c>
      <c r="BR162" s="16" t="str">
        <f>IF('Sales Projections'!$E$13&gt;=ROW(BR162)-100,+$C162/4,"")</f>
        <v/>
      </c>
      <c r="BS162" s="16" t="str">
        <f>IF('Sales Projections'!$E$13&gt;=ROW(BS162)-100,+$C162/4,"")</f>
        <v/>
      </c>
      <c r="BT162" s="16" t="str">
        <f>IF('Sales Projections'!$E$13&gt;=ROW(BT162)-100,+$C162/4,"")</f>
        <v/>
      </c>
      <c r="BV162" s="16">
        <f t="shared" si="456"/>
        <v>0</v>
      </c>
      <c r="BW162" s="16" t="str">
        <f>IF('Sales Projections'!$F$13&gt;=ROW(BW162)-100,+$C162/4,"")</f>
        <v/>
      </c>
      <c r="BX162" s="16" t="str">
        <f>IF('Sales Projections'!$F$13&gt;=ROW(BX162)-100,+$C162/4,"")</f>
        <v/>
      </c>
      <c r="BY162" s="16" t="str">
        <f>IF('Sales Projections'!$F$13&gt;=ROW(BY162)-100,+$C162/4,"")</f>
        <v/>
      </c>
      <c r="BZ162" s="16" t="str">
        <f>IF('Sales Projections'!$F$13&gt;=ROW(BZ162)-100,+$C162/4,"")</f>
        <v/>
      </c>
    </row>
    <row r="163" spans="2:78" s="265" customFormat="1" x14ac:dyDescent="0.25">
      <c r="B163" s="16" t="s">
        <v>739</v>
      </c>
      <c r="C163" s="16">
        <v>125000</v>
      </c>
      <c r="D163" s="16" t="s">
        <v>531</v>
      </c>
      <c r="BJ163" s="16">
        <f t="shared" si="454"/>
        <v>0</v>
      </c>
      <c r="BK163" s="16" t="str">
        <f>IF('Sales Projections'!$D$13&gt;=ROW(BK163)-100,+$C163/4,"")</f>
        <v/>
      </c>
      <c r="BL163" s="16" t="str">
        <f>IF('Sales Projections'!$D$13&gt;=ROW(BL163)-100,+$C163/4,"")</f>
        <v/>
      </c>
      <c r="BM163" s="16" t="str">
        <f>IF('Sales Projections'!$D$13&gt;=ROW(BM163)-100,+$C163/4,"")</f>
        <v/>
      </c>
      <c r="BN163" s="16" t="str">
        <f>IF('Sales Projections'!$D$13&gt;=ROW(BN163)-100,+$C163/4,"")</f>
        <v/>
      </c>
      <c r="BP163" s="16">
        <f t="shared" si="455"/>
        <v>0</v>
      </c>
      <c r="BQ163" s="16" t="str">
        <f>IF('Sales Projections'!$E$13&gt;=ROW(BQ163)-100,+$C163/4,"")</f>
        <v/>
      </c>
      <c r="BR163" s="16" t="str">
        <f>IF('Sales Projections'!$E$13&gt;=ROW(BR163)-100,+$C163/4,"")</f>
        <v/>
      </c>
      <c r="BS163" s="16" t="str">
        <f>IF('Sales Projections'!$E$13&gt;=ROW(BS163)-100,+$C163/4,"")</f>
        <v/>
      </c>
      <c r="BT163" s="16" t="str">
        <f>IF('Sales Projections'!$E$13&gt;=ROW(BT163)-100,+$C163/4,"")</f>
        <v/>
      </c>
      <c r="BV163" s="16">
        <f t="shared" si="456"/>
        <v>0</v>
      </c>
      <c r="BW163" s="16" t="str">
        <f>IF('Sales Projections'!$F$13&gt;=ROW(BW163)-100,+$C163/4,"")</f>
        <v/>
      </c>
      <c r="BX163" s="16" t="str">
        <f>IF('Sales Projections'!$F$13&gt;=ROW(BX163)-100,+$C163/4,"")</f>
        <v/>
      </c>
      <c r="BY163" s="16" t="str">
        <f>IF('Sales Projections'!$F$13&gt;=ROW(BY163)-100,+$C163/4,"")</f>
        <v/>
      </c>
      <c r="BZ163" s="16" t="str">
        <f>IF('Sales Projections'!$F$13&gt;=ROW(BZ163)-100,+$C163/4,"")</f>
        <v/>
      </c>
    </row>
    <row r="164" spans="2:78" s="265" customFormat="1" x14ac:dyDescent="0.25">
      <c r="B164" s="16" t="s">
        <v>740</v>
      </c>
      <c r="C164" s="16">
        <v>125000</v>
      </c>
      <c r="D164" s="16" t="s">
        <v>531</v>
      </c>
      <c r="BJ164" s="16">
        <f t="shared" si="454"/>
        <v>0</v>
      </c>
      <c r="BK164" s="16" t="str">
        <f>IF('Sales Projections'!$D$13&gt;=ROW(BK164)-100,+$C164/4,"")</f>
        <v/>
      </c>
      <c r="BL164" s="16" t="str">
        <f>IF('Sales Projections'!$D$13&gt;=ROW(BL164)-100,+$C164/4,"")</f>
        <v/>
      </c>
      <c r="BM164" s="16" t="str">
        <f>IF('Sales Projections'!$D$13&gt;=ROW(BM164)-100,+$C164/4,"")</f>
        <v/>
      </c>
      <c r="BN164" s="16" t="str">
        <f>IF('Sales Projections'!$D$13&gt;=ROW(BN164)-100,+$C164/4,"")</f>
        <v/>
      </c>
      <c r="BP164" s="16">
        <f t="shared" si="455"/>
        <v>0</v>
      </c>
      <c r="BQ164" s="16" t="str">
        <f>IF('Sales Projections'!$E$13&gt;=ROW(BQ164)-100,+$C164/4,"")</f>
        <v/>
      </c>
      <c r="BR164" s="16" t="str">
        <f>IF('Sales Projections'!$E$13&gt;=ROW(BR164)-100,+$C164/4,"")</f>
        <v/>
      </c>
      <c r="BS164" s="16" t="str">
        <f>IF('Sales Projections'!$E$13&gt;=ROW(BS164)-100,+$C164/4,"")</f>
        <v/>
      </c>
      <c r="BT164" s="16" t="str">
        <f>IF('Sales Projections'!$E$13&gt;=ROW(BT164)-100,+$C164/4,"")</f>
        <v/>
      </c>
      <c r="BV164" s="16">
        <f t="shared" si="456"/>
        <v>0</v>
      </c>
      <c r="BW164" s="16" t="str">
        <f>IF('Sales Projections'!$F$13&gt;=ROW(BW164)-100,+$C164/4,"")</f>
        <v/>
      </c>
      <c r="BX164" s="16" t="str">
        <f>IF('Sales Projections'!$F$13&gt;=ROW(BX164)-100,+$C164/4,"")</f>
        <v/>
      </c>
      <c r="BY164" s="16" t="str">
        <f>IF('Sales Projections'!$F$13&gt;=ROW(BY164)-100,+$C164/4,"")</f>
        <v/>
      </c>
      <c r="BZ164" s="16" t="str">
        <f>IF('Sales Projections'!$F$13&gt;=ROW(BZ164)-100,+$C164/4,"")</f>
        <v/>
      </c>
    </row>
    <row r="165" spans="2:78" s="265" customFormat="1" x14ac:dyDescent="0.25">
      <c r="B165" s="16" t="s">
        <v>741</v>
      </c>
      <c r="C165" s="16">
        <v>125000</v>
      </c>
      <c r="D165" s="16" t="s">
        <v>531</v>
      </c>
      <c r="BJ165" s="16">
        <f t="shared" si="454"/>
        <v>0</v>
      </c>
      <c r="BK165" s="16" t="str">
        <f>IF('Sales Projections'!$D$13&gt;=ROW(BK165)-100,+$C165/4,"")</f>
        <v/>
      </c>
      <c r="BL165" s="16" t="str">
        <f>IF('Sales Projections'!$D$13&gt;=ROW(BL165)-100,+$C165/4,"")</f>
        <v/>
      </c>
      <c r="BM165" s="16" t="str">
        <f>IF('Sales Projections'!$D$13&gt;=ROW(BM165)-100,+$C165/4,"")</f>
        <v/>
      </c>
      <c r="BN165" s="16" t="str">
        <f>IF('Sales Projections'!$D$13&gt;=ROW(BN165)-100,+$C165/4,"")</f>
        <v/>
      </c>
      <c r="BP165" s="16">
        <f t="shared" si="455"/>
        <v>0</v>
      </c>
      <c r="BQ165" s="16" t="str">
        <f>IF('Sales Projections'!$E$13&gt;=ROW(BQ165)-100,+$C165/4,"")</f>
        <v/>
      </c>
      <c r="BR165" s="16" t="str">
        <f>IF('Sales Projections'!$E$13&gt;=ROW(BR165)-100,+$C165/4,"")</f>
        <v/>
      </c>
      <c r="BS165" s="16" t="str">
        <f>IF('Sales Projections'!$E$13&gt;=ROW(BS165)-100,+$C165/4,"")</f>
        <v/>
      </c>
      <c r="BT165" s="16" t="str">
        <f>IF('Sales Projections'!$E$13&gt;=ROW(BT165)-100,+$C165/4,"")</f>
        <v/>
      </c>
      <c r="BV165" s="16">
        <f t="shared" si="456"/>
        <v>0</v>
      </c>
      <c r="BW165" s="16" t="str">
        <f>IF('Sales Projections'!$F$13&gt;=ROW(BW165)-100,+$C165/4,"")</f>
        <v/>
      </c>
      <c r="BX165" s="16" t="str">
        <f>IF('Sales Projections'!$F$13&gt;=ROW(BX165)-100,+$C165/4,"")</f>
        <v/>
      </c>
      <c r="BY165" s="16" t="str">
        <f>IF('Sales Projections'!$F$13&gt;=ROW(BY165)-100,+$C165/4,"")</f>
        <v/>
      </c>
      <c r="BZ165" s="16" t="str">
        <f>IF('Sales Projections'!$F$13&gt;=ROW(BZ165)-100,+$C165/4,"")</f>
        <v/>
      </c>
    </row>
    <row r="166" spans="2:78" s="265" customFormat="1" x14ac:dyDescent="0.25">
      <c r="B166" s="16" t="s">
        <v>742</v>
      </c>
      <c r="C166" s="16">
        <v>125000</v>
      </c>
      <c r="D166" s="16" t="s">
        <v>531</v>
      </c>
      <c r="BJ166" s="16">
        <f t="shared" si="454"/>
        <v>0</v>
      </c>
      <c r="BK166" s="16" t="str">
        <f>IF('Sales Projections'!$D$13&gt;=ROW(BK166)-100,+$C166/4,"")</f>
        <v/>
      </c>
      <c r="BL166" s="16" t="str">
        <f>IF('Sales Projections'!$D$13&gt;=ROW(BL166)-100,+$C166/4,"")</f>
        <v/>
      </c>
      <c r="BM166" s="16" t="str">
        <f>IF('Sales Projections'!$D$13&gt;=ROW(BM166)-100,+$C166/4,"")</f>
        <v/>
      </c>
      <c r="BN166" s="16" t="str">
        <f>IF('Sales Projections'!$D$13&gt;=ROW(BN166)-100,+$C166/4,"")</f>
        <v/>
      </c>
      <c r="BP166" s="16">
        <f t="shared" si="455"/>
        <v>0</v>
      </c>
      <c r="BQ166" s="16" t="str">
        <f>IF('Sales Projections'!$E$13&gt;=ROW(BQ166)-100,+$C166/4,"")</f>
        <v/>
      </c>
      <c r="BR166" s="16" t="str">
        <f>IF('Sales Projections'!$E$13&gt;=ROW(BR166)-100,+$C166/4,"")</f>
        <v/>
      </c>
      <c r="BS166" s="16" t="str">
        <f>IF('Sales Projections'!$E$13&gt;=ROW(BS166)-100,+$C166/4,"")</f>
        <v/>
      </c>
      <c r="BT166" s="16" t="str">
        <f>IF('Sales Projections'!$E$13&gt;=ROW(BT166)-100,+$C166/4,"")</f>
        <v/>
      </c>
      <c r="BV166" s="16">
        <f t="shared" si="456"/>
        <v>0</v>
      </c>
      <c r="BW166" s="16" t="str">
        <f>IF('Sales Projections'!$F$13&gt;=ROW(BW166)-100,+$C166/4,"")</f>
        <v/>
      </c>
      <c r="BX166" s="16" t="str">
        <f>IF('Sales Projections'!$F$13&gt;=ROW(BX166)-100,+$C166/4,"")</f>
        <v/>
      </c>
      <c r="BY166" s="16" t="str">
        <f>IF('Sales Projections'!$F$13&gt;=ROW(BY166)-100,+$C166/4,"")</f>
        <v/>
      </c>
      <c r="BZ166" s="16" t="str">
        <f>IF('Sales Projections'!$F$13&gt;=ROW(BZ166)-100,+$C166/4,"")</f>
        <v/>
      </c>
    </row>
    <row r="167" spans="2:78" s="265" customFormat="1" x14ac:dyDescent="0.25">
      <c r="B167" s="16" t="s">
        <v>743</v>
      </c>
      <c r="C167" s="16">
        <v>125000</v>
      </c>
      <c r="D167" s="16" t="s">
        <v>531</v>
      </c>
      <c r="BJ167" s="16">
        <f t="shared" si="454"/>
        <v>0</v>
      </c>
      <c r="BK167" s="16" t="str">
        <f>IF('Sales Projections'!$D$13&gt;=ROW(BK167)-100,+$C167/4,"")</f>
        <v/>
      </c>
      <c r="BL167" s="16" t="str">
        <f>IF('Sales Projections'!$D$13&gt;=ROW(BL167)-100,+$C167/4,"")</f>
        <v/>
      </c>
      <c r="BM167" s="16" t="str">
        <f>IF('Sales Projections'!$D$13&gt;=ROW(BM167)-100,+$C167/4,"")</f>
        <v/>
      </c>
      <c r="BN167" s="16" t="str">
        <f>IF('Sales Projections'!$D$13&gt;=ROW(BN167)-100,+$C167/4,"")</f>
        <v/>
      </c>
      <c r="BP167" s="16">
        <f t="shared" si="455"/>
        <v>0</v>
      </c>
      <c r="BQ167" s="16" t="str">
        <f>IF('Sales Projections'!$E$13&gt;=ROW(BQ167)-100,+$C167/4,"")</f>
        <v/>
      </c>
      <c r="BR167" s="16" t="str">
        <f>IF('Sales Projections'!$E$13&gt;=ROW(BR167)-100,+$C167/4,"")</f>
        <v/>
      </c>
      <c r="BS167" s="16" t="str">
        <f>IF('Sales Projections'!$E$13&gt;=ROW(BS167)-100,+$C167/4,"")</f>
        <v/>
      </c>
      <c r="BT167" s="16" t="str">
        <f>IF('Sales Projections'!$E$13&gt;=ROW(BT167)-100,+$C167/4,"")</f>
        <v/>
      </c>
      <c r="BV167" s="16">
        <f t="shared" si="456"/>
        <v>0</v>
      </c>
      <c r="BW167" s="16" t="str">
        <f>IF('Sales Projections'!$F$13&gt;=ROW(BW167)-100,+$C167/4,"")</f>
        <v/>
      </c>
      <c r="BX167" s="16" t="str">
        <f>IF('Sales Projections'!$F$13&gt;=ROW(BX167)-100,+$C167/4,"")</f>
        <v/>
      </c>
      <c r="BY167" s="16" t="str">
        <f>IF('Sales Projections'!$F$13&gt;=ROW(BY167)-100,+$C167/4,"")</f>
        <v/>
      </c>
      <c r="BZ167" s="16" t="str">
        <f>IF('Sales Projections'!$F$13&gt;=ROW(BZ167)-100,+$C167/4,"")</f>
        <v/>
      </c>
    </row>
    <row r="168" spans="2:78" s="265" customFormat="1" x14ac:dyDescent="0.25">
      <c r="B168" s="16" t="s">
        <v>744</v>
      </c>
      <c r="C168" s="16">
        <v>125000</v>
      </c>
      <c r="D168" s="16" t="s">
        <v>531</v>
      </c>
      <c r="BJ168" s="16">
        <f t="shared" si="454"/>
        <v>0</v>
      </c>
      <c r="BK168" s="16" t="str">
        <f>IF('Sales Projections'!$D$13&gt;=ROW(BK168)-100,+$C168/4,"")</f>
        <v/>
      </c>
      <c r="BL168" s="16" t="str">
        <f>IF('Sales Projections'!$D$13&gt;=ROW(BL168)-100,+$C168/4,"")</f>
        <v/>
      </c>
      <c r="BM168" s="16" t="str">
        <f>IF('Sales Projections'!$D$13&gt;=ROW(BM168)-100,+$C168/4,"")</f>
        <v/>
      </c>
      <c r="BN168" s="16" t="str">
        <f>IF('Sales Projections'!$D$13&gt;=ROW(BN168)-100,+$C168/4,"")</f>
        <v/>
      </c>
      <c r="BP168" s="16">
        <f t="shared" si="455"/>
        <v>0</v>
      </c>
      <c r="BQ168" s="16" t="str">
        <f>IF('Sales Projections'!$E$13&gt;=ROW(BQ168)-100,+$C168/4,"")</f>
        <v/>
      </c>
      <c r="BR168" s="16" t="str">
        <f>IF('Sales Projections'!$E$13&gt;=ROW(BR168)-100,+$C168/4,"")</f>
        <v/>
      </c>
      <c r="BS168" s="16" t="str">
        <f>IF('Sales Projections'!$E$13&gt;=ROW(BS168)-100,+$C168/4,"")</f>
        <v/>
      </c>
      <c r="BT168" s="16" t="str">
        <f>IF('Sales Projections'!$E$13&gt;=ROW(BT168)-100,+$C168/4,"")</f>
        <v/>
      </c>
      <c r="BV168" s="16">
        <f t="shared" si="456"/>
        <v>0</v>
      </c>
      <c r="BW168" s="16" t="str">
        <f>IF('Sales Projections'!$F$13&gt;=ROW(BW168)-100,+$C168/4,"")</f>
        <v/>
      </c>
      <c r="BX168" s="16" t="str">
        <f>IF('Sales Projections'!$F$13&gt;=ROW(BX168)-100,+$C168/4,"")</f>
        <v/>
      </c>
      <c r="BY168" s="16" t="str">
        <f>IF('Sales Projections'!$F$13&gt;=ROW(BY168)-100,+$C168/4,"")</f>
        <v/>
      </c>
      <c r="BZ168" s="16" t="str">
        <f>IF('Sales Projections'!$F$13&gt;=ROW(BZ168)-100,+$C168/4,"")</f>
        <v/>
      </c>
    </row>
    <row r="169" spans="2:78" s="265" customFormat="1" x14ac:dyDescent="0.25">
      <c r="B169" s="16" t="s">
        <v>745</v>
      </c>
      <c r="C169" s="16">
        <v>125000</v>
      </c>
      <c r="D169" s="16" t="s">
        <v>531</v>
      </c>
      <c r="BJ169" s="16">
        <f t="shared" si="454"/>
        <v>0</v>
      </c>
      <c r="BK169" s="16" t="str">
        <f>IF('Sales Projections'!$D$13&gt;=ROW(BK169)-100,+$C169/4,"")</f>
        <v/>
      </c>
      <c r="BL169" s="16" t="str">
        <f>IF('Sales Projections'!$D$13&gt;=ROW(BL169)-100,+$C169/4,"")</f>
        <v/>
      </c>
      <c r="BM169" s="16" t="str">
        <f>IF('Sales Projections'!$D$13&gt;=ROW(BM169)-100,+$C169/4,"")</f>
        <v/>
      </c>
      <c r="BN169" s="16" t="str">
        <f>IF('Sales Projections'!$D$13&gt;=ROW(BN169)-100,+$C169/4,"")</f>
        <v/>
      </c>
      <c r="BP169" s="16">
        <f t="shared" si="455"/>
        <v>0</v>
      </c>
      <c r="BQ169" s="16" t="str">
        <f>IF('Sales Projections'!$E$13&gt;=ROW(BQ169)-100,+$C169/4,"")</f>
        <v/>
      </c>
      <c r="BR169" s="16" t="str">
        <f>IF('Sales Projections'!$E$13&gt;=ROW(BR169)-100,+$C169/4,"")</f>
        <v/>
      </c>
      <c r="BS169" s="16" t="str">
        <f>IF('Sales Projections'!$E$13&gt;=ROW(BS169)-100,+$C169/4,"")</f>
        <v/>
      </c>
      <c r="BT169" s="16" t="str">
        <f>IF('Sales Projections'!$E$13&gt;=ROW(BT169)-100,+$C169/4,"")</f>
        <v/>
      </c>
      <c r="BV169" s="16">
        <f t="shared" si="456"/>
        <v>0</v>
      </c>
      <c r="BW169" s="16" t="str">
        <f>IF('Sales Projections'!$F$13&gt;=ROW(BW169)-100,+$C169/4,"")</f>
        <v/>
      </c>
      <c r="BX169" s="16" t="str">
        <f>IF('Sales Projections'!$F$13&gt;=ROW(BX169)-100,+$C169/4,"")</f>
        <v/>
      </c>
      <c r="BY169" s="16" t="str">
        <f>IF('Sales Projections'!$F$13&gt;=ROW(BY169)-100,+$C169/4,"")</f>
        <v/>
      </c>
      <c r="BZ169" s="16" t="str">
        <f>IF('Sales Projections'!$F$13&gt;=ROW(BZ169)-100,+$C169/4,"")</f>
        <v/>
      </c>
    </row>
    <row r="170" spans="2:78" s="265" customFormat="1" x14ac:dyDescent="0.25">
      <c r="B170" s="16" t="s">
        <v>746</v>
      </c>
      <c r="C170" s="16">
        <v>125000</v>
      </c>
      <c r="D170" s="16" t="s">
        <v>531</v>
      </c>
      <c r="BJ170" s="16">
        <f t="shared" si="454"/>
        <v>0</v>
      </c>
      <c r="BK170" s="16" t="str">
        <f>IF('Sales Projections'!$D$13&gt;=ROW(BK170)-100,+$C170/4,"")</f>
        <v/>
      </c>
      <c r="BL170" s="16" t="str">
        <f>IF('Sales Projections'!$D$13&gt;=ROW(BL170)-100,+$C170/4,"")</f>
        <v/>
      </c>
      <c r="BM170" s="16" t="str">
        <f>IF('Sales Projections'!$D$13&gt;=ROW(BM170)-100,+$C170/4,"")</f>
        <v/>
      </c>
      <c r="BN170" s="16" t="str">
        <f>IF('Sales Projections'!$D$13&gt;=ROW(BN170)-100,+$C170/4,"")</f>
        <v/>
      </c>
      <c r="BP170" s="16">
        <f t="shared" si="455"/>
        <v>0</v>
      </c>
      <c r="BQ170" s="16" t="str">
        <f>IF('Sales Projections'!$E$13&gt;=ROW(BQ170)-100,+$C170/4,"")</f>
        <v/>
      </c>
      <c r="BR170" s="16" t="str">
        <f>IF('Sales Projections'!$E$13&gt;=ROW(BR170)-100,+$C170/4,"")</f>
        <v/>
      </c>
      <c r="BS170" s="16" t="str">
        <f>IF('Sales Projections'!$E$13&gt;=ROW(BS170)-100,+$C170/4,"")</f>
        <v/>
      </c>
      <c r="BT170" s="16" t="str">
        <f>IF('Sales Projections'!$E$13&gt;=ROW(BT170)-100,+$C170/4,"")</f>
        <v/>
      </c>
      <c r="BV170" s="16">
        <f t="shared" si="456"/>
        <v>0</v>
      </c>
      <c r="BW170" s="16" t="str">
        <f>IF('Sales Projections'!$F$13&gt;=ROW(BW170)-100,+$C170/4,"")</f>
        <v/>
      </c>
      <c r="BX170" s="16" t="str">
        <f>IF('Sales Projections'!$F$13&gt;=ROW(BX170)-100,+$C170/4,"")</f>
        <v/>
      </c>
      <c r="BY170" s="16" t="str">
        <f>IF('Sales Projections'!$F$13&gt;=ROW(BY170)-100,+$C170/4,"")</f>
        <v/>
      </c>
      <c r="BZ170" s="16" t="str">
        <f>IF('Sales Projections'!$F$13&gt;=ROW(BZ170)-100,+$C170/4,"")</f>
        <v/>
      </c>
    </row>
    <row r="171" spans="2:78" s="265" customFormat="1" x14ac:dyDescent="0.25">
      <c r="B171" s="16" t="s">
        <v>747</v>
      </c>
      <c r="C171" s="16">
        <v>125000</v>
      </c>
      <c r="D171" s="16" t="s">
        <v>531</v>
      </c>
      <c r="BJ171" s="16">
        <f t="shared" si="454"/>
        <v>0</v>
      </c>
      <c r="BK171" s="16" t="str">
        <f>IF('Sales Projections'!$D$13&gt;=ROW(BK171)-100,+$C171/4,"")</f>
        <v/>
      </c>
      <c r="BL171" s="16" t="str">
        <f>IF('Sales Projections'!$D$13&gt;=ROW(BL171)-100,+$C171/4,"")</f>
        <v/>
      </c>
      <c r="BM171" s="16" t="str">
        <f>IF('Sales Projections'!$D$13&gt;=ROW(BM171)-100,+$C171/4,"")</f>
        <v/>
      </c>
      <c r="BN171" s="16" t="str">
        <f>IF('Sales Projections'!$D$13&gt;=ROW(BN171)-100,+$C171/4,"")</f>
        <v/>
      </c>
      <c r="BP171" s="16">
        <f t="shared" si="455"/>
        <v>0</v>
      </c>
      <c r="BQ171" s="16" t="str">
        <f>IF('Sales Projections'!$E$13&gt;=ROW(BQ171)-100,+$C171/4,"")</f>
        <v/>
      </c>
      <c r="BR171" s="16" t="str">
        <f>IF('Sales Projections'!$E$13&gt;=ROW(BR171)-100,+$C171/4,"")</f>
        <v/>
      </c>
      <c r="BS171" s="16" t="str">
        <f>IF('Sales Projections'!$E$13&gt;=ROW(BS171)-100,+$C171/4,"")</f>
        <v/>
      </c>
      <c r="BT171" s="16" t="str">
        <f>IF('Sales Projections'!$E$13&gt;=ROW(BT171)-100,+$C171/4,"")</f>
        <v/>
      </c>
      <c r="BV171" s="16">
        <f t="shared" si="456"/>
        <v>0</v>
      </c>
      <c r="BW171" s="16" t="str">
        <f>IF('Sales Projections'!$F$13&gt;=ROW(BW171)-100,+$C171/4,"")</f>
        <v/>
      </c>
      <c r="BX171" s="16" t="str">
        <f>IF('Sales Projections'!$F$13&gt;=ROW(BX171)-100,+$C171/4,"")</f>
        <v/>
      </c>
      <c r="BY171" s="16" t="str">
        <f>IF('Sales Projections'!$F$13&gt;=ROW(BY171)-100,+$C171/4,"")</f>
        <v/>
      </c>
      <c r="BZ171" s="16" t="str">
        <f>IF('Sales Projections'!$F$13&gt;=ROW(BZ171)-100,+$C171/4,"")</f>
        <v/>
      </c>
    </row>
    <row r="172" spans="2:78" s="265" customFormat="1" x14ac:dyDescent="0.25">
      <c r="B172" s="16" t="s">
        <v>748</v>
      </c>
      <c r="C172" s="16">
        <v>125000</v>
      </c>
      <c r="D172" s="16" t="s">
        <v>531</v>
      </c>
      <c r="BJ172" s="16">
        <f t="shared" si="454"/>
        <v>0</v>
      </c>
      <c r="BK172" s="16" t="str">
        <f>IF('Sales Projections'!$D$13&gt;=ROW(BK172)-100,+$C172/4,"")</f>
        <v/>
      </c>
      <c r="BL172" s="16" t="str">
        <f>IF('Sales Projections'!$D$13&gt;=ROW(BL172)-100,+$C172/4,"")</f>
        <v/>
      </c>
      <c r="BM172" s="16" t="str">
        <f>IF('Sales Projections'!$D$13&gt;=ROW(BM172)-100,+$C172/4,"")</f>
        <v/>
      </c>
      <c r="BN172" s="16" t="str">
        <f>IF('Sales Projections'!$D$13&gt;=ROW(BN172)-100,+$C172/4,"")</f>
        <v/>
      </c>
      <c r="BP172" s="16">
        <f t="shared" si="455"/>
        <v>0</v>
      </c>
      <c r="BQ172" s="16" t="str">
        <f>IF('Sales Projections'!$E$13&gt;=ROW(BQ172)-100,+$C172/4,"")</f>
        <v/>
      </c>
      <c r="BR172" s="16" t="str">
        <f>IF('Sales Projections'!$E$13&gt;=ROW(BR172)-100,+$C172/4,"")</f>
        <v/>
      </c>
      <c r="BS172" s="16" t="str">
        <f>IF('Sales Projections'!$E$13&gt;=ROW(BS172)-100,+$C172/4,"")</f>
        <v/>
      </c>
      <c r="BT172" s="16" t="str">
        <f>IF('Sales Projections'!$E$13&gt;=ROW(BT172)-100,+$C172/4,"")</f>
        <v/>
      </c>
      <c r="BV172" s="16">
        <f t="shared" si="456"/>
        <v>0</v>
      </c>
      <c r="BW172" s="16" t="str">
        <f>IF('Sales Projections'!$F$13&gt;=ROW(BW172)-100,+$C172/4,"")</f>
        <v/>
      </c>
      <c r="BX172" s="16" t="str">
        <f>IF('Sales Projections'!$F$13&gt;=ROW(BX172)-100,+$C172/4,"")</f>
        <v/>
      </c>
      <c r="BY172" s="16" t="str">
        <f>IF('Sales Projections'!$F$13&gt;=ROW(BY172)-100,+$C172/4,"")</f>
        <v/>
      </c>
      <c r="BZ172" s="16" t="str">
        <f>IF('Sales Projections'!$F$13&gt;=ROW(BZ172)-100,+$C172/4,"")</f>
        <v/>
      </c>
    </row>
    <row r="173" spans="2:78" s="265" customFormat="1" x14ac:dyDescent="0.25">
      <c r="B173" s="16" t="s">
        <v>749</v>
      </c>
      <c r="C173" s="16">
        <v>125000</v>
      </c>
      <c r="D173" s="16" t="s">
        <v>531</v>
      </c>
      <c r="BJ173" s="16">
        <f t="shared" si="454"/>
        <v>0</v>
      </c>
      <c r="BK173" s="16" t="str">
        <f>IF('Sales Projections'!$D$13&gt;=ROW(BK173)-100,+$C173/4,"")</f>
        <v/>
      </c>
      <c r="BL173" s="16" t="str">
        <f>IF('Sales Projections'!$D$13&gt;=ROW(BL173)-100,+$C173/4,"")</f>
        <v/>
      </c>
      <c r="BM173" s="16" t="str">
        <f>IF('Sales Projections'!$D$13&gt;=ROW(BM173)-100,+$C173/4,"")</f>
        <v/>
      </c>
      <c r="BN173" s="16" t="str">
        <f>IF('Sales Projections'!$D$13&gt;=ROW(BN173)-100,+$C173/4,"")</f>
        <v/>
      </c>
      <c r="BP173" s="16">
        <f t="shared" si="455"/>
        <v>0</v>
      </c>
      <c r="BQ173" s="16" t="str">
        <f>IF('Sales Projections'!$E$13&gt;=ROW(BQ173)-100,+$C173/4,"")</f>
        <v/>
      </c>
      <c r="BR173" s="16" t="str">
        <f>IF('Sales Projections'!$E$13&gt;=ROW(BR173)-100,+$C173/4,"")</f>
        <v/>
      </c>
      <c r="BS173" s="16" t="str">
        <f>IF('Sales Projections'!$E$13&gt;=ROW(BS173)-100,+$C173/4,"")</f>
        <v/>
      </c>
      <c r="BT173" s="16" t="str">
        <f>IF('Sales Projections'!$E$13&gt;=ROW(BT173)-100,+$C173/4,"")</f>
        <v/>
      </c>
      <c r="BV173" s="16">
        <f t="shared" si="456"/>
        <v>0</v>
      </c>
      <c r="BW173" s="16" t="str">
        <f>IF('Sales Projections'!$F$13&gt;=ROW(BW173)-100,+$C173/4,"")</f>
        <v/>
      </c>
      <c r="BX173" s="16" t="str">
        <f>IF('Sales Projections'!$F$13&gt;=ROW(BX173)-100,+$C173/4,"")</f>
        <v/>
      </c>
      <c r="BY173" s="16" t="str">
        <f>IF('Sales Projections'!$F$13&gt;=ROW(BY173)-100,+$C173/4,"")</f>
        <v/>
      </c>
      <c r="BZ173" s="16" t="str">
        <f>IF('Sales Projections'!$F$13&gt;=ROW(BZ173)-100,+$C173/4,"")</f>
        <v/>
      </c>
    </row>
    <row r="174" spans="2:78" s="265" customFormat="1" x14ac:dyDescent="0.25">
      <c r="B174" s="16" t="s">
        <v>750</v>
      </c>
      <c r="C174" s="16">
        <v>125000</v>
      </c>
      <c r="D174" s="16" t="s">
        <v>531</v>
      </c>
      <c r="BJ174" s="16">
        <f t="shared" si="454"/>
        <v>0</v>
      </c>
      <c r="BK174" s="16" t="str">
        <f>IF('Sales Projections'!$D$13&gt;=ROW(BK174)-100,+$C174/4,"")</f>
        <v/>
      </c>
      <c r="BL174" s="16" t="str">
        <f>IF('Sales Projections'!$D$13&gt;=ROW(BL174)-100,+$C174/4,"")</f>
        <v/>
      </c>
      <c r="BM174" s="16" t="str">
        <f>IF('Sales Projections'!$D$13&gt;=ROW(BM174)-100,+$C174/4,"")</f>
        <v/>
      </c>
      <c r="BN174" s="16" t="str">
        <f>IF('Sales Projections'!$D$13&gt;=ROW(BN174)-100,+$C174/4,"")</f>
        <v/>
      </c>
      <c r="BP174" s="16">
        <f t="shared" si="455"/>
        <v>0</v>
      </c>
      <c r="BQ174" s="16" t="str">
        <f>IF('Sales Projections'!$E$13&gt;=ROW(BQ174)-100,+$C174/4,"")</f>
        <v/>
      </c>
      <c r="BR174" s="16" t="str">
        <f>IF('Sales Projections'!$E$13&gt;=ROW(BR174)-100,+$C174/4,"")</f>
        <v/>
      </c>
      <c r="BS174" s="16" t="str">
        <f>IF('Sales Projections'!$E$13&gt;=ROW(BS174)-100,+$C174/4,"")</f>
        <v/>
      </c>
      <c r="BT174" s="16" t="str">
        <f>IF('Sales Projections'!$E$13&gt;=ROW(BT174)-100,+$C174/4,"")</f>
        <v/>
      </c>
      <c r="BV174" s="16">
        <f t="shared" si="456"/>
        <v>0</v>
      </c>
      <c r="BW174" s="16" t="str">
        <f>IF('Sales Projections'!$F$13&gt;=ROW(BW174)-100,+$C174/4,"")</f>
        <v/>
      </c>
      <c r="BX174" s="16" t="str">
        <f>IF('Sales Projections'!$F$13&gt;=ROW(BX174)-100,+$C174/4,"")</f>
        <v/>
      </c>
      <c r="BY174" s="16" t="str">
        <f>IF('Sales Projections'!$F$13&gt;=ROW(BY174)-100,+$C174/4,"")</f>
        <v/>
      </c>
      <c r="BZ174" s="16" t="str">
        <f>IF('Sales Projections'!$F$13&gt;=ROW(BZ174)-100,+$C174/4,"")</f>
        <v/>
      </c>
    </row>
    <row r="175" spans="2:78" s="265" customFormat="1" x14ac:dyDescent="0.25">
      <c r="B175" s="16" t="s">
        <v>751</v>
      </c>
      <c r="C175" s="16">
        <v>125000</v>
      </c>
      <c r="D175" s="16" t="s">
        <v>531</v>
      </c>
      <c r="BJ175" s="16">
        <f t="shared" si="454"/>
        <v>0</v>
      </c>
      <c r="BK175" s="16" t="str">
        <f>IF('Sales Projections'!$D$13&gt;=ROW(BK175)-100,+$C175/4,"")</f>
        <v/>
      </c>
      <c r="BL175" s="16" t="str">
        <f>IF('Sales Projections'!$D$13&gt;=ROW(BL175)-100,+$C175/4,"")</f>
        <v/>
      </c>
      <c r="BM175" s="16" t="str">
        <f>IF('Sales Projections'!$D$13&gt;=ROW(BM175)-100,+$C175/4,"")</f>
        <v/>
      </c>
      <c r="BN175" s="16" t="str">
        <f>IF('Sales Projections'!$D$13&gt;=ROW(BN175)-100,+$C175/4,"")</f>
        <v/>
      </c>
      <c r="BP175" s="16">
        <f t="shared" si="455"/>
        <v>0</v>
      </c>
      <c r="BQ175" s="16" t="str">
        <f>IF('Sales Projections'!$E$13&gt;=ROW(BQ175)-100,+$C175/4,"")</f>
        <v/>
      </c>
      <c r="BR175" s="16" t="str">
        <f>IF('Sales Projections'!$E$13&gt;=ROW(BR175)-100,+$C175/4,"")</f>
        <v/>
      </c>
      <c r="BS175" s="16" t="str">
        <f>IF('Sales Projections'!$E$13&gt;=ROW(BS175)-100,+$C175/4,"")</f>
        <v/>
      </c>
      <c r="BT175" s="16" t="str">
        <f>IF('Sales Projections'!$E$13&gt;=ROW(BT175)-100,+$C175/4,"")</f>
        <v/>
      </c>
      <c r="BV175" s="16">
        <f t="shared" si="456"/>
        <v>0</v>
      </c>
      <c r="BW175" s="16" t="str">
        <f>IF('Sales Projections'!$F$13&gt;=ROW(BW175)-100,+$C175/4,"")</f>
        <v/>
      </c>
      <c r="BX175" s="16" t="str">
        <f>IF('Sales Projections'!$F$13&gt;=ROW(BX175)-100,+$C175/4,"")</f>
        <v/>
      </c>
      <c r="BY175" s="16" t="str">
        <f>IF('Sales Projections'!$F$13&gt;=ROW(BY175)-100,+$C175/4,"")</f>
        <v/>
      </c>
      <c r="BZ175" s="16" t="str">
        <f>IF('Sales Projections'!$F$13&gt;=ROW(BZ175)-100,+$C175/4,"")</f>
        <v/>
      </c>
    </row>
    <row r="176" spans="2:78" s="265" customFormat="1" x14ac:dyDescent="0.25">
      <c r="B176" s="16" t="s">
        <v>752</v>
      </c>
      <c r="C176" s="16">
        <v>125000</v>
      </c>
      <c r="D176" s="16" t="s">
        <v>531</v>
      </c>
      <c r="BJ176" s="16">
        <f t="shared" si="454"/>
        <v>0</v>
      </c>
      <c r="BK176" s="16" t="str">
        <f>IF('Sales Projections'!$D$13&gt;=ROW(BK176)-100,+$C176/4,"")</f>
        <v/>
      </c>
      <c r="BL176" s="16" t="str">
        <f>IF('Sales Projections'!$D$13&gt;=ROW(BL176)-100,+$C176/4,"")</f>
        <v/>
      </c>
      <c r="BM176" s="16" t="str">
        <f>IF('Sales Projections'!$D$13&gt;=ROW(BM176)-100,+$C176/4,"")</f>
        <v/>
      </c>
      <c r="BN176" s="16" t="str">
        <f>IF('Sales Projections'!$D$13&gt;=ROW(BN176)-100,+$C176/4,"")</f>
        <v/>
      </c>
      <c r="BP176" s="16">
        <f t="shared" si="455"/>
        <v>0</v>
      </c>
      <c r="BQ176" s="16" t="str">
        <f>IF('Sales Projections'!$E$13&gt;=ROW(BQ176)-100,+$C176/4,"")</f>
        <v/>
      </c>
      <c r="BR176" s="16" t="str">
        <f>IF('Sales Projections'!$E$13&gt;=ROW(BR176)-100,+$C176/4,"")</f>
        <v/>
      </c>
      <c r="BS176" s="16" t="str">
        <f>IF('Sales Projections'!$E$13&gt;=ROW(BS176)-100,+$C176/4,"")</f>
        <v/>
      </c>
      <c r="BT176" s="16" t="str">
        <f>IF('Sales Projections'!$E$13&gt;=ROW(BT176)-100,+$C176/4,"")</f>
        <v/>
      </c>
      <c r="BV176" s="16">
        <f t="shared" si="456"/>
        <v>0</v>
      </c>
      <c r="BW176" s="16" t="str">
        <f>IF('Sales Projections'!$F$13&gt;=ROW(BW176)-100,+$C176/4,"")</f>
        <v/>
      </c>
      <c r="BX176" s="16" t="str">
        <f>IF('Sales Projections'!$F$13&gt;=ROW(BX176)-100,+$C176/4,"")</f>
        <v/>
      </c>
      <c r="BY176" s="16" t="str">
        <f>IF('Sales Projections'!$F$13&gt;=ROW(BY176)-100,+$C176/4,"")</f>
        <v/>
      </c>
      <c r="BZ176" s="16" t="str">
        <f>IF('Sales Projections'!$F$13&gt;=ROW(BZ176)-100,+$C176/4,"")</f>
        <v/>
      </c>
    </row>
    <row r="177" spans="2:78" s="265" customFormat="1" x14ac:dyDescent="0.25">
      <c r="B177" s="16" t="s">
        <v>753</v>
      </c>
      <c r="C177" s="16">
        <v>125000</v>
      </c>
      <c r="D177" s="16" t="s">
        <v>531</v>
      </c>
      <c r="BJ177" s="16">
        <f t="shared" si="454"/>
        <v>0</v>
      </c>
      <c r="BK177" s="16" t="str">
        <f>IF('Sales Projections'!$D$13&gt;=ROW(BK177)-100,+$C177/4,"")</f>
        <v/>
      </c>
      <c r="BL177" s="16" t="str">
        <f>IF('Sales Projections'!$D$13&gt;=ROW(BL177)-100,+$C177/4,"")</f>
        <v/>
      </c>
      <c r="BM177" s="16" t="str">
        <f>IF('Sales Projections'!$D$13&gt;=ROW(BM177)-100,+$C177/4,"")</f>
        <v/>
      </c>
      <c r="BN177" s="16" t="str">
        <f>IF('Sales Projections'!$D$13&gt;=ROW(BN177)-100,+$C177/4,"")</f>
        <v/>
      </c>
      <c r="BP177" s="16">
        <f t="shared" si="455"/>
        <v>0</v>
      </c>
      <c r="BQ177" s="16" t="str">
        <f>IF('Sales Projections'!$E$13&gt;=ROW(BQ177)-100,+$C177/4,"")</f>
        <v/>
      </c>
      <c r="BR177" s="16" t="str">
        <f>IF('Sales Projections'!$E$13&gt;=ROW(BR177)-100,+$C177/4,"")</f>
        <v/>
      </c>
      <c r="BS177" s="16" t="str">
        <f>IF('Sales Projections'!$E$13&gt;=ROW(BS177)-100,+$C177/4,"")</f>
        <v/>
      </c>
      <c r="BT177" s="16" t="str">
        <f>IF('Sales Projections'!$E$13&gt;=ROW(BT177)-100,+$C177/4,"")</f>
        <v/>
      </c>
      <c r="BV177" s="16">
        <f t="shared" si="456"/>
        <v>0</v>
      </c>
      <c r="BW177" s="16" t="str">
        <f>IF('Sales Projections'!$F$13&gt;=ROW(BW177)-100,+$C177/4,"")</f>
        <v/>
      </c>
      <c r="BX177" s="16" t="str">
        <f>IF('Sales Projections'!$F$13&gt;=ROW(BX177)-100,+$C177/4,"")</f>
        <v/>
      </c>
      <c r="BY177" s="16" t="str">
        <f>IF('Sales Projections'!$F$13&gt;=ROW(BY177)-100,+$C177/4,"")</f>
        <v/>
      </c>
      <c r="BZ177" s="16" t="str">
        <f>IF('Sales Projections'!$F$13&gt;=ROW(BZ177)-100,+$C177/4,"")</f>
        <v/>
      </c>
    </row>
    <row r="178" spans="2:78" s="265" customFormat="1" x14ac:dyDescent="0.25">
      <c r="B178" s="16" t="s">
        <v>754</v>
      </c>
      <c r="C178" s="16">
        <v>125000</v>
      </c>
      <c r="D178" s="16" t="s">
        <v>531</v>
      </c>
      <c r="BJ178" s="16">
        <f t="shared" si="454"/>
        <v>0</v>
      </c>
      <c r="BK178" s="16" t="str">
        <f>IF('Sales Projections'!$D$13&gt;=ROW(BK178)-100,+$C178/4,"")</f>
        <v/>
      </c>
      <c r="BL178" s="16" t="str">
        <f>IF('Sales Projections'!$D$13&gt;=ROW(BL178)-100,+$C178/4,"")</f>
        <v/>
      </c>
      <c r="BM178" s="16" t="str">
        <f>IF('Sales Projections'!$D$13&gt;=ROW(BM178)-100,+$C178/4,"")</f>
        <v/>
      </c>
      <c r="BN178" s="16" t="str">
        <f>IF('Sales Projections'!$D$13&gt;=ROW(BN178)-100,+$C178/4,"")</f>
        <v/>
      </c>
      <c r="BP178" s="16">
        <f t="shared" si="455"/>
        <v>0</v>
      </c>
      <c r="BQ178" s="16" t="str">
        <f>IF('Sales Projections'!$E$13&gt;=ROW(BQ178)-100,+$C178/4,"")</f>
        <v/>
      </c>
      <c r="BR178" s="16" t="str">
        <f>IF('Sales Projections'!$E$13&gt;=ROW(BR178)-100,+$C178/4,"")</f>
        <v/>
      </c>
      <c r="BS178" s="16" t="str">
        <f>IF('Sales Projections'!$E$13&gt;=ROW(BS178)-100,+$C178/4,"")</f>
        <v/>
      </c>
      <c r="BT178" s="16" t="str">
        <f>IF('Sales Projections'!$E$13&gt;=ROW(BT178)-100,+$C178/4,"")</f>
        <v/>
      </c>
      <c r="BV178" s="16">
        <f t="shared" si="456"/>
        <v>0</v>
      </c>
      <c r="BW178" s="16" t="str">
        <f>IF('Sales Projections'!$F$13&gt;=ROW(BW178)-100,+$C178/4,"")</f>
        <v/>
      </c>
      <c r="BX178" s="16" t="str">
        <f>IF('Sales Projections'!$F$13&gt;=ROW(BX178)-100,+$C178/4,"")</f>
        <v/>
      </c>
      <c r="BY178" s="16" t="str">
        <f>IF('Sales Projections'!$F$13&gt;=ROW(BY178)-100,+$C178/4,"")</f>
        <v/>
      </c>
      <c r="BZ178" s="16" t="str">
        <f>IF('Sales Projections'!$F$13&gt;=ROW(BZ178)-100,+$C178/4,"")</f>
        <v/>
      </c>
    </row>
    <row r="179" spans="2:78" s="265" customFormat="1" x14ac:dyDescent="0.25">
      <c r="B179" s="16" t="s">
        <v>755</v>
      </c>
      <c r="C179" s="16">
        <v>125000</v>
      </c>
      <c r="D179" s="16" t="s">
        <v>531</v>
      </c>
      <c r="BJ179" s="16">
        <f t="shared" ref="BJ179:BJ242" si="457">SUM(BK179:BN179)</f>
        <v>0</v>
      </c>
      <c r="BK179" s="16" t="str">
        <f>IF('Sales Projections'!$D$13&gt;=ROW(BK179)-100,+$C179/4,"")</f>
        <v/>
      </c>
      <c r="BL179" s="16" t="str">
        <f>IF('Sales Projections'!$D$13&gt;=ROW(BL179)-100,+$C179/4,"")</f>
        <v/>
      </c>
      <c r="BM179" s="16" t="str">
        <f>IF('Sales Projections'!$D$13&gt;=ROW(BM179)-100,+$C179/4,"")</f>
        <v/>
      </c>
      <c r="BN179" s="16" t="str">
        <f>IF('Sales Projections'!$D$13&gt;=ROW(BN179)-100,+$C179/4,"")</f>
        <v/>
      </c>
      <c r="BP179" s="16">
        <f t="shared" si="455"/>
        <v>0</v>
      </c>
      <c r="BQ179" s="16" t="str">
        <f>IF('Sales Projections'!$E$13&gt;=ROW(BQ179)-100,+$C179/4,"")</f>
        <v/>
      </c>
      <c r="BR179" s="16" t="str">
        <f>IF('Sales Projections'!$E$13&gt;=ROW(BR179)-100,+$C179/4,"")</f>
        <v/>
      </c>
      <c r="BS179" s="16" t="str">
        <f>IF('Sales Projections'!$E$13&gt;=ROW(BS179)-100,+$C179/4,"")</f>
        <v/>
      </c>
      <c r="BT179" s="16" t="str">
        <f>IF('Sales Projections'!$E$13&gt;=ROW(BT179)-100,+$C179/4,"")</f>
        <v/>
      </c>
      <c r="BV179" s="16">
        <f t="shared" si="456"/>
        <v>0</v>
      </c>
      <c r="BW179" s="16" t="str">
        <f>IF('Sales Projections'!$F$13&gt;=ROW(BW179)-100,+$C179/4,"")</f>
        <v/>
      </c>
      <c r="BX179" s="16" t="str">
        <f>IF('Sales Projections'!$F$13&gt;=ROW(BX179)-100,+$C179/4,"")</f>
        <v/>
      </c>
      <c r="BY179" s="16" t="str">
        <f>IF('Sales Projections'!$F$13&gt;=ROW(BY179)-100,+$C179/4,"")</f>
        <v/>
      </c>
      <c r="BZ179" s="16" t="str">
        <f>IF('Sales Projections'!$F$13&gt;=ROW(BZ179)-100,+$C179/4,"")</f>
        <v/>
      </c>
    </row>
    <row r="180" spans="2:78" s="265" customFormat="1" x14ac:dyDescent="0.25">
      <c r="B180" s="16" t="s">
        <v>756</v>
      </c>
      <c r="C180" s="16">
        <v>125000</v>
      </c>
      <c r="D180" s="16" t="s">
        <v>531</v>
      </c>
      <c r="BJ180" s="16">
        <f t="shared" si="457"/>
        <v>0</v>
      </c>
      <c r="BK180" s="16" t="str">
        <f>IF('Sales Projections'!$D$13&gt;=ROW(BK180)-100,+$C180/4,"")</f>
        <v/>
      </c>
      <c r="BL180" s="16" t="str">
        <f>IF('Sales Projections'!$D$13&gt;=ROW(BL180)-100,+$C180/4,"")</f>
        <v/>
      </c>
      <c r="BM180" s="16" t="str">
        <f>IF('Sales Projections'!$D$13&gt;=ROW(BM180)-100,+$C180/4,"")</f>
        <v/>
      </c>
      <c r="BN180" s="16" t="str">
        <f>IF('Sales Projections'!$D$13&gt;=ROW(BN180)-100,+$C180/4,"")</f>
        <v/>
      </c>
      <c r="BP180" s="16">
        <f t="shared" si="455"/>
        <v>0</v>
      </c>
      <c r="BQ180" s="16" t="str">
        <f>IF('Sales Projections'!$E$13&gt;=ROW(BQ180)-100,+$C180/4,"")</f>
        <v/>
      </c>
      <c r="BR180" s="16" t="str">
        <f>IF('Sales Projections'!$E$13&gt;=ROW(BR180)-100,+$C180/4,"")</f>
        <v/>
      </c>
      <c r="BS180" s="16" t="str">
        <f>IF('Sales Projections'!$E$13&gt;=ROW(BS180)-100,+$C180/4,"")</f>
        <v/>
      </c>
      <c r="BT180" s="16" t="str">
        <f>IF('Sales Projections'!$E$13&gt;=ROW(BT180)-100,+$C180/4,"")</f>
        <v/>
      </c>
      <c r="BV180" s="16">
        <f t="shared" si="456"/>
        <v>0</v>
      </c>
      <c r="BW180" s="16" t="str">
        <f>IF('Sales Projections'!$F$13&gt;=ROW(BW180)-100,+$C180/4,"")</f>
        <v/>
      </c>
      <c r="BX180" s="16" t="str">
        <f>IF('Sales Projections'!$F$13&gt;=ROW(BX180)-100,+$C180/4,"")</f>
        <v/>
      </c>
      <c r="BY180" s="16" t="str">
        <f>IF('Sales Projections'!$F$13&gt;=ROW(BY180)-100,+$C180/4,"")</f>
        <v/>
      </c>
      <c r="BZ180" s="16" t="str">
        <f>IF('Sales Projections'!$F$13&gt;=ROW(BZ180)-100,+$C180/4,"")</f>
        <v/>
      </c>
    </row>
    <row r="181" spans="2:78" s="265" customFormat="1" x14ac:dyDescent="0.25">
      <c r="B181" s="16" t="s">
        <v>757</v>
      </c>
      <c r="C181" s="16">
        <v>125000</v>
      </c>
      <c r="D181" s="16" t="s">
        <v>531</v>
      </c>
      <c r="BJ181" s="16">
        <f t="shared" si="457"/>
        <v>0</v>
      </c>
      <c r="BK181" s="16" t="str">
        <f>IF('Sales Projections'!$D$13&gt;=ROW(BK181)-100,+$C181/4,"")</f>
        <v/>
      </c>
      <c r="BL181" s="16" t="str">
        <f>IF('Sales Projections'!$D$13&gt;=ROW(BL181)-100,+$C181/4,"")</f>
        <v/>
      </c>
      <c r="BM181" s="16" t="str">
        <f>IF('Sales Projections'!$D$13&gt;=ROW(BM181)-100,+$C181/4,"")</f>
        <v/>
      </c>
      <c r="BN181" s="16" t="str">
        <f>IF('Sales Projections'!$D$13&gt;=ROW(BN181)-100,+$C181/4,"")</f>
        <v/>
      </c>
      <c r="BP181" s="16">
        <f t="shared" si="455"/>
        <v>0</v>
      </c>
      <c r="BQ181" s="16" t="str">
        <f>IF('Sales Projections'!$E$13&gt;=ROW(BQ181)-100,+$C181/4,"")</f>
        <v/>
      </c>
      <c r="BR181" s="16" t="str">
        <f>IF('Sales Projections'!$E$13&gt;=ROW(BR181)-100,+$C181/4,"")</f>
        <v/>
      </c>
      <c r="BS181" s="16" t="str">
        <f>IF('Sales Projections'!$E$13&gt;=ROW(BS181)-100,+$C181/4,"")</f>
        <v/>
      </c>
      <c r="BT181" s="16" t="str">
        <f>IF('Sales Projections'!$E$13&gt;=ROW(BT181)-100,+$C181/4,"")</f>
        <v/>
      </c>
      <c r="BV181" s="16">
        <f t="shared" si="456"/>
        <v>0</v>
      </c>
      <c r="BW181" s="16" t="str">
        <f>IF('Sales Projections'!$F$13&gt;=ROW(BW181)-100,+$C181/4,"")</f>
        <v/>
      </c>
      <c r="BX181" s="16" t="str">
        <f>IF('Sales Projections'!$F$13&gt;=ROW(BX181)-100,+$C181/4,"")</f>
        <v/>
      </c>
      <c r="BY181" s="16" t="str">
        <f>IF('Sales Projections'!$F$13&gt;=ROW(BY181)-100,+$C181/4,"")</f>
        <v/>
      </c>
      <c r="BZ181" s="16" t="str">
        <f>IF('Sales Projections'!$F$13&gt;=ROW(BZ181)-100,+$C181/4,"")</f>
        <v/>
      </c>
    </row>
    <row r="182" spans="2:78" s="265" customFormat="1" x14ac:dyDescent="0.25">
      <c r="B182" s="16" t="s">
        <v>758</v>
      </c>
      <c r="C182" s="16">
        <v>125000</v>
      </c>
      <c r="D182" s="16" t="s">
        <v>531</v>
      </c>
      <c r="BJ182" s="16">
        <f t="shared" si="457"/>
        <v>0</v>
      </c>
      <c r="BK182" s="16" t="str">
        <f>IF('Sales Projections'!$D$13&gt;=ROW(BK182)-100,+$C182/4,"")</f>
        <v/>
      </c>
      <c r="BL182" s="16" t="str">
        <f>IF('Sales Projections'!$D$13&gt;=ROW(BL182)-100,+$C182/4,"")</f>
        <v/>
      </c>
      <c r="BM182" s="16" t="str">
        <f>IF('Sales Projections'!$D$13&gt;=ROW(BM182)-100,+$C182/4,"")</f>
        <v/>
      </c>
      <c r="BN182" s="16" t="str">
        <f>IF('Sales Projections'!$D$13&gt;=ROW(BN182)-100,+$C182/4,"")</f>
        <v/>
      </c>
      <c r="BP182" s="16">
        <f t="shared" si="455"/>
        <v>0</v>
      </c>
      <c r="BQ182" s="16" t="str">
        <f>IF('Sales Projections'!$E$13&gt;=ROW(BQ182)-100,+$C182/4,"")</f>
        <v/>
      </c>
      <c r="BR182" s="16" t="str">
        <f>IF('Sales Projections'!$E$13&gt;=ROW(BR182)-100,+$C182/4,"")</f>
        <v/>
      </c>
      <c r="BS182" s="16" t="str">
        <f>IF('Sales Projections'!$E$13&gt;=ROW(BS182)-100,+$C182/4,"")</f>
        <v/>
      </c>
      <c r="BT182" s="16" t="str">
        <f>IF('Sales Projections'!$E$13&gt;=ROW(BT182)-100,+$C182/4,"")</f>
        <v/>
      </c>
      <c r="BV182" s="16">
        <f t="shared" si="456"/>
        <v>0</v>
      </c>
      <c r="BW182" s="16" t="str">
        <f>IF('Sales Projections'!$F$13&gt;=ROW(BW182)-100,+$C182/4,"")</f>
        <v/>
      </c>
      <c r="BX182" s="16" t="str">
        <f>IF('Sales Projections'!$F$13&gt;=ROW(BX182)-100,+$C182/4,"")</f>
        <v/>
      </c>
      <c r="BY182" s="16" t="str">
        <f>IF('Sales Projections'!$F$13&gt;=ROW(BY182)-100,+$C182/4,"")</f>
        <v/>
      </c>
      <c r="BZ182" s="16" t="str">
        <f>IF('Sales Projections'!$F$13&gt;=ROW(BZ182)-100,+$C182/4,"")</f>
        <v/>
      </c>
    </row>
    <row r="183" spans="2:78" s="265" customFormat="1" x14ac:dyDescent="0.25">
      <c r="B183" s="16" t="s">
        <v>759</v>
      </c>
      <c r="C183" s="16">
        <v>125000</v>
      </c>
      <c r="D183" s="16" t="s">
        <v>531</v>
      </c>
      <c r="BJ183" s="16">
        <f t="shared" si="457"/>
        <v>0</v>
      </c>
      <c r="BK183" s="16" t="str">
        <f>IF('Sales Projections'!$D$13&gt;=ROW(BK183)-100,+$C183/4,"")</f>
        <v/>
      </c>
      <c r="BL183" s="16" t="str">
        <f>IF('Sales Projections'!$D$13&gt;=ROW(BL183)-100,+$C183/4,"")</f>
        <v/>
      </c>
      <c r="BM183" s="16" t="str">
        <f>IF('Sales Projections'!$D$13&gt;=ROW(BM183)-100,+$C183/4,"")</f>
        <v/>
      </c>
      <c r="BN183" s="16" t="str">
        <f>IF('Sales Projections'!$D$13&gt;=ROW(BN183)-100,+$C183/4,"")</f>
        <v/>
      </c>
      <c r="BP183" s="16">
        <f t="shared" si="455"/>
        <v>0</v>
      </c>
      <c r="BQ183" s="16" t="str">
        <f>IF('Sales Projections'!$E$13&gt;=ROW(BQ183)-100,+$C183/4,"")</f>
        <v/>
      </c>
      <c r="BR183" s="16" t="str">
        <f>IF('Sales Projections'!$E$13&gt;=ROW(BR183)-100,+$C183/4,"")</f>
        <v/>
      </c>
      <c r="BS183" s="16" t="str">
        <f>IF('Sales Projections'!$E$13&gt;=ROW(BS183)-100,+$C183/4,"")</f>
        <v/>
      </c>
      <c r="BT183" s="16" t="str">
        <f>IF('Sales Projections'!$E$13&gt;=ROW(BT183)-100,+$C183/4,"")</f>
        <v/>
      </c>
      <c r="BV183" s="16">
        <f t="shared" si="456"/>
        <v>0</v>
      </c>
      <c r="BW183" s="16" t="str">
        <f>IF('Sales Projections'!$F$13&gt;=ROW(BW183)-100,+$C183/4,"")</f>
        <v/>
      </c>
      <c r="BX183" s="16" t="str">
        <f>IF('Sales Projections'!$F$13&gt;=ROW(BX183)-100,+$C183/4,"")</f>
        <v/>
      </c>
      <c r="BY183" s="16" t="str">
        <f>IF('Sales Projections'!$F$13&gt;=ROW(BY183)-100,+$C183/4,"")</f>
        <v/>
      </c>
      <c r="BZ183" s="16" t="str">
        <f>IF('Sales Projections'!$F$13&gt;=ROW(BZ183)-100,+$C183/4,"")</f>
        <v/>
      </c>
    </row>
    <row r="184" spans="2:78" s="265" customFormat="1" x14ac:dyDescent="0.25">
      <c r="B184" s="16" t="s">
        <v>760</v>
      </c>
      <c r="C184" s="16">
        <v>125000</v>
      </c>
      <c r="D184" s="16" t="s">
        <v>531</v>
      </c>
      <c r="BJ184" s="16">
        <f t="shared" si="457"/>
        <v>0</v>
      </c>
      <c r="BK184" s="16" t="str">
        <f>IF('Sales Projections'!$D$13&gt;=ROW(BK184)-100,+$C184/4,"")</f>
        <v/>
      </c>
      <c r="BL184" s="16" t="str">
        <f>IF('Sales Projections'!$D$13&gt;=ROW(BL184)-100,+$C184/4,"")</f>
        <v/>
      </c>
      <c r="BM184" s="16" t="str">
        <f>IF('Sales Projections'!$D$13&gt;=ROW(BM184)-100,+$C184/4,"")</f>
        <v/>
      </c>
      <c r="BN184" s="16" t="str">
        <f>IF('Sales Projections'!$D$13&gt;=ROW(BN184)-100,+$C184/4,"")</f>
        <v/>
      </c>
      <c r="BP184" s="16">
        <f t="shared" si="455"/>
        <v>0</v>
      </c>
      <c r="BQ184" s="16" t="str">
        <f>IF('Sales Projections'!$E$13&gt;=ROW(BQ184)-100,+$C184/4,"")</f>
        <v/>
      </c>
      <c r="BR184" s="16" t="str">
        <f>IF('Sales Projections'!$E$13&gt;=ROW(BR184)-100,+$C184/4,"")</f>
        <v/>
      </c>
      <c r="BS184" s="16" t="str">
        <f>IF('Sales Projections'!$E$13&gt;=ROW(BS184)-100,+$C184/4,"")</f>
        <v/>
      </c>
      <c r="BT184" s="16" t="str">
        <f>IF('Sales Projections'!$E$13&gt;=ROW(BT184)-100,+$C184/4,"")</f>
        <v/>
      </c>
      <c r="BV184" s="16">
        <f t="shared" si="456"/>
        <v>0</v>
      </c>
      <c r="BW184" s="16" t="str">
        <f>IF('Sales Projections'!$F$13&gt;=ROW(BW184)-100,+$C184/4,"")</f>
        <v/>
      </c>
      <c r="BX184" s="16" t="str">
        <f>IF('Sales Projections'!$F$13&gt;=ROW(BX184)-100,+$C184/4,"")</f>
        <v/>
      </c>
      <c r="BY184" s="16" t="str">
        <f>IF('Sales Projections'!$F$13&gt;=ROW(BY184)-100,+$C184/4,"")</f>
        <v/>
      </c>
      <c r="BZ184" s="16" t="str">
        <f>IF('Sales Projections'!$F$13&gt;=ROW(BZ184)-100,+$C184/4,"")</f>
        <v/>
      </c>
    </row>
    <row r="185" spans="2:78" s="265" customFormat="1" x14ac:dyDescent="0.25">
      <c r="B185" s="16" t="s">
        <v>761</v>
      </c>
      <c r="C185" s="16">
        <v>125000</v>
      </c>
      <c r="D185" s="16" t="s">
        <v>531</v>
      </c>
      <c r="BJ185" s="16">
        <f t="shared" si="457"/>
        <v>0</v>
      </c>
      <c r="BK185" s="16" t="str">
        <f>IF('Sales Projections'!$D$13&gt;=ROW(BK185)-100,+$C185/4,"")</f>
        <v/>
      </c>
      <c r="BL185" s="16" t="str">
        <f>IF('Sales Projections'!$D$13&gt;=ROW(BL185)-100,+$C185/4,"")</f>
        <v/>
      </c>
      <c r="BM185" s="16" t="str">
        <f>IF('Sales Projections'!$D$13&gt;=ROW(BM185)-100,+$C185/4,"")</f>
        <v/>
      </c>
      <c r="BN185" s="16" t="str">
        <f>IF('Sales Projections'!$D$13&gt;=ROW(BN185)-100,+$C185/4,"")</f>
        <v/>
      </c>
      <c r="BP185" s="16">
        <f t="shared" si="455"/>
        <v>0</v>
      </c>
      <c r="BQ185" s="16" t="str">
        <f>IF('Sales Projections'!$E$13&gt;=ROW(BQ185)-100,+$C185/4,"")</f>
        <v/>
      </c>
      <c r="BR185" s="16" t="str">
        <f>IF('Sales Projections'!$E$13&gt;=ROW(BR185)-100,+$C185/4,"")</f>
        <v/>
      </c>
      <c r="BS185" s="16" t="str">
        <f>IF('Sales Projections'!$E$13&gt;=ROW(BS185)-100,+$C185/4,"")</f>
        <v/>
      </c>
      <c r="BT185" s="16" t="str">
        <f>IF('Sales Projections'!$E$13&gt;=ROW(BT185)-100,+$C185/4,"")</f>
        <v/>
      </c>
      <c r="BV185" s="16">
        <f t="shared" si="456"/>
        <v>0</v>
      </c>
      <c r="BW185" s="16" t="str">
        <f>IF('Sales Projections'!$F$13&gt;=ROW(BW185)-100,+$C185/4,"")</f>
        <v/>
      </c>
      <c r="BX185" s="16" t="str">
        <f>IF('Sales Projections'!$F$13&gt;=ROW(BX185)-100,+$C185/4,"")</f>
        <v/>
      </c>
      <c r="BY185" s="16" t="str">
        <f>IF('Sales Projections'!$F$13&gt;=ROW(BY185)-100,+$C185/4,"")</f>
        <v/>
      </c>
      <c r="BZ185" s="16" t="str">
        <f>IF('Sales Projections'!$F$13&gt;=ROW(BZ185)-100,+$C185/4,"")</f>
        <v/>
      </c>
    </row>
    <row r="186" spans="2:78" s="265" customFormat="1" x14ac:dyDescent="0.25">
      <c r="B186" s="16" t="s">
        <v>762</v>
      </c>
      <c r="C186" s="16">
        <v>125000</v>
      </c>
      <c r="D186" s="16" t="s">
        <v>531</v>
      </c>
      <c r="BJ186" s="16">
        <f t="shared" si="457"/>
        <v>0</v>
      </c>
      <c r="BK186" s="16" t="str">
        <f>IF('Sales Projections'!$D$13&gt;=ROW(BK186)-100,+$C186/4,"")</f>
        <v/>
      </c>
      <c r="BL186" s="16" t="str">
        <f>IF('Sales Projections'!$D$13&gt;=ROW(BL186)-100,+$C186/4,"")</f>
        <v/>
      </c>
      <c r="BM186" s="16" t="str">
        <f>IF('Sales Projections'!$D$13&gt;=ROW(BM186)-100,+$C186/4,"")</f>
        <v/>
      </c>
      <c r="BN186" s="16" t="str">
        <f>IF('Sales Projections'!$D$13&gt;=ROW(BN186)-100,+$C186/4,"")</f>
        <v/>
      </c>
      <c r="BP186" s="16">
        <f t="shared" si="455"/>
        <v>0</v>
      </c>
      <c r="BQ186" s="16" t="str">
        <f>IF('Sales Projections'!$E$13&gt;=ROW(BQ186)-100,+$C186/4,"")</f>
        <v/>
      </c>
      <c r="BR186" s="16" t="str">
        <f>IF('Sales Projections'!$E$13&gt;=ROW(BR186)-100,+$C186/4,"")</f>
        <v/>
      </c>
      <c r="BS186" s="16" t="str">
        <f>IF('Sales Projections'!$E$13&gt;=ROW(BS186)-100,+$C186/4,"")</f>
        <v/>
      </c>
      <c r="BT186" s="16" t="str">
        <f>IF('Sales Projections'!$E$13&gt;=ROW(BT186)-100,+$C186/4,"")</f>
        <v/>
      </c>
      <c r="BV186" s="16">
        <f t="shared" si="456"/>
        <v>0</v>
      </c>
      <c r="BW186" s="16" t="str">
        <f>IF('Sales Projections'!$F$13&gt;=ROW(BW186)-100,+$C186/4,"")</f>
        <v/>
      </c>
      <c r="BX186" s="16" t="str">
        <f>IF('Sales Projections'!$F$13&gt;=ROW(BX186)-100,+$C186/4,"")</f>
        <v/>
      </c>
      <c r="BY186" s="16" t="str">
        <f>IF('Sales Projections'!$F$13&gt;=ROW(BY186)-100,+$C186/4,"")</f>
        <v/>
      </c>
      <c r="BZ186" s="16" t="str">
        <f>IF('Sales Projections'!$F$13&gt;=ROW(BZ186)-100,+$C186/4,"")</f>
        <v/>
      </c>
    </row>
    <row r="187" spans="2:78" s="265" customFormat="1" x14ac:dyDescent="0.25">
      <c r="B187" s="16" t="s">
        <v>763</v>
      </c>
      <c r="C187" s="16">
        <v>125000</v>
      </c>
      <c r="D187" s="16" t="s">
        <v>531</v>
      </c>
      <c r="BJ187" s="16">
        <f t="shared" si="457"/>
        <v>0</v>
      </c>
      <c r="BK187" s="16" t="str">
        <f>IF('Sales Projections'!$D$13&gt;=ROW(BK187)-100,+$C187/4,"")</f>
        <v/>
      </c>
      <c r="BL187" s="16" t="str">
        <f>IF('Sales Projections'!$D$13&gt;=ROW(BL187)-100,+$C187/4,"")</f>
        <v/>
      </c>
      <c r="BM187" s="16" t="str">
        <f>IF('Sales Projections'!$D$13&gt;=ROW(BM187)-100,+$C187/4,"")</f>
        <v/>
      </c>
      <c r="BN187" s="16" t="str">
        <f>IF('Sales Projections'!$D$13&gt;=ROW(BN187)-100,+$C187/4,"")</f>
        <v/>
      </c>
      <c r="BP187" s="16">
        <f t="shared" si="455"/>
        <v>0</v>
      </c>
      <c r="BQ187" s="16" t="str">
        <f>IF('Sales Projections'!$E$13&gt;=ROW(BQ187)-100,+$C187/4,"")</f>
        <v/>
      </c>
      <c r="BR187" s="16" t="str">
        <f>IF('Sales Projections'!$E$13&gt;=ROW(BR187)-100,+$C187/4,"")</f>
        <v/>
      </c>
      <c r="BS187" s="16" t="str">
        <f>IF('Sales Projections'!$E$13&gt;=ROW(BS187)-100,+$C187/4,"")</f>
        <v/>
      </c>
      <c r="BT187" s="16" t="str">
        <f>IF('Sales Projections'!$E$13&gt;=ROW(BT187)-100,+$C187/4,"")</f>
        <v/>
      </c>
      <c r="BV187" s="16">
        <f t="shared" si="456"/>
        <v>0</v>
      </c>
      <c r="BW187" s="16" t="str">
        <f>IF('Sales Projections'!$F$13&gt;=ROW(BW187)-100,+$C187/4,"")</f>
        <v/>
      </c>
      <c r="BX187" s="16" t="str">
        <f>IF('Sales Projections'!$F$13&gt;=ROW(BX187)-100,+$C187/4,"")</f>
        <v/>
      </c>
      <c r="BY187" s="16" t="str">
        <f>IF('Sales Projections'!$F$13&gt;=ROW(BY187)-100,+$C187/4,"")</f>
        <v/>
      </c>
      <c r="BZ187" s="16" t="str">
        <f>IF('Sales Projections'!$F$13&gt;=ROW(BZ187)-100,+$C187/4,"")</f>
        <v/>
      </c>
    </row>
    <row r="188" spans="2:78" s="265" customFormat="1" x14ac:dyDescent="0.25">
      <c r="B188" s="16" t="s">
        <v>764</v>
      </c>
      <c r="C188" s="16">
        <v>125000</v>
      </c>
      <c r="D188" s="16" t="s">
        <v>531</v>
      </c>
      <c r="BJ188" s="16">
        <f t="shared" si="457"/>
        <v>0</v>
      </c>
      <c r="BK188" s="16" t="str">
        <f>IF('Sales Projections'!$D$13&gt;=ROW(BK188)-100,+$C188/4,"")</f>
        <v/>
      </c>
      <c r="BL188" s="16" t="str">
        <f>IF('Sales Projections'!$D$13&gt;=ROW(BL188)-100,+$C188/4,"")</f>
        <v/>
      </c>
      <c r="BM188" s="16" t="str">
        <f>IF('Sales Projections'!$D$13&gt;=ROW(BM188)-100,+$C188/4,"")</f>
        <v/>
      </c>
      <c r="BN188" s="16" t="str">
        <f>IF('Sales Projections'!$D$13&gt;=ROW(BN188)-100,+$C188/4,"")</f>
        <v/>
      </c>
      <c r="BP188" s="16">
        <f t="shared" si="455"/>
        <v>0</v>
      </c>
      <c r="BQ188" s="16" t="str">
        <f>IF('Sales Projections'!$E$13&gt;=ROW(BQ188)-100,+$C188/4,"")</f>
        <v/>
      </c>
      <c r="BR188" s="16" t="str">
        <f>IF('Sales Projections'!$E$13&gt;=ROW(BR188)-100,+$C188/4,"")</f>
        <v/>
      </c>
      <c r="BS188" s="16" t="str">
        <f>IF('Sales Projections'!$E$13&gt;=ROW(BS188)-100,+$C188/4,"")</f>
        <v/>
      </c>
      <c r="BT188" s="16" t="str">
        <f>IF('Sales Projections'!$E$13&gt;=ROW(BT188)-100,+$C188/4,"")</f>
        <v/>
      </c>
      <c r="BV188" s="16">
        <f t="shared" si="456"/>
        <v>0</v>
      </c>
      <c r="BW188" s="16" t="str">
        <f>IF('Sales Projections'!$F$13&gt;=ROW(BW188)-100,+$C188/4,"")</f>
        <v/>
      </c>
      <c r="BX188" s="16" t="str">
        <f>IF('Sales Projections'!$F$13&gt;=ROW(BX188)-100,+$C188/4,"")</f>
        <v/>
      </c>
      <c r="BY188" s="16" t="str">
        <f>IF('Sales Projections'!$F$13&gt;=ROW(BY188)-100,+$C188/4,"")</f>
        <v/>
      </c>
      <c r="BZ188" s="16" t="str">
        <f>IF('Sales Projections'!$F$13&gt;=ROW(BZ188)-100,+$C188/4,"")</f>
        <v/>
      </c>
    </row>
    <row r="189" spans="2:78" s="265" customFormat="1" x14ac:dyDescent="0.25">
      <c r="B189" s="16" t="s">
        <v>765</v>
      </c>
      <c r="C189" s="16">
        <v>125000</v>
      </c>
      <c r="D189" s="16" t="s">
        <v>531</v>
      </c>
      <c r="BJ189" s="16">
        <f t="shared" si="457"/>
        <v>0</v>
      </c>
      <c r="BK189" s="16" t="str">
        <f>IF('Sales Projections'!$D$13&gt;=ROW(BK189)-100,+$C189/4,"")</f>
        <v/>
      </c>
      <c r="BL189" s="16" t="str">
        <f>IF('Sales Projections'!$D$13&gt;=ROW(BL189)-100,+$C189/4,"")</f>
        <v/>
      </c>
      <c r="BM189" s="16" t="str">
        <f>IF('Sales Projections'!$D$13&gt;=ROW(BM189)-100,+$C189/4,"")</f>
        <v/>
      </c>
      <c r="BN189" s="16" t="str">
        <f>IF('Sales Projections'!$D$13&gt;=ROW(BN189)-100,+$C189/4,"")</f>
        <v/>
      </c>
      <c r="BP189" s="16">
        <f t="shared" si="455"/>
        <v>0</v>
      </c>
      <c r="BQ189" s="16" t="str">
        <f>IF('Sales Projections'!$E$13&gt;=ROW(BQ189)-100,+$C189/4,"")</f>
        <v/>
      </c>
      <c r="BR189" s="16" t="str">
        <f>IF('Sales Projections'!$E$13&gt;=ROW(BR189)-100,+$C189/4,"")</f>
        <v/>
      </c>
      <c r="BS189" s="16" t="str">
        <f>IF('Sales Projections'!$E$13&gt;=ROW(BS189)-100,+$C189/4,"")</f>
        <v/>
      </c>
      <c r="BT189" s="16" t="str">
        <f>IF('Sales Projections'!$E$13&gt;=ROW(BT189)-100,+$C189/4,"")</f>
        <v/>
      </c>
      <c r="BV189" s="16">
        <f t="shared" si="456"/>
        <v>0</v>
      </c>
      <c r="BW189" s="16" t="str">
        <f>IF('Sales Projections'!$F$13&gt;=ROW(BW189)-100,+$C189/4,"")</f>
        <v/>
      </c>
      <c r="BX189" s="16" t="str">
        <f>IF('Sales Projections'!$F$13&gt;=ROW(BX189)-100,+$C189/4,"")</f>
        <v/>
      </c>
      <c r="BY189" s="16" t="str">
        <f>IF('Sales Projections'!$F$13&gt;=ROW(BY189)-100,+$C189/4,"")</f>
        <v/>
      </c>
      <c r="BZ189" s="16" t="str">
        <f>IF('Sales Projections'!$F$13&gt;=ROW(BZ189)-100,+$C189/4,"")</f>
        <v/>
      </c>
    </row>
    <row r="190" spans="2:78" s="265" customFormat="1" x14ac:dyDescent="0.25">
      <c r="B190" s="16" t="s">
        <v>766</v>
      </c>
      <c r="C190" s="16">
        <v>125000</v>
      </c>
      <c r="D190" s="16" t="s">
        <v>531</v>
      </c>
      <c r="BJ190" s="16">
        <f t="shared" si="457"/>
        <v>0</v>
      </c>
      <c r="BK190" s="16" t="str">
        <f>IF('Sales Projections'!$D$13&gt;=ROW(BK190)-100,+$C190/4,"")</f>
        <v/>
      </c>
      <c r="BL190" s="16" t="str">
        <f>IF('Sales Projections'!$D$13&gt;=ROW(BL190)-100,+$C190/4,"")</f>
        <v/>
      </c>
      <c r="BM190" s="16" t="str">
        <f>IF('Sales Projections'!$D$13&gt;=ROW(BM190)-100,+$C190/4,"")</f>
        <v/>
      </c>
      <c r="BN190" s="16" t="str">
        <f>IF('Sales Projections'!$D$13&gt;=ROW(BN190)-100,+$C190/4,"")</f>
        <v/>
      </c>
      <c r="BP190" s="16">
        <f t="shared" si="455"/>
        <v>0</v>
      </c>
      <c r="BQ190" s="16" t="str">
        <f>IF('Sales Projections'!$E$13&gt;=ROW(BQ190)-100,+$C190/4,"")</f>
        <v/>
      </c>
      <c r="BR190" s="16" t="str">
        <f>IF('Sales Projections'!$E$13&gt;=ROW(BR190)-100,+$C190/4,"")</f>
        <v/>
      </c>
      <c r="BS190" s="16" t="str">
        <f>IF('Sales Projections'!$E$13&gt;=ROW(BS190)-100,+$C190/4,"")</f>
        <v/>
      </c>
      <c r="BT190" s="16" t="str">
        <f>IF('Sales Projections'!$E$13&gt;=ROW(BT190)-100,+$C190/4,"")</f>
        <v/>
      </c>
      <c r="BV190" s="16">
        <f t="shared" si="456"/>
        <v>0</v>
      </c>
      <c r="BW190" s="16" t="str">
        <f>IF('Sales Projections'!$F$13&gt;=ROW(BW190)-100,+$C190/4,"")</f>
        <v/>
      </c>
      <c r="BX190" s="16" t="str">
        <f>IF('Sales Projections'!$F$13&gt;=ROW(BX190)-100,+$C190/4,"")</f>
        <v/>
      </c>
      <c r="BY190" s="16" t="str">
        <f>IF('Sales Projections'!$F$13&gt;=ROW(BY190)-100,+$C190/4,"")</f>
        <v/>
      </c>
      <c r="BZ190" s="16" t="str">
        <f>IF('Sales Projections'!$F$13&gt;=ROW(BZ190)-100,+$C190/4,"")</f>
        <v/>
      </c>
    </row>
    <row r="191" spans="2:78" s="265" customFormat="1" x14ac:dyDescent="0.25">
      <c r="B191" s="16" t="s">
        <v>767</v>
      </c>
      <c r="C191" s="16">
        <v>125000</v>
      </c>
      <c r="D191" s="16" t="s">
        <v>531</v>
      </c>
      <c r="BJ191" s="16">
        <f t="shared" si="457"/>
        <v>0</v>
      </c>
      <c r="BK191" s="16" t="str">
        <f>IF('Sales Projections'!$D$13&gt;=ROW(BK191)-100,+$C191/4,"")</f>
        <v/>
      </c>
      <c r="BL191" s="16" t="str">
        <f>IF('Sales Projections'!$D$13&gt;=ROW(BL191)-100,+$C191/4,"")</f>
        <v/>
      </c>
      <c r="BM191" s="16" t="str">
        <f>IF('Sales Projections'!$D$13&gt;=ROW(BM191)-100,+$C191/4,"")</f>
        <v/>
      </c>
      <c r="BN191" s="16" t="str">
        <f>IF('Sales Projections'!$D$13&gt;=ROW(BN191)-100,+$C191/4,"")</f>
        <v/>
      </c>
      <c r="BP191" s="16">
        <f t="shared" si="455"/>
        <v>0</v>
      </c>
      <c r="BQ191" s="16" t="str">
        <f>IF('Sales Projections'!$E$13&gt;=ROW(BQ191)-100,+$C191/4,"")</f>
        <v/>
      </c>
      <c r="BR191" s="16" t="str">
        <f>IF('Sales Projections'!$E$13&gt;=ROW(BR191)-100,+$C191/4,"")</f>
        <v/>
      </c>
      <c r="BS191" s="16" t="str">
        <f>IF('Sales Projections'!$E$13&gt;=ROW(BS191)-100,+$C191/4,"")</f>
        <v/>
      </c>
      <c r="BT191" s="16" t="str">
        <f>IF('Sales Projections'!$E$13&gt;=ROW(BT191)-100,+$C191/4,"")</f>
        <v/>
      </c>
      <c r="BV191" s="16">
        <f t="shared" si="456"/>
        <v>0</v>
      </c>
      <c r="BW191" s="16" t="str">
        <f>IF('Sales Projections'!$F$13&gt;=ROW(BW191)-100,+$C191/4,"")</f>
        <v/>
      </c>
      <c r="BX191" s="16" t="str">
        <f>IF('Sales Projections'!$F$13&gt;=ROW(BX191)-100,+$C191/4,"")</f>
        <v/>
      </c>
      <c r="BY191" s="16" t="str">
        <f>IF('Sales Projections'!$F$13&gt;=ROW(BY191)-100,+$C191/4,"")</f>
        <v/>
      </c>
      <c r="BZ191" s="16" t="str">
        <f>IF('Sales Projections'!$F$13&gt;=ROW(BZ191)-100,+$C191/4,"")</f>
        <v/>
      </c>
    </row>
    <row r="192" spans="2:78" s="265" customFormat="1" x14ac:dyDescent="0.25">
      <c r="B192" s="16" t="s">
        <v>768</v>
      </c>
      <c r="C192" s="16">
        <v>125000</v>
      </c>
      <c r="D192" s="16" t="s">
        <v>531</v>
      </c>
      <c r="BJ192" s="16">
        <f t="shared" si="457"/>
        <v>0</v>
      </c>
      <c r="BK192" s="16" t="str">
        <f>IF('Sales Projections'!$D$13&gt;=ROW(BK192)-100,+$C192/4,"")</f>
        <v/>
      </c>
      <c r="BL192" s="16" t="str">
        <f>IF('Sales Projections'!$D$13&gt;=ROW(BL192)-100,+$C192/4,"")</f>
        <v/>
      </c>
      <c r="BM192" s="16" t="str">
        <f>IF('Sales Projections'!$D$13&gt;=ROW(BM192)-100,+$C192/4,"")</f>
        <v/>
      </c>
      <c r="BN192" s="16" t="str">
        <f>IF('Sales Projections'!$D$13&gt;=ROW(BN192)-100,+$C192/4,"")</f>
        <v/>
      </c>
      <c r="BP192" s="16">
        <f t="shared" si="455"/>
        <v>0</v>
      </c>
      <c r="BQ192" s="16" t="str">
        <f>IF('Sales Projections'!$E$13&gt;=ROW(BQ192)-100,+$C192/4,"")</f>
        <v/>
      </c>
      <c r="BR192" s="16" t="str">
        <f>IF('Sales Projections'!$E$13&gt;=ROW(BR192)-100,+$C192/4,"")</f>
        <v/>
      </c>
      <c r="BS192" s="16" t="str">
        <f>IF('Sales Projections'!$E$13&gt;=ROW(BS192)-100,+$C192/4,"")</f>
        <v/>
      </c>
      <c r="BT192" s="16" t="str">
        <f>IF('Sales Projections'!$E$13&gt;=ROW(BT192)-100,+$C192/4,"")</f>
        <v/>
      </c>
      <c r="BV192" s="16">
        <f t="shared" si="456"/>
        <v>0</v>
      </c>
      <c r="BW192" s="16" t="str">
        <f>IF('Sales Projections'!$F$13&gt;=ROW(BW192)-100,+$C192/4,"")</f>
        <v/>
      </c>
      <c r="BX192" s="16" t="str">
        <f>IF('Sales Projections'!$F$13&gt;=ROW(BX192)-100,+$C192/4,"")</f>
        <v/>
      </c>
      <c r="BY192" s="16" t="str">
        <f>IF('Sales Projections'!$F$13&gt;=ROW(BY192)-100,+$C192/4,"")</f>
        <v/>
      </c>
      <c r="BZ192" s="16" t="str">
        <f>IF('Sales Projections'!$F$13&gt;=ROW(BZ192)-100,+$C192/4,"")</f>
        <v/>
      </c>
    </row>
    <row r="193" spans="2:78" s="265" customFormat="1" x14ac:dyDescent="0.25">
      <c r="B193" s="16" t="s">
        <v>769</v>
      </c>
      <c r="C193" s="16">
        <v>125000</v>
      </c>
      <c r="D193" s="16" t="s">
        <v>531</v>
      </c>
      <c r="BJ193" s="16">
        <f t="shared" si="457"/>
        <v>0</v>
      </c>
      <c r="BK193" s="16" t="str">
        <f>IF('Sales Projections'!$D$13&gt;=ROW(BK193)-100,+$C193/4,"")</f>
        <v/>
      </c>
      <c r="BL193" s="16" t="str">
        <f>IF('Sales Projections'!$D$13&gt;=ROW(BL193)-100,+$C193/4,"")</f>
        <v/>
      </c>
      <c r="BM193" s="16" t="str">
        <f>IF('Sales Projections'!$D$13&gt;=ROW(BM193)-100,+$C193/4,"")</f>
        <v/>
      </c>
      <c r="BN193" s="16" t="str">
        <f>IF('Sales Projections'!$D$13&gt;=ROW(BN193)-100,+$C193/4,"")</f>
        <v/>
      </c>
      <c r="BP193" s="16">
        <f t="shared" si="455"/>
        <v>0</v>
      </c>
      <c r="BQ193" s="16" t="str">
        <f>IF('Sales Projections'!$E$13&gt;=ROW(BQ193)-100,+$C193/4,"")</f>
        <v/>
      </c>
      <c r="BR193" s="16" t="str">
        <f>IF('Sales Projections'!$E$13&gt;=ROW(BR193)-100,+$C193/4,"")</f>
        <v/>
      </c>
      <c r="BS193" s="16" t="str">
        <f>IF('Sales Projections'!$E$13&gt;=ROW(BS193)-100,+$C193/4,"")</f>
        <v/>
      </c>
      <c r="BT193" s="16" t="str">
        <f>IF('Sales Projections'!$E$13&gt;=ROW(BT193)-100,+$C193/4,"")</f>
        <v/>
      </c>
      <c r="BV193" s="16">
        <f t="shared" si="456"/>
        <v>0</v>
      </c>
      <c r="BW193" s="16" t="str">
        <f>IF('Sales Projections'!$F$13&gt;=ROW(BW193)-100,+$C193/4,"")</f>
        <v/>
      </c>
      <c r="BX193" s="16" t="str">
        <f>IF('Sales Projections'!$F$13&gt;=ROW(BX193)-100,+$C193/4,"")</f>
        <v/>
      </c>
      <c r="BY193" s="16" t="str">
        <f>IF('Sales Projections'!$F$13&gt;=ROW(BY193)-100,+$C193/4,"")</f>
        <v/>
      </c>
      <c r="BZ193" s="16" t="str">
        <f>IF('Sales Projections'!$F$13&gt;=ROW(BZ193)-100,+$C193/4,"")</f>
        <v/>
      </c>
    </row>
    <row r="194" spans="2:78" s="265" customFormat="1" x14ac:dyDescent="0.25">
      <c r="B194" s="16" t="s">
        <v>770</v>
      </c>
      <c r="C194" s="16">
        <v>125000</v>
      </c>
      <c r="D194" s="16" t="s">
        <v>531</v>
      </c>
      <c r="BJ194" s="16">
        <f t="shared" si="457"/>
        <v>0</v>
      </c>
      <c r="BK194" s="16" t="str">
        <f>IF('Sales Projections'!$D$13&gt;=ROW(BK194)-100,+$C194/4,"")</f>
        <v/>
      </c>
      <c r="BL194" s="16" t="str">
        <f>IF('Sales Projections'!$D$13&gt;=ROW(BL194)-100,+$C194/4,"")</f>
        <v/>
      </c>
      <c r="BM194" s="16" t="str">
        <f>IF('Sales Projections'!$D$13&gt;=ROW(BM194)-100,+$C194/4,"")</f>
        <v/>
      </c>
      <c r="BN194" s="16" t="str">
        <f>IF('Sales Projections'!$D$13&gt;=ROW(BN194)-100,+$C194/4,"")</f>
        <v/>
      </c>
      <c r="BP194" s="16">
        <f t="shared" si="455"/>
        <v>0</v>
      </c>
      <c r="BQ194" s="16" t="str">
        <f>IF('Sales Projections'!$E$13&gt;=ROW(BQ194)-100,+$C194/4,"")</f>
        <v/>
      </c>
      <c r="BR194" s="16" t="str">
        <f>IF('Sales Projections'!$E$13&gt;=ROW(BR194)-100,+$C194/4,"")</f>
        <v/>
      </c>
      <c r="BS194" s="16" t="str">
        <f>IF('Sales Projections'!$E$13&gt;=ROW(BS194)-100,+$C194/4,"")</f>
        <v/>
      </c>
      <c r="BT194" s="16" t="str">
        <f>IF('Sales Projections'!$E$13&gt;=ROW(BT194)-100,+$C194/4,"")</f>
        <v/>
      </c>
      <c r="BV194" s="16">
        <f t="shared" si="456"/>
        <v>0</v>
      </c>
      <c r="BW194" s="16" t="str">
        <f>IF('Sales Projections'!$F$13&gt;=ROW(BW194)-100,+$C194/4,"")</f>
        <v/>
      </c>
      <c r="BX194" s="16" t="str">
        <f>IF('Sales Projections'!$F$13&gt;=ROW(BX194)-100,+$C194/4,"")</f>
        <v/>
      </c>
      <c r="BY194" s="16" t="str">
        <f>IF('Sales Projections'!$F$13&gt;=ROW(BY194)-100,+$C194/4,"")</f>
        <v/>
      </c>
      <c r="BZ194" s="16" t="str">
        <f>IF('Sales Projections'!$F$13&gt;=ROW(BZ194)-100,+$C194/4,"")</f>
        <v/>
      </c>
    </row>
    <row r="195" spans="2:78" s="265" customFormat="1" x14ac:dyDescent="0.25">
      <c r="B195" s="16" t="s">
        <v>771</v>
      </c>
      <c r="C195" s="16">
        <v>125000</v>
      </c>
      <c r="D195" s="16" t="s">
        <v>531</v>
      </c>
      <c r="BJ195" s="16">
        <f t="shared" si="457"/>
        <v>0</v>
      </c>
      <c r="BK195" s="16" t="str">
        <f>IF('Sales Projections'!$D$13&gt;=ROW(BK195)-100,+$C195/4,"")</f>
        <v/>
      </c>
      <c r="BL195" s="16" t="str">
        <f>IF('Sales Projections'!$D$13&gt;=ROW(BL195)-100,+$C195/4,"")</f>
        <v/>
      </c>
      <c r="BM195" s="16" t="str">
        <f>IF('Sales Projections'!$D$13&gt;=ROW(BM195)-100,+$C195/4,"")</f>
        <v/>
      </c>
      <c r="BN195" s="16" t="str">
        <f>IF('Sales Projections'!$D$13&gt;=ROW(BN195)-100,+$C195/4,"")</f>
        <v/>
      </c>
      <c r="BP195" s="16">
        <f t="shared" si="455"/>
        <v>0</v>
      </c>
      <c r="BQ195" s="16" t="str">
        <f>IF('Sales Projections'!$E$13&gt;=ROW(BQ195)-100,+$C195/4,"")</f>
        <v/>
      </c>
      <c r="BR195" s="16" t="str">
        <f>IF('Sales Projections'!$E$13&gt;=ROW(BR195)-100,+$C195/4,"")</f>
        <v/>
      </c>
      <c r="BS195" s="16" t="str">
        <f>IF('Sales Projections'!$E$13&gt;=ROW(BS195)-100,+$C195/4,"")</f>
        <v/>
      </c>
      <c r="BT195" s="16" t="str">
        <f>IF('Sales Projections'!$E$13&gt;=ROW(BT195)-100,+$C195/4,"")</f>
        <v/>
      </c>
      <c r="BV195" s="16">
        <f t="shared" si="456"/>
        <v>0</v>
      </c>
      <c r="BW195" s="16" t="str">
        <f>IF('Sales Projections'!$F$13&gt;=ROW(BW195)-100,+$C195/4,"")</f>
        <v/>
      </c>
      <c r="BX195" s="16" t="str">
        <f>IF('Sales Projections'!$F$13&gt;=ROW(BX195)-100,+$C195/4,"")</f>
        <v/>
      </c>
      <c r="BY195" s="16" t="str">
        <f>IF('Sales Projections'!$F$13&gt;=ROW(BY195)-100,+$C195/4,"")</f>
        <v/>
      </c>
      <c r="BZ195" s="16" t="str">
        <f>IF('Sales Projections'!$F$13&gt;=ROW(BZ195)-100,+$C195/4,"")</f>
        <v/>
      </c>
    </row>
    <row r="196" spans="2:78" s="265" customFormat="1" x14ac:dyDescent="0.25">
      <c r="B196" s="16" t="s">
        <v>772</v>
      </c>
      <c r="C196" s="16">
        <v>125000</v>
      </c>
      <c r="D196" s="16" t="s">
        <v>531</v>
      </c>
      <c r="BJ196" s="16">
        <f t="shared" si="457"/>
        <v>0</v>
      </c>
      <c r="BK196" s="16" t="str">
        <f>IF('Sales Projections'!$D$13&gt;=ROW(BK196)-100,+$C196/4,"")</f>
        <v/>
      </c>
      <c r="BL196" s="16" t="str">
        <f>IF('Sales Projections'!$D$13&gt;=ROW(BL196)-100,+$C196/4,"")</f>
        <v/>
      </c>
      <c r="BM196" s="16" t="str">
        <f>IF('Sales Projections'!$D$13&gt;=ROW(BM196)-100,+$C196/4,"")</f>
        <v/>
      </c>
      <c r="BN196" s="16" t="str">
        <f>IF('Sales Projections'!$D$13&gt;=ROW(BN196)-100,+$C196/4,"")</f>
        <v/>
      </c>
      <c r="BP196" s="16">
        <f t="shared" si="455"/>
        <v>0</v>
      </c>
      <c r="BQ196" s="16" t="str">
        <f>IF('Sales Projections'!$E$13&gt;=ROW(BQ196)-100,+$C196/4,"")</f>
        <v/>
      </c>
      <c r="BR196" s="16" t="str">
        <f>IF('Sales Projections'!$E$13&gt;=ROW(BR196)-100,+$C196/4,"")</f>
        <v/>
      </c>
      <c r="BS196" s="16" t="str">
        <f>IF('Sales Projections'!$E$13&gt;=ROW(BS196)-100,+$C196/4,"")</f>
        <v/>
      </c>
      <c r="BT196" s="16" t="str">
        <f>IF('Sales Projections'!$E$13&gt;=ROW(BT196)-100,+$C196/4,"")</f>
        <v/>
      </c>
      <c r="BV196" s="16">
        <f t="shared" si="456"/>
        <v>0</v>
      </c>
      <c r="BW196" s="16" t="str">
        <f>IF('Sales Projections'!$F$13&gt;=ROW(BW196)-100,+$C196/4,"")</f>
        <v/>
      </c>
      <c r="BX196" s="16" t="str">
        <f>IF('Sales Projections'!$F$13&gt;=ROW(BX196)-100,+$C196/4,"")</f>
        <v/>
      </c>
      <c r="BY196" s="16" t="str">
        <f>IF('Sales Projections'!$F$13&gt;=ROW(BY196)-100,+$C196/4,"")</f>
        <v/>
      </c>
      <c r="BZ196" s="16" t="str">
        <f>IF('Sales Projections'!$F$13&gt;=ROW(BZ196)-100,+$C196/4,"")</f>
        <v/>
      </c>
    </row>
    <row r="197" spans="2:78" s="265" customFormat="1" x14ac:dyDescent="0.25">
      <c r="B197" s="16" t="s">
        <v>773</v>
      </c>
      <c r="C197" s="16">
        <v>125000</v>
      </c>
      <c r="D197" s="16" t="s">
        <v>531</v>
      </c>
      <c r="BJ197" s="16">
        <f t="shared" si="457"/>
        <v>0</v>
      </c>
      <c r="BK197" s="16" t="str">
        <f>IF('Sales Projections'!$D$13&gt;=ROW(BK197)-100,+$C197/4,"")</f>
        <v/>
      </c>
      <c r="BL197" s="16" t="str">
        <f>IF('Sales Projections'!$D$13&gt;=ROW(BL197)-100,+$C197/4,"")</f>
        <v/>
      </c>
      <c r="BM197" s="16" t="str">
        <f>IF('Sales Projections'!$D$13&gt;=ROW(BM197)-100,+$C197/4,"")</f>
        <v/>
      </c>
      <c r="BN197" s="16" t="str">
        <f>IF('Sales Projections'!$D$13&gt;=ROW(BN197)-100,+$C197/4,"")</f>
        <v/>
      </c>
      <c r="BP197" s="16">
        <f t="shared" si="455"/>
        <v>0</v>
      </c>
      <c r="BQ197" s="16" t="str">
        <f>IF('Sales Projections'!$E$13&gt;=ROW(BQ197)-100,+$C197/4,"")</f>
        <v/>
      </c>
      <c r="BR197" s="16" t="str">
        <f>IF('Sales Projections'!$E$13&gt;=ROW(BR197)-100,+$C197/4,"")</f>
        <v/>
      </c>
      <c r="BS197" s="16" t="str">
        <f>IF('Sales Projections'!$E$13&gt;=ROW(BS197)-100,+$C197/4,"")</f>
        <v/>
      </c>
      <c r="BT197" s="16" t="str">
        <f>IF('Sales Projections'!$E$13&gt;=ROW(BT197)-100,+$C197/4,"")</f>
        <v/>
      </c>
      <c r="BV197" s="16">
        <f t="shared" si="456"/>
        <v>0</v>
      </c>
      <c r="BW197" s="16" t="str">
        <f>IF('Sales Projections'!$F$13&gt;=ROW(BW197)-100,+$C197/4,"")</f>
        <v/>
      </c>
      <c r="BX197" s="16" t="str">
        <f>IF('Sales Projections'!$F$13&gt;=ROW(BX197)-100,+$C197/4,"")</f>
        <v/>
      </c>
      <c r="BY197" s="16" t="str">
        <f>IF('Sales Projections'!$F$13&gt;=ROW(BY197)-100,+$C197/4,"")</f>
        <v/>
      </c>
      <c r="BZ197" s="16" t="str">
        <f>IF('Sales Projections'!$F$13&gt;=ROW(BZ197)-100,+$C197/4,"")</f>
        <v/>
      </c>
    </row>
    <row r="198" spans="2:78" s="265" customFormat="1" x14ac:dyDescent="0.25">
      <c r="B198" s="16" t="s">
        <v>774</v>
      </c>
      <c r="C198" s="16">
        <v>125000</v>
      </c>
      <c r="D198" s="16" t="s">
        <v>531</v>
      </c>
      <c r="BJ198" s="16">
        <f t="shared" si="457"/>
        <v>0</v>
      </c>
      <c r="BK198" s="16" t="str">
        <f>IF('Sales Projections'!$D$13&gt;=ROW(BK198)-100,+$C198/4,"")</f>
        <v/>
      </c>
      <c r="BL198" s="16" t="str">
        <f>IF('Sales Projections'!$D$13&gt;=ROW(BL198)-100,+$C198/4,"")</f>
        <v/>
      </c>
      <c r="BM198" s="16" t="str">
        <f>IF('Sales Projections'!$D$13&gt;=ROW(BM198)-100,+$C198/4,"")</f>
        <v/>
      </c>
      <c r="BN198" s="16" t="str">
        <f>IF('Sales Projections'!$D$13&gt;=ROW(BN198)-100,+$C198/4,"")</f>
        <v/>
      </c>
      <c r="BP198" s="16">
        <f t="shared" si="455"/>
        <v>0</v>
      </c>
      <c r="BQ198" s="16" t="str">
        <f>IF('Sales Projections'!$E$13&gt;=ROW(BQ198)-100,+$C198/4,"")</f>
        <v/>
      </c>
      <c r="BR198" s="16" t="str">
        <f>IF('Sales Projections'!$E$13&gt;=ROW(BR198)-100,+$C198/4,"")</f>
        <v/>
      </c>
      <c r="BS198" s="16" t="str">
        <f>IF('Sales Projections'!$E$13&gt;=ROW(BS198)-100,+$C198/4,"")</f>
        <v/>
      </c>
      <c r="BT198" s="16" t="str">
        <f>IF('Sales Projections'!$E$13&gt;=ROW(BT198)-100,+$C198/4,"")</f>
        <v/>
      </c>
      <c r="BV198" s="16">
        <f t="shared" si="456"/>
        <v>0</v>
      </c>
      <c r="BW198" s="16" t="str">
        <f>IF('Sales Projections'!$F$13&gt;=ROW(BW198)-100,+$C198/4,"")</f>
        <v/>
      </c>
      <c r="BX198" s="16" t="str">
        <f>IF('Sales Projections'!$F$13&gt;=ROW(BX198)-100,+$C198/4,"")</f>
        <v/>
      </c>
      <c r="BY198" s="16" t="str">
        <f>IF('Sales Projections'!$F$13&gt;=ROW(BY198)-100,+$C198/4,"")</f>
        <v/>
      </c>
      <c r="BZ198" s="16" t="str">
        <f>IF('Sales Projections'!$F$13&gt;=ROW(BZ198)-100,+$C198/4,"")</f>
        <v/>
      </c>
    </row>
    <row r="199" spans="2:78" s="265" customFormat="1" x14ac:dyDescent="0.25">
      <c r="B199" s="16" t="s">
        <v>775</v>
      </c>
      <c r="C199" s="16">
        <v>125000</v>
      </c>
      <c r="D199" s="16" t="s">
        <v>531</v>
      </c>
      <c r="BJ199" s="16">
        <f t="shared" si="457"/>
        <v>0</v>
      </c>
      <c r="BK199" s="16" t="str">
        <f>IF('Sales Projections'!$D$13&gt;=ROW(BK199)-100,+$C199/4,"")</f>
        <v/>
      </c>
      <c r="BL199" s="16" t="str">
        <f>IF('Sales Projections'!$D$13&gt;=ROW(BL199)-100,+$C199/4,"")</f>
        <v/>
      </c>
      <c r="BM199" s="16" t="str">
        <f>IF('Sales Projections'!$D$13&gt;=ROW(BM199)-100,+$C199/4,"")</f>
        <v/>
      </c>
      <c r="BN199" s="16" t="str">
        <f>IF('Sales Projections'!$D$13&gt;=ROW(BN199)-100,+$C199/4,"")</f>
        <v/>
      </c>
      <c r="BP199" s="16">
        <f t="shared" si="455"/>
        <v>0</v>
      </c>
      <c r="BQ199" s="16" t="str">
        <f>IF('Sales Projections'!$E$13&gt;=ROW(BQ199)-100,+$C199/4,"")</f>
        <v/>
      </c>
      <c r="BR199" s="16" t="str">
        <f>IF('Sales Projections'!$E$13&gt;=ROW(BR199)-100,+$C199/4,"")</f>
        <v/>
      </c>
      <c r="BS199" s="16" t="str">
        <f>IF('Sales Projections'!$E$13&gt;=ROW(BS199)-100,+$C199/4,"")</f>
        <v/>
      </c>
      <c r="BT199" s="16" t="str">
        <f>IF('Sales Projections'!$E$13&gt;=ROW(BT199)-100,+$C199/4,"")</f>
        <v/>
      </c>
      <c r="BV199" s="16">
        <f t="shared" si="456"/>
        <v>0</v>
      </c>
      <c r="BW199" s="16" t="str">
        <f>IF('Sales Projections'!$F$13&gt;=ROW(BW199)-100,+$C199/4,"")</f>
        <v/>
      </c>
      <c r="BX199" s="16" t="str">
        <f>IF('Sales Projections'!$F$13&gt;=ROW(BX199)-100,+$C199/4,"")</f>
        <v/>
      </c>
      <c r="BY199" s="16" t="str">
        <f>IF('Sales Projections'!$F$13&gt;=ROW(BY199)-100,+$C199/4,"")</f>
        <v/>
      </c>
      <c r="BZ199" s="16" t="str">
        <f>IF('Sales Projections'!$F$13&gt;=ROW(BZ199)-100,+$C199/4,"")</f>
        <v/>
      </c>
    </row>
    <row r="200" spans="2:78" s="265" customFormat="1" x14ac:dyDescent="0.25">
      <c r="B200" s="16" t="s">
        <v>776</v>
      </c>
      <c r="C200" s="16">
        <v>125000</v>
      </c>
      <c r="D200" s="16" t="s">
        <v>531</v>
      </c>
      <c r="BJ200" s="16">
        <f t="shared" si="457"/>
        <v>0</v>
      </c>
      <c r="BK200" s="16" t="str">
        <f>IF('Sales Projections'!$D$13&gt;=ROW(BK200)-100,+$C200/4,"")</f>
        <v/>
      </c>
      <c r="BL200" s="16" t="str">
        <f>IF('Sales Projections'!$D$13&gt;=ROW(BL200)-100,+$C200/4,"")</f>
        <v/>
      </c>
      <c r="BM200" s="16" t="str">
        <f>IF('Sales Projections'!$D$13&gt;=ROW(BM200)-100,+$C200/4,"")</f>
        <v/>
      </c>
      <c r="BN200" s="16" t="str">
        <f>IF('Sales Projections'!$D$13&gt;=ROW(BN200)-100,+$C200/4,"")</f>
        <v/>
      </c>
      <c r="BP200" s="16">
        <f t="shared" si="455"/>
        <v>0</v>
      </c>
      <c r="BQ200" s="16" t="str">
        <f>IF('Sales Projections'!$E$13&gt;=ROW(BQ200)-100,+$C200/4,"")</f>
        <v/>
      </c>
      <c r="BR200" s="16" t="str">
        <f>IF('Sales Projections'!$E$13&gt;=ROW(BR200)-100,+$C200/4,"")</f>
        <v/>
      </c>
      <c r="BS200" s="16" t="str">
        <f>IF('Sales Projections'!$E$13&gt;=ROW(BS200)-100,+$C200/4,"")</f>
        <v/>
      </c>
      <c r="BT200" s="16" t="str">
        <f>IF('Sales Projections'!$E$13&gt;=ROW(BT200)-100,+$C200/4,"")</f>
        <v/>
      </c>
      <c r="BV200" s="16">
        <f t="shared" si="456"/>
        <v>0</v>
      </c>
      <c r="BW200" s="16" t="str">
        <f>IF('Sales Projections'!$F$13&gt;=ROW(BW200)-100,+$C200/4,"")</f>
        <v/>
      </c>
      <c r="BX200" s="16" t="str">
        <f>IF('Sales Projections'!$F$13&gt;=ROW(BX200)-100,+$C200/4,"")</f>
        <v/>
      </c>
      <c r="BY200" s="16" t="str">
        <f>IF('Sales Projections'!$F$13&gt;=ROW(BY200)-100,+$C200/4,"")</f>
        <v/>
      </c>
      <c r="BZ200" s="16" t="str">
        <f>IF('Sales Projections'!$F$13&gt;=ROW(BZ200)-100,+$C200/4,"")</f>
        <v/>
      </c>
    </row>
    <row r="201" spans="2:78" s="265" customFormat="1" x14ac:dyDescent="0.25">
      <c r="B201" s="16" t="s">
        <v>777</v>
      </c>
      <c r="C201" s="16">
        <v>125000</v>
      </c>
      <c r="D201" s="16" t="s">
        <v>531</v>
      </c>
      <c r="BJ201" s="16">
        <f t="shared" si="457"/>
        <v>0</v>
      </c>
      <c r="BK201" s="16" t="str">
        <f>IF('Sales Projections'!$D$13&gt;=ROW(BK201)-100,+$C201/4,"")</f>
        <v/>
      </c>
      <c r="BL201" s="16" t="str">
        <f>IF('Sales Projections'!$D$13&gt;=ROW(BL201)-100,+$C201/4,"")</f>
        <v/>
      </c>
      <c r="BM201" s="16" t="str">
        <f>IF('Sales Projections'!$D$13&gt;=ROW(BM201)-100,+$C201/4,"")</f>
        <v/>
      </c>
      <c r="BN201" s="16" t="str">
        <f>IF('Sales Projections'!$D$13&gt;=ROW(BN201)-100,+$C201/4,"")</f>
        <v/>
      </c>
      <c r="BP201" s="16">
        <f t="shared" si="455"/>
        <v>0</v>
      </c>
      <c r="BQ201" s="16" t="str">
        <f>IF('Sales Projections'!$E$13&gt;=ROW(BQ201)-100,+$C201/4,"")</f>
        <v/>
      </c>
      <c r="BR201" s="16" t="str">
        <f>IF('Sales Projections'!$E$13&gt;=ROW(BR201)-100,+$C201/4,"")</f>
        <v/>
      </c>
      <c r="BS201" s="16" t="str">
        <f>IF('Sales Projections'!$E$13&gt;=ROW(BS201)-100,+$C201/4,"")</f>
        <v/>
      </c>
      <c r="BT201" s="16" t="str">
        <f>IF('Sales Projections'!$E$13&gt;=ROW(BT201)-100,+$C201/4,"")</f>
        <v/>
      </c>
      <c r="BV201" s="16">
        <f t="shared" si="456"/>
        <v>0</v>
      </c>
      <c r="BW201" s="16" t="str">
        <f>IF('Sales Projections'!$F$13&gt;=ROW(BW201)-100,+$C201/4,"")</f>
        <v/>
      </c>
      <c r="BX201" s="16" t="str">
        <f>IF('Sales Projections'!$F$13&gt;=ROW(BX201)-100,+$C201/4,"")</f>
        <v/>
      </c>
      <c r="BY201" s="16" t="str">
        <f>IF('Sales Projections'!$F$13&gt;=ROW(BY201)-100,+$C201/4,"")</f>
        <v/>
      </c>
      <c r="BZ201" s="16" t="str">
        <f>IF('Sales Projections'!$F$13&gt;=ROW(BZ201)-100,+$C201/4,"")</f>
        <v/>
      </c>
    </row>
    <row r="202" spans="2:78" s="265" customFormat="1" x14ac:dyDescent="0.25">
      <c r="B202" s="16" t="s">
        <v>778</v>
      </c>
      <c r="C202" s="16">
        <v>125000</v>
      </c>
      <c r="D202" s="16" t="s">
        <v>531</v>
      </c>
      <c r="BJ202" s="16">
        <f t="shared" si="457"/>
        <v>0</v>
      </c>
      <c r="BK202" s="16" t="str">
        <f>IF('Sales Projections'!$D$13&gt;=ROW(BK202)-100,+$C202/4,"")</f>
        <v/>
      </c>
      <c r="BL202" s="16" t="str">
        <f>IF('Sales Projections'!$D$13&gt;=ROW(BL202)-100,+$C202/4,"")</f>
        <v/>
      </c>
      <c r="BM202" s="16" t="str">
        <f>IF('Sales Projections'!$D$13&gt;=ROW(BM202)-100,+$C202/4,"")</f>
        <v/>
      </c>
      <c r="BN202" s="16" t="str">
        <f>IF('Sales Projections'!$D$13&gt;=ROW(BN202)-100,+$C202/4,"")</f>
        <v/>
      </c>
      <c r="BP202" s="16">
        <f t="shared" si="455"/>
        <v>0</v>
      </c>
      <c r="BQ202" s="16" t="str">
        <f>IF('Sales Projections'!$E$13&gt;=ROW(BQ202)-100,+$C202/4,"")</f>
        <v/>
      </c>
      <c r="BR202" s="16" t="str">
        <f>IF('Sales Projections'!$E$13&gt;=ROW(BR202)-100,+$C202/4,"")</f>
        <v/>
      </c>
      <c r="BS202" s="16" t="str">
        <f>IF('Sales Projections'!$E$13&gt;=ROW(BS202)-100,+$C202/4,"")</f>
        <v/>
      </c>
      <c r="BT202" s="16" t="str">
        <f>IF('Sales Projections'!$E$13&gt;=ROW(BT202)-100,+$C202/4,"")</f>
        <v/>
      </c>
      <c r="BV202" s="16">
        <f t="shared" si="456"/>
        <v>0</v>
      </c>
      <c r="BW202" s="16" t="str">
        <f>IF('Sales Projections'!$F$13&gt;=ROW(BW202)-100,+$C202/4,"")</f>
        <v/>
      </c>
      <c r="BX202" s="16" t="str">
        <f>IF('Sales Projections'!$F$13&gt;=ROW(BX202)-100,+$C202/4,"")</f>
        <v/>
      </c>
      <c r="BY202" s="16" t="str">
        <f>IF('Sales Projections'!$F$13&gt;=ROW(BY202)-100,+$C202/4,"")</f>
        <v/>
      </c>
      <c r="BZ202" s="16" t="str">
        <f>IF('Sales Projections'!$F$13&gt;=ROW(BZ202)-100,+$C202/4,"")</f>
        <v/>
      </c>
    </row>
    <row r="203" spans="2:78" s="265" customFormat="1" x14ac:dyDescent="0.25">
      <c r="B203" s="16" t="s">
        <v>779</v>
      </c>
      <c r="C203" s="16">
        <v>125000</v>
      </c>
      <c r="D203" s="16" t="s">
        <v>531</v>
      </c>
      <c r="BJ203" s="16">
        <f t="shared" si="457"/>
        <v>0</v>
      </c>
      <c r="BK203" s="16" t="str">
        <f>IF('Sales Projections'!$D$13&gt;=ROW(BK203)-100,+$C203/4,"")</f>
        <v/>
      </c>
      <c r="BL203" s="16" t="str">
        <f>IF('Sales Projections'!$D$13&gt;=ROW(BL203)-100,+$C203/4,"")</f>
        <v/>
      </c>
      <c r="BM203" s="16" t="str">
        <f>IF('Sales Projections'!$D$13&gt;=ROW(BM203)-100,+$C203/4,"")</f>
        <v/>
      </c>
      <c r="BN203" s="16" t="str">
        <f>IF('Sales Projections'!$D$13&gt;=ROW(BN203)-100,+$C203/4,"")</f>
        <v/>
      </c>
      <c r="BP203" s="16">
        <f t="shared" si="455"/>
        <v>0</v>
      </c>
      <c r="BQ203" s="16" t="str">
        <f>IF('Sales Projections'!$E$13&gt;=ROW(BQ203)-100,+$C203/4,"")</f>
        <v/>
      </c>
      <c r="BR203" s="16" t="str">
        <f>IF('Sales Projections'!$E$13&gt;=ROW(BR203)-100,+$C203/4,"")</f>
        <v/>
      </c>
      <c r="BS203" s="16" t="str">
        <f>IF('Sales Projections'!$E$13&gt;=ROW(BS203)-100,+$C203/4,"")</f>
        <v/>
      </c>
      <c r="BT203" s="16" t="str">
        <f>IF('Sales Projections'!$E$13&gt;=ROW(BT203)-100,+$C203/4,"")</f>
        <v/>
      </c>
      <c r="BV203" s="16">
        <f t="shared" si="456"/>
        <v>0</v>
      </c>
      <c r="BW203" s="16" t="str">
        <f>IF('Sales Projections'!$F$13&gt;=ROW(BW203)-100,+$C203/4,"")</f>
        <v/>
      </c>
      <c r="BX203" s="16" t="str">
        <f>IF('Sales Projections'!$F$13&gt;=ROW(BX203)-100,+$C203/4,"")</f>
        <v/>
      </c>
      <c r="BY203" s="16" t="str">
        <f>IF('Sales Projections'!$F$13&gt;=ROW(BY203)-100,+$C203/4,"")</f>
        <v/>
      </c>
      <c r="BZ203" s="16" t="str">
        <f>IF('Sales Projections'!$F$13&gt;=ROW(BZ203)-100,+$C203/4,"")</f>
        <v/>
      </c>
    </row>
    <row r="204" spans="2:78" s="265" customFormat="1" x14ac:dyDescent="0.25">
      <c r="B204" s="16" t="s">
        <v>780</v>
      </c>
      <c r="C204" s="16">
        <v>125000</v>
      </c>
      <c r="D204" s="16" t="s">
        <v>531</v>
      </c>
      <c r="BJ204" s="16">
        <f t="shared" si="457"/>
        <v>0</v>
      </c>
      <c r="BK204" s="16" t="str">
        <f>IF('Sales Projections'!$D$13&gt;=ROW(BK204)-100,+$C204/4,"")</f>
        <v/>
      </c>
      <c r="BL204" s="16" t="str">
        <f>IF('Sales Projections'!$D$13&gt;=ROW(BL204)-100,+$C204/4,"")</f>
        <v/>
      </c>
      <c r="BM204" s="16" t="str">
        <f>IF('Sales Projections'!$D$13&gt;=ROW(BM204)-100,+$C204/4,"")</f>
        <v/>
      </c>
      <c r="BN204" s="16" t="str">
        <f>IF('Sales Projections'!$D$13&gt;=ROW(BN204)-100,+$C204/4,"")</f>
        <v/>
      </c>
      <c r="BP204" s="16">
        <f t="shared" si="455"/>
        <v>0</v>
      </c>
      <c r="BQ204" s="16" t="str">
        <f>IF('Sales Projections'!$E$13&gt;=ROW(BQ204)-100,+$C204/4,"")</f>
        <v/>
      </c>
      <c r="BR204" s="16" t="str">
        <f>IF('Sales Projections'!$E$13&gt;=ROW(BR204)-100,+$C204/4,"")</f>
        <v/>
      </c>
      <c r="BS204" s="16" t="str">
        <f>IF('Sales Projections'!$E$13&gt;=ROW(BS204)-100,+$C204/4,"")</f>
        <v/>
      </c>
      <c r="BT204" s="16" t="str">
        <f>IF('Sales Projections'!$E$13&gt;=ROW(BT204)-100,+$C204/4,"")</f>
        <v/>
      </c>
      <c r="BV204" s="16">
        <f t="shared" si="456"/>
        <v>0</v>
      </c>
      <c r="BW204" s="16" t="str">
        <f>IF('Sales Projections'!$F$13&gt;=ROW(BW204)-100,+$C204/4,"")</f>
        <v/>
      </c>
      <c r="BX204" s="16" t="str">
        <f>IF('Sales Projections'!$F$13&gt;=ROW(BX204)-100,+$C204/4,"")</f>
        <v/>
      </c>
      <c r="BY204" s="16" t="str">
        <f>IF('Sales Projections'!$F$13&gt;=ROW(BY204)-100,+$C204/4,"")</f>
        <v/>
      </c>
      <c r="BZ204" s="16" t="str">
        <f>IF('Sales Projections'!$F$13&gt;=ROW(BZ204)-100,+$C204/4,"")</f>
        <v/>
      </c>
    </row>
    <row r="205" spans="2:78" s="265" customFormat="1" x14ac:dyDescent="0.25">
      <c r="B205" s="16" t="s">
        <v>781</v>
      </c>
      <c r="C205" s="16">
        <v>125000</v>
      </c>
      <c r="D205" s="16" t="s">
        <v>531</v>
      </c>
      <c r="BJ205" s="16">
        <f t="shared" si="457"/>
        <v>0</v>
      </c>
      <c r="BK205" s="16" t="str">
        <f>IF('Sales Projections'!$D$13&gt;=ROW(BK205)-100,+$C205/4,"")</f>
        <v/>
      </c>
      <c r="BL205" s="16" t="str">
        <f>IF('Sales Projections'!$D$13&gt;=ROW(BL205)-100,+$C205/4,"")</f>
        <v/>
      </c>
      <c r="BM205" s="16" t="str">
        <f>IF('Sales Projections'!$D$13&gt;=ROW(BM205)-100,+$C205/4,"")</f>
        <v/>
      </c>
      <c r="BN205" s="16" t="str">
        <f>IF('Sales Projections'!$D$13&gt;=ROW(BN205)-100,+$C205/4,"")</f>
        <v/>
      </c>
      <c r="BP205" s="16">
        <f t="shared" si="455"/>
        <v>0</v>
      </c>
      <c r="BQ205" s="16" t="str">
        <f>IF('Sales Projections'!$E$13&gt;=ROW(BQ205)-100,+$C205/4,"")</f>
        <v/>
      </c>
      <c r="BR205" s="16" t="str">
        <f>IF('Sales Projections'!$E$13&gt;=ROW(BR205)-100,+$C205/4,"")</f>
        <v/>
      </c>
      <c r="BS205" s="16" t="str">
        <f>IF('Sales Projections'!$E$13&gt;=ROW(BS205)-100,+$C205/4,"")</f>
        <v/>
      </c>
      <c r="BT205" s="16" t="str">
        <f>IF('Sales Projections'!$E$13&gt;=ROW(BT205)-100,+$C205/4,"")</f>
        <v/>
      </c>
      <c r="BV205" s="16">
        <f t="shared" si="456"/>
        <v>0</v>
      </c>
      <c r="BW205" s="16" t="str">
        <f>IF('Sales Projections'!$F$13&gt;=ROW(BW205)-100,+$C205/4,"")</f>
        <v/>
      </c>
      <c r="BX205" s="16" t="str">
        <f>IF('Sales Projections'!$F$13&gt;=ROW(BX205)-100,+$C205/4,"")</f>
        <v/>
      </c>
      <c r="BY205" s="16" t="str">
        <f>IF('Sales Projections'!$F$13&gt;=ROW(BY205)-100,+$C205/4,"")</f>
        <v/>
      </c>
      <c r="BZ205" s="16" t="str">
        <f>IF('Sales Projections'!$F$13&gt;=ROW(BZ205)-100,+$C205/4,"")</f>
        <v/>
      </c>
    </row>
    <row r="206" spans="2:78" s="265" customFormat="1" x14ac:dyDescent="0.25">
      <c r="B206" s="16" t="s">
        <v>782</v>
      </c>
      <c r="C206" s="16">
        <v>125000</v>
      </c>
      <c r="D206" s="16" t="s">
        <v>531</v>
      </c>
      <c r="BJ206" s="16">
        <f t="shared" si="457"/>
        <v>0</v>
      </c>
      <c r="BK206" s="16" t="str">
        <f>IF('Sales Projections'!$D$13&gt;=ROW(BK206)-100,+$C206/4,"")</f>
        <v/>
      </c>
      <c r="BL206" s="16" t="str">
        <f>IF('Sales Projections'!$D$13&gt;=ROW(BL206)-100,+$C206/4,"")</f>
        <v/>
      </c>
      <c r="BM206" s="16" t="str">
        <f>IF('Sales Projections'!$D$13&gt;=ROW(BM206)-100,+$C206/4,"")</f>
        <v/>
      </c>
      <c r="BN206" s="16" t="str">
        <f>IF('Sales Projections'!$D$13&gt;=ROW(BN206)-100,+$C206/4,"")</f>
        <v/>
      </c>
      <c r="BP206" s="16">
        <f t="shared" si="455"/>
        <v>0</v>
      </c>
      <c r="BQ206" s="16" t="str">
        <f>IF('Sales Projections'!$E$13&gt;=ROW(BQ206)-100,+$C206/4,"")</f>
        <v/>
      </c>
      <c r="BR206" s="16" t="str">
        <f>IF('Sales Projections'!$E$13&gt;=ROW(BR206)-100,+$C206/4,"")</f>
        <v/>
      </c>
      <c r="BS206" s="16" t="str">
        <f>IF('Sales Projections'!$E$13&gt;=ROW(BS206)-100,+$C206/4,"")</f>
        <v/>
      </c>
      <c r="BT206" s="16" t="str">
        <f>IF('Sales Projections'!$E$13&gt;=ROW(BT206)-100,+$C206/4,"")</f>
        <v/>
      </c>
      <c r="BV206" s="16">
        <f t="shared" si="456"/>
        <v>0</v>
      </c>
      <c r="BW206" s="16" t="str">
        <f>IF('Sales Projections'!$F$13&gt;=ROW(BW206)-100,+$C206/4,"")</f>
        <v/>
      </c>
      <c r="BX206" s="16" t="str">
        <f>IF('Sales Projections'!$F$13&gt;=ROW(BX206)-100,+$C206/4,"")</f>
        <v/>
      </c>
      <c r="BY206" s="16" t="str">
        <f>IF('Sales Projections'!$F$13&gt;=ROW(BY206)-100,+$C206/4,"")</f>
        <v/>
      </c>
      <c r="BZ206" s="16" t="str">
        <f>IF('Sales Projections'!$F$13&gt;=ROW(BZ206)-100,+$C206/4,"")</f>
        <v/>
      </c>
    </row>
    <row r="207" spans="2:78" s="265" customFormat="1" x14ac:dyDescent="0.25">
      <c r="B207" s="16" t="s">
        <v>783</v>
      </c>
      <c r="C207" s="16">
        <v>125000</v>
      </c>
      <c r="D207" s="16" t="s">
        <v>531</v>
      </c>
      <c r="BJ207" s="16">
        <f t="shared" si="457"/>
        <v>0</v>
      </c>
      <c r="BK207" s="16" t="str">
        <f>IF('Sales Projections'!$D$13&gt;=ROW(BK207)-100,+$C207/4,"")</f>
        <v/>
      </c>
      <c r="BL207" s="16" t="str">
        <f>IF('Sales Projections'!$D$13&gt;=ROW(BL207)-100,+$C207/4,"")</f>
        <v/>
      </c>
      <c r="BM207" s="16" t="str">
        <f>IF('Sales Projections'!$D$13&gt;=ROW(BM207)-100,+$C207/4,"")</f>
        <v/>
      </c>
      <c r="BN207" s="16" t="str">
        <f>IF('Sales Projections'!$D$13&gt;=ROW(BN207)-100,+$C207/4,"")</f>
        <v/>
      </c>
      <c r="BP207" s="16">
        <f t="shared" si="455"/>
        <v>0</v>
      </c>
      <c r="BQ207" s="16" t="str">
        <f>IF('Sales Projections'!$E$13&gt;=ROW(BQ207)-100,+$C207/4,"")</f>
        <v/>
      </c>
      <c r="BR207" s="16" t="str">
        <f>IF('Sales Projections'!$E$13&gt;=ROW(BR207)-100,+$C207/4,"")</f>
        <v/>
      </c>
      <c r="BS207" s="16" t="str">
        <f>IF('Sales Projections'!$E$13&gt;=ROW(BS207)-100,+$C207/4,"")</f>
        <v/>
      </c>
      <c r="BT207" s="16" t="str">
        <f>IF('Sales Projections'!$E$13&gt;=ROW(BT207)-100,+$C207/4,"")</f>
        <v/>
      </c>
      <c r="BV207" s="16">
        <f t="shared" si="456"/>
        <v>0</v>
      </c>
      <c r="BW207" s="16" t="str">
        <f>IF('Sales Projections'!$F$13&gt;=ROW(BW207)-100,+$C207/4,"")</f>
        <v/>
      </c>
      <c r="BX207" s="16" t="str">
        <f>IF('Sales Projections'!$F$13&gt;=ROW(BX207)-100,+$C207/4,"")</f>
        <v/>
      </c>
      <c r="BY207" s="16" t="str">
        <f>IF('Sales Projections'!$F$13&gt;=ROW(BY207)-100,+$C207/4,"")</f>
        <v/>
      </c>
      <c r="BZ207" s="16" t="str">
        <f>IF('Sales Projections'!$F$13&gt;=ROW(BZ207)-100,+$C207/4,"")</f>
        <v/>
      </c>
    </row>
    <row r="208" spans="2:78" s="265" customFormat="1" x14ac:dyDescent="0.25">
      <c r="B208" s="16" t="s">
        <v>784</v>
      </c>
      <c r="C208" s="16">
        <v>125000</v>
      </c>
      <c r="D208" s="16" t="s">
        <v>531</v>
      </c>
      <c r="BJ208" s="16">
        <f t="shared" si="457"/>
        <v>0</v>
      </c>
      <c r="BK208" s="16" t="str">
        <f>IF('Sales Projections'!$D$13&gt;=ROW(BK208)-100,+$C208/4,"")</f>
        <v/>
      </c>
      <c r="BL208" s="16" t="str">
        <f>IF('Sales Projections'!$D$13&gt;=ROW(BL208)-100,+$C208/4,"")</f>
        <v/>
      </c>
      <c r="BM208" s="16" t="str">
        <f>IF('Sales Projections'!$D$13&gt;=ROW(BM208)-100,+$C208/4,"")</f>
        <v/>
      </c>
      <c r="BN208" s="16" t="str">
        <f>IF('Sales Projections'!$D$13&gt;=ROW(BN208)-100,+$C208/4,"")</f>
        <v/>
      </c>
      <c r="BP208" s="16">
        <f t="shared" si="455"/>
        <v>0</v>
      </c>
      <c r="BQ208" s="16" t="str">
        <f>IF('Sales Projections'!$E$13&gt;=ROW(BQ208)-100,+$C208/4,"")</f>
        <v/>
      </c>
      <c r="BR208" s="16" t="str">
        <f>IF('Sales Projections'!$E$13&gt;=ROW(BR208)-100,+$C208/4,"")</f>
        <v/>
      </c>
      <c r="BS208" s="16" t="str">
        <f>IF('Sales Projections'!$E$13&gt;=ROW(BS208)-100,+$C208/4,"")</f>
        <v/>
      </c>
      <c r="BT208" s="16" t="str">
        <f>IF('Sales Projections'!$E$13&gt;=ROW(BT208)-100,+$C208/4,"")</f>
        <v/>
      </c>
      <c r="BV208" s="16">
        <f t="shared" si="456"/>
        <v>0</v>
      </c>
      <c r="BW208" s="16" t="str">
        <f>IF('Sales Projections'!$F$13&gt;=ROW(BW208)-100,+$C208/4,"")</f>
        <v/>
      </c>
      <c r="BX208" s="16" t="str">
        <f>IF('Sales Projections'!$F$13&gt;=ROW(BX208)-100,+$C208/4,"")</f>
        <v/>
      </c>
      <c r="BY208" s="16" t="str">
        <f>IF('Sales Projections'!$F$13&gt;=ROW(BY208)-100,+$C208/4,"")</f>
        <v/>
      </c>
      <c r="BZ208" s="16" t="str">
        <f>IF('Sales Projections'!$F$13&gt;=ROW(BZ208)-100,+$C208/4,"")</f>
        <v/>
      </c>
    </row>
    <row r="209" spans="2:78" s="265" customFormat="1" x14ac:dyDescent="0.25">
      <c r="B209" s="16" t="s">
        <v>785</v>
      </c>
      <c r="C209" s="16">
        <v>125000</v>
      </c>
      <c r="D209" s="16" t="s">
        <v>531</v>
      </c>
      <c r="BJ209" s="16">
        <f t="shared" si="457"/>
        <v>0</v>
      </c>
      <c r="BK209" s="16" t="str">
        <f>IF('Sales Projections'!$D$13&gt;=ROW(BK209)-100,+$C209/4,"")</f>
        <v/>
      </c>
      <c r="BL209" s="16" t="str">
        <f>IF('Sales Projections'!$D$13&gt;=ROW(BL209)-100,+$C209/4,"")</f>
        <v/>
      </c>
      <c r="BM209" s="16" t="str">
        <f>IF('Sales Projections'!$D$13&gt;=ROW(BM209)-100,+$C209/4,"")</f>
        <v/>
      </c>
      <c r="BN209" s="16" t="str">
        <f>IF('Sales Projections'!$D$13&gt;=ROW(BN209)-100,+$C209/4,"")</f>
        <v/>
      </c>
      <c r="BP209" s="16">
        <f t="shared" si="455"/>
        <v>0</v>
      </c>
      <c r="BQ209" s="16" t="str">
        <f>IF('Sales Projections'!$E$13&gt;=ROW(BQ209)-100,+$C209/4,"")</f>
        <v/>
      </c>
      <c r="BR209" s="16" t="str">
        <f>IF('Sales Projections'!$E$13&gt;=ROW(BR209)-100,+$C209/4,"")</f>
        <v/>
      </c>
      <c r="BS209" s="16" t="str">
        <f>IF('Sales Projections'!$E$13&gt;=ROW(BS209)-100,+$C209/4,"")</f>
        <v/>
      </c>
      <c r="BT209" s="16" t="str">
        <f>IF('Sales Projections'!$E$13&gt;=ROW(BT209)-100,+$C209/4,"")</f>
        <v/>
      </c>
      <c r="BV209" s="16">
        <f t="shared" si="456"/>
        <v>0</v>
      </c>
      <c r="BW209" s="16" t="str">
        <f>IF('Sales Projections'!$F$13&gt;=ROW(BW209)-100,+$C209/4,"")</f>
        <v/>
      </c>
      <c r="BX209" s="16" t="str">
        <f>IF('Sales Projections'!$F$13&gt;=ROW(BX209)-100,+$C209/4,"")</f>
        <v/>
      </c>
      <c r="BY209" s="16" t="str">
        <f>IF('Sales Projections'!$F$13&gt;=ROW(BY209)-100,+$C209/4,"")</f>
        <v/>
      </c>
      <c r="BZ209" s="16" t="str">
        <f>IF('Sales Projections'!$F$13&gt;=ROW(BZ209)-100,+$C209/4,"")</f>
        <v/>
      </c>
    </row>
    <row r="210" spans="2:78" s="265" customFormat="1" x14ac:dyDescent="0.25">
      <c r="B210" s="16" t="s">
        <v>786</v>
      </c>
      <c r="C210" s="16">
        <v>125000</v>
      </c>
      <c r="D210" s="16" t="s">
        <v>531</v>
      </c>
      <c r="BJ210" s="16">
        <f t="shared" si="457"/>
        <v>0</v>
      </c>
      <c r="BK210" s="16" t="str">
        <f>IF('Sales Projections'!$D$13&gt;=ROW(BK210)-100,+$C210/4,"")</f>
        <v/>
      </c>
      <c r="BL210" s="16" t="str">
        <f>IF('Sales Projections'!$D$13&gt;=ROW(BL210)-100,+$C210/4,"")</f>
        <v/>
      </c>
      <c r="BM210" s="16" t="str">
        <f>IF('Sales Projections'!$D$13&gt;=ROW(BM210)-100,+$C210/4,"")</f>
        <v/>
      </c>
      <c r="BN210" s="16" t="str">
        <f>IF('Sales Projections'!$D$13&gt;=ROW(BN210)-100,+$C210/4,"")</f>
        <v/>
      </c>
      <c r="BP210" s="16">
        <f t="shared" si="455"/>
        <v>0</v>
      </c>
      <c r="BQ210" s="16" t="str">
        <f>IF('Sales Projections'!$E$13&gt;=ROW(BQ210)-100,+$C210/4,"")</f>
        <v/>
      </c>
      <c r="BR210" s="16" t="str">
        <f>IF('Sales Projections'!$E$13&gt;=ROW(BR210)-100,+$C210/4,"")</f>
        <v/>
      </c>
      <c r="BS210" s="16" t="str">
        <f>IF('Sales Projections'!$E$13&gt;=ROW(BS210)-100,+$C210/4,"")</f>
        <v/>
      </c>
      <c r="BT210" s="16" t="str">
        <f>IF('Sales Projections'!$E$13&gt;=ROW(BT210)-100,+$C210/4,"")</f>
        <v/>
      </c>
      <c r="BV210" s="16">
        <f t="shared" si="456"/>
        <v>0</v>
      </c>
      <c r="BW210" s="16" t="str">
        <f>IF('Sales Projections'!$F$13&gt;=ROW(BW210)-100,+$C210/4,"")</f>
        <v/>
      </c>
      <c r="BX210" s="16" t="str">
        <f>IF('Sales Projections'!$F$13&gt;=ROW(BX210)-100,+$C210/4,"")</f>
        <v/>
      </c>
      <c r="BY210" s="16" t="str">
        <f>IF('Sales Projections'!$F$13&gt;=ROW(BY210)-100,+$C210/4,"")</f>
        <v/>
      </c>
      <c r="BZ210" s="16" t="str">
        <f>IF('Sales Projections'!$F$13&gt;=ROW(BZ210)-100,+$C210/4,"")</f>
        <v/>
      </c>
    </row>
    <row r="211" spans="2:78" s="265" customFormat="1" x14ac:dyDescent="0.25">
      <c r="B211" s="16" t="s">
        <v>787</v>
      </c>
      <c r="C211" s="16">
        <v>125000</v>
      </c>
      <c r="D211" s="16" t="s">
        <v>531</v>
      </c>
      <c r="BJ211" s="16">
        <f t="shared" si="457"/>
        <v>0</v>
      </c>
      <c r="BK211" s="16" t="str">
        <f>IF('Sales Projections'!$D$13&gt;=ROW(BK211)-100,+$C211/4,"")</f>
        <v/>
      </c>
      <c r="BL211" s="16" t="str">
        <f>IF('Sales Projections'!$D$13&gt;=ROW(BL211)-100,+$C211/4,"")</f>
        <v/>
      </c>
      <c r="BM211" s="16" t="str">
        <f>IF('Sales Projections'!$D$13&gt;=ROW(BM211)-100,+$C211/4,"")</f>
        <v/>
      </c>
      <c r="BN211" s="16" t="str">
        <f>IF('Sales Projections'!$D$13&gt;=ROW(BN211)-100,+$C211/4,"")</f>
        <v/>
      </c>
      <c r="BP211" s="16">
        <f t="shared" si="455"/>
        <v>0</v>
      </c>
      <c r="BQ211" s="16" t="str">
        <f>IF('Sales Projections'!$E$13&gt;=ROW(BQ211)-100,+$C211/4,"")</f>
        <v/>
      </c>
      <c r="BR211" s="16" t="str">
        <f>IF('Sales Projections'!$E$13&gt;=ROW(BR211)-100,+$C211/4,"")</f>
        <v/>
      </c>
      <c r="BS211" s="16" t="str">
        <f>IF('Sales Projections'!$E$13&gt;=ROW(BS211)-100,+$C211/4,"")</f>
        <v/>
      </c>
      <c r="BT211" s="16" t="str">
        <f>IF('Sales Projections'!$E$13&gt;=ROW(BT211)-100,+$C211/4,"")</f>
        <v/>
      </c>
      <c r="BV211" s="16">
        <f t="shared" si="456"/>
        <v>0</v>
      </c>
      <c r="BW211" s="16" t="str">
        <f>IF('Sales Projections'!$F$13&gt;=ROW(BW211)-100,+$C211/4,"")</f>
        <v/>
      </c>
      <c r="BX211" s="16" t="str">
        <f>IF('Sales Projections'!$F$13&gt;=ROW(BX211)-100,+$C211/4,"")</f>
        <v/>
      </c>
      <c r="BY211" s="16" t="str">
        <f>IF('Sales Projections'!$F$13&gt;=ROW(BY211)-100,+$C211/4,"")</f>
        <v/>
      </c>
      <c r="BZ211" s="16" t="str">
        <f>IF('Sales Projections'!$F$13&gt;=ROW(BZ211)-100,+$C211/4,"")</f>
        <v/>
      </c>
    </row>
    <row r="212" spans="2:78" s="265" customFormat="1" x14ac:dyDescent="0.25">
      <c r="B212" s="16" t="s">
        <v>788</v>
      </c>
      <c r="C212" s="16">
        <v>125000</v>
      </c>
      <c r="D212" s="16" t="s">
        <v>531</v>
      </c>
      <c r="BJ212" s="16">
        <f t="shared" si="457"/>
        <v>0</v>
      </c>
      <c r="BK212" s="16" t="str">
        <f>IF('Sales Projections'!$D$13&gt;=ROW(BK212)-100,+$C212/4,"")</f>
        <v/>
      </c>
      <c r="BL212" s="16" t="str">
        <f>IF('Sales Projections'!$D$13&gt;=ROW(BL212)-100,+$C212/4,"")</f>
        <v/>
      </c>
      <c r="BM212" s="16" t="str">
        <f>IF('Sales Projections'!$D$13&gt;=ROW(BM212)-100,+$C212/4,"")</f>
        <v/>
      </c>
      <c r="BN212" s="16" t="str">
        <f>IF('Sales Projections'!$D$13&gt;=ROW(BN212)-100,+$C212/4,"")</f>
        <v/>
      </c>
      <c r="BP212" s="16">
        <f t="shared" si="455"/>
        <v>0</v>
      </c>
      <c r="BQ212" s="16" t="str">
        <f>IF('Sales Projections'!$E$13&gt;=ROW(BQ212)-100,+$C212/4,"")</f>
        <v/>
      </c>
      <c r="BR212" s="16" t="str">
        <f>IF('Sales Projections'!$E$13&gt;=ROW(BR212)-100,+$C212/4,"")</f>
        <v/>
      </c>
      <c r="BS212" s="16" t="str">
        <f>IF('Sales Projections'!$E$13&gt;=ROW(BS212)-100,+$C212/4,"")</f>
        <v/>
      </c>
      <c r="BT212" s="16" t="str">
        <f>IF('Sales Projections'!$E$13&gt;=ROW(BT212)-100,+$C212/4,"")</f>
        <v/>
      </c>
      <c r="BV212" s="16">
        <f t="shared" si="456"/>
        <v>0</v>
      </c>
      <c r="BW212" s="16" t="str">
        <f>IF('Sales Projections'!$F$13&gt;=ROW(BW212)-100,+$C212/4,"")</f>
        <v/>
      </c>
      <c r="BX212" s="16" t="str">
        <f>IF('Sales Projections'!$F$13&gt;=ROW(BX212)-100,+$C212/4,"")</f>
        <v/>
      </c>
      <c r="BY212" s="16" t="str">
        <f>IF('Sales Projections'!$F$13&gt;=ROW(BY212)-100,+$C212/4,"")</f>
        <v/>
      </c>
      <c r="BZ212" s="16" t="str">
        <f>IF('Sales Projections'!$F$13&gt;=ROW(BZ212)-100,+$C212/4,"")</f>
        <v/>
      </c>
    </row>
    <row r="213" spans="2:78" s="265" customFormat="1" x14ac:dyDescent="0.25">
      <c r="B213" s="16" t="s">
        <v>789</v>
      </c>
      <c r="C213" s="16">
        <v>125000</v>
      </c>
      <c r="D213" s="16" t="s">
        <v>531</v>
      </c>
      <c r="BJ213" s="16">
        <f t="shared" si="457"/>
        <v>0</v>
      </c>
      <c r="BK213" s="16" t="str">
        <f>IF('Sales Projections'!$D$13&gt;=ROW(BK213)-100,+$C213/4,"")</f>
        <v/>
      </c>
      <c r="BL213" s="16" t="str">
        <f>IF('Sales Projections'!$D$13&gt;=ROW(BL213)-100,+$C213/4,"")</f>
        <v/>
      </c>
      <c r="BM213" s="16" t="str">
        <f>IF('Sales Projections'!$D$13&gt;=ROW(BM213)-100,+$C213/4,"")</f>
        <v/>
      </c>
      <c r="BN213" s="16" t="str">
        <f>IF('Sales Projections'!$D$13&gt;=ROW(BN213)-100,+$C213/4,"")</f>
        <v/>
      </c>
      <c r="BP213" s="16">
        <f t="shared" si="455"/>
        <v>0</v>
      </c>
      <c r="BQ213" s="16" t="str">
        <f>IF('Sales Projections'!$E$13&gt;=ROW(BQ213)-100,+$C213/4,"")</f>
        <v/>
      </c>
      <c r="BR213" s="16" t="str">
        <f>IF('Sales Projections'!$E$13&gt;=ROW(BR213)-100,+$C213/4,"")</f>
        <v/>
      </c>
      <c r="BS213" s="16" t="str">
        <f>IF('Sales Projections'!$E$13&gt;=ROW(BS213)-100,+$C213/4,"")</f>
        <v/>
      </c>
      <c r="BT213" s="16" t="str">
        <f>IF('Sales Projections'!$E$13&gt;=ROW(BT213)-100,+$C213/4,"")</f>
        <v/>
      </c>
      <c r="BV213" s="16">
        <f t="shared" si="456"/>
        <v>0</v>
      </c>
      <c r="BW213" s="16" t="str">
        <f>IF('Sales Projections'!$F$13&gt;=ROW(BW213)-100,+$C213/4,"")</f>
        <v/>
      </c>
      <c r="BX213" s="16" t="str">
        <f>IF('Sales Projections'!$F$13&gt;=ROW(BX213)-100,+$C213/4,"")</f>
        <v/>
      </c>
      <c r="BY213" s="16" t="str">
        <f>IF('Sales Projections'!$F$13&gt;=ROW(BY213)-100,+$C213/4,"")</f>
        <v/>
      </c>
      <c r="BZ213" s="16" t="str">
        <f>IF('Sales Projections'!$F$13&gt;=ROW(BZ213)-100,+$C213/4,"")</f>
        <v/>
      </c>
    </row>
    <row r="214" spans="2:78" s="265" customFormat="1" x14ac:dyDescent="0.25">
      <c r="B214" s="16" t="s">
        <v>790</v>
      </c>
      <c r="C214" s="16">
        <v>125000</v>
      </c>
      <c r="D214" s="16" t="s">
        <v>531</v>
      </c>
      <c r="BJ214" s="16">
        <f t="shared" si="457"/>
        <v>0</v>
      </c>
      <c r="BK214" s="16" t="str">
        <f>IF('Sales Projections'!$D$13&gt;=ROW(BK214)-100,+$C214/4,"")</f>
        <v/>
      </c>
      <c r="BL214" s="16" t="str">
        <f>IF('Sales Projections'!$D$13&gt;=ROW(BL214)-100,+$C214/4,"")</f>
        <v/>
      </c>
      <c r="BM214" s="16" t="str">
        <f>IF('Sales Projections'!$D$13&gt;=ROW(BM214)-100,+$C214/4,"")</f>
        <v/>
      </c>
      <c r="BN214" s="16" t="str">
        <f>IF('Sales Projections'!$D$13&gt;=ROW(BN214)-100,+$C214/4,"")</f>
        <v/>
      </c>
      <c r="BP214" s="16">
        <f t="shared" ref="BP214:BP244" si="458">SUM(BQ214:BT214)</f>
        <v>0</v>
      </c>
      <c r="BQ214" s="16" t="str">
        <f>IF('Sales Projections'!$E$13&gt;=ROW(BQ214)-100,+$C214/4,"")</f>
        <v/>
      </c>
      <c r="BR214" s="16" t="str">
        <f>IF('Sales Projections'!$E$13&gt;=ROW(BR214)-100,+$C214/4,"")</f>
        <v/>
      </c>
      <c r="BS214" s="16" t="str">
        <f>IF('Sales Projections'!$E$13&gt;=ROW(BS214)-100,+$C214/4,"")</f>
        <v/>
      </c>
      <c r="BT214" s="16" t="str">
        <f>IF('Sales Projections'!$E$13&gt;=ROW(BT214)-100,+$C214/4,"")</f>
        <v/>
      </c>
      <c r="BV214" s="16">
        <f t="shared" ref="BV214:BV244" si="459">SUM(BW214:BZ214)</f>
        <v>0</v>
      </c>
      <c r="BW214" s="16" t="str">
        <f>IF('Sales Projections'!$F$13&gt;=ROW(BW214)-100,+$C214/4,"")</f>
        <v/>
      </c>
      <c r="BX214" s="16" t="str">
        <f>IF('Sales Projections'!$F$13&gt;=ROW(BX214)-100,+$C214/4,"")</f>
        <v/>
      </c>
      <c r="BY214" s="16" t="str">
        <f>IF('Sales Projections'!$F$13&gt;=ROW(BY214)-100,+$C214/4,"")</f>
        <v/>
      </c>
      <c r="BZ214" s="16" t="str">
        <f>IF('Sales Projections'!$F$13&gt;=ROW(BZ214)-100,+$C214/4,"")</f>
        <v/>
      </c>
    </row>
    <row r="215" spans="2:78" s="265" customFormat="1" x14ac:dyDescent="0.25">
      <c r="B215" s="16" t="s">
        <v>791</v>
      </c>
      <c r="C215" s="16">
        <v>125000</v>
      </c>
      <c r="D215" s="16" t="s">
        <v>531</v>
      </c>
      <c r="BJ215" s="16">
        <f t="shared" si="457"/>
        <v>0</v>
      </c>
      <c r="BK215" s="16" t="str">
        <f>IF('Sales Projections'!$D$13&gt;=ROW(BK215)-100,+$C215/4,"")</f>
        <v/>
      </c>
      <c r="BL215" s="16" t="str">
        <f>IF('Sales Projections'!$D$13&gt;=ROW(BL215)-100,+$C215/4,"")</f>
        <v/>
      </c>
      <c r="BM215" s="16" t="str">
        <f>IF('Sales Projections'!$D$13&gt;=ROW(BM215)-100,+$C215/4,"")</f>
        <v/>
      </c>
      <c r="BN215" s="16" t="str">
        <f>IF('Sales Projections'!$D$13&gt;=ROW(BN215)-100,+$C215/4,"")</f>
        <v/>
      </c>
      <c r="BP215" s="16">
        <f t="shared" si="458"/>
        <v>0</v>
      </c>
      <c r="BQ215" s="16" t="str">
        <f>IF('Sales Projections'!$E$13&gt;=ROW(BQ215)-100,+$C215/4,"")</f>
        <v/>
      </c>
      <c r="BR215" s="16" t="str">
        <f>IF('Sales Projections'!$E$13&gt;=ROW(BR215)-100,+$C215/4,"")</f>
        <v/>
      </c>
      <c r="BS215" s="16" t="str">
        <f>IF('Sales Projections'!$E$13&gt;=ROW(BS215)-100,+$C215/4,"")</f>
        <v/>
      </c>
      <c r="BT215" s="16" t="str">
        <f>IF('Sales Projections'!$E$13&gt;=ROW(BT215)-100,+$C215/4,"")</f>
        <v/>
      </c>
      <c r="BV215" s="16">
        <f t="shared" si="459"/>
        <v>0</v>
      </c>
      <c r="BW215" s="16" t="str">
        <f>IF('Sales Projections'!$F$13&gt;=ROW(BW215)-100,+$C215/4,"")</f>
        <v/>
      </c>
      <c r="BX215" s="16" t="str">
        <f>IF('Sales Projections'!$F$13&gt;=ROW(BX215)-100,+$C215/4,"")</f>
        <v/>
      </c>
      <c r="BY215" s="16" t="str">
        <f>IF('Sales Projections'!$F$13&gt;=ROW(BY215)-100,+$C215/4,"")</f>
        <v/>
      </c>
      <c r="BZ215" s="16" t="str">
        <f>IF('Sales Projections'!$F$13&gt;=ROW(BZ215)-100,+$C215/4,"")</f>
        <v/>
      </c>
    </row>
    <row r="216" spans="2:78" s="265" customFormat="1" x14ac:dyDescent="0.25">
      <c r="B216" s="16" t="s">
        <v>792</v>
      </c>
      <c r="C216" s="16">
        <v>125000</v>
      </c>
      <c r="D216" s="16" t="s">
        <v>531</v>
      </c>
      <c r="BJ216" s="16">
        <f t="shared" si="457"/>
        <v>0</v>
      </c>
      <c r="BK216" s="16" t="str">
        <f>IF('Sales Projections'!$D$13&gt;=ROW(BK216)-100,+$C216/4,"")</f>
        <v/>
      </c>
      <c r="BL216" s="16" t="str">
        <f>IF('Sales Projections'!$D$13&gt;=ROW(BL216)-100,+$C216/4,"")</f>
        <v/>
      </c>
      <c r="BM216" s="16" t="str">
        <f>IF('Sales Projections'!$D$13&gt;=ROW(BM216)-100,+$C216/4,"")</f>
        <v/>
      </c>
      <c r="BN216" s="16" t="str">
        <f>IF('Sales Projections'!$D$13&gt;=ROW(BN216)-100,+$C216/4,"")</f>
        <v/>
      </c>
      <c r="BP216" s="16">
        <f t="shared" si="458"/>
        <v>0</v>
      </c>
      <c r="BQ216" s="16" t="str">
        <f>IF('Sales Projections'!$E$13&gt;=ROW(BQ216)-100,+$C216/4,"")</f>
        <v/>
      </c>
      <c r="BR216" s="16" t="str">
        <f>IF('Sales Projections'!$E$13&gt;=ROW(BR216)-100,+$C216/4,"")</f>
        <v/>
      </c>
      <c r="BS216" s="16" t="str">
        <f>IF('Sales Projections'!$E$13&gt;=ROW(BS216)-100,+$C216/4,"")</f>
        <v/>
      </c>
      <c r="BT216" s="16" t="str">
        <f>IF('Sales Projections'!$E$13&gt;=ROW(BT216)-100,+$C216/4,"")</f>
        <v/>
      </c>
      <c r="BV216" s="16">
        <f t="shared" si="459"/>
        <v>0</v>
      </c>
      <c r="BW216" s="16" t="str">
        <f>IF('Sales Projections'!$F$13&gt;=ROW(BW216)-100,+$C216/4,"")</f>
        <v/>
      </c>
      <c r="BX216" s="16" t="str">
        <f>IF('Sales Projections'!$F$13&gt;=ROW(BX216)-100,+$C216/4,"")</f>
        <v/>
      </c>
      <c r="BY216" s="16" t="str">
        <f>IF('Sales Projections'!$F$13&gt;=ROW(BY216)-100,+$C216/4,"")</f>
        <v/>
      </c>
      <c r="BZ216" s="16" t="str">
        <f>IF('Sales Projections'!$F$13&gt;=ROW(BZ216)-100,+$C216/4,"")</f>
        <v/>
      </c>
    </row>
    <row r="217" spans="2:78" s="265" customFormat="1" x14ac:dyDescent="0.25">
      <c r="B217" s="16" t="s">
        <v>793</v>
      </c>
      <c r="C217" s="16">
        <v>125000</v>
      </c>
      <c r="D217" s="16" t="s">
        <v>531</v>
      </c>
      <c r="BJ217" s="16">
        <f t="shared" si="457"/>
        <v>0</v>
      </c>
      <c r="BK217" s="16" t="str">
        <f>IF('Sales Projections'!$D$13&gt;=ROW(BK217)-100,+$C217/4,"")</f>
        <v/>
      </c>
      <c r="BL217" s="16" t="str">
        <f>IF('Sales Projections'!$D$13&gt;=ROW(BL217)-100,+$C217/4,"")</f>
        <v/>
      </c>
      <c r="BM217" s="16" t="str">
        <f>IF('Sales Projections'!$D$13&gt;=ROW(BM217)-100,+$C217/4,"")</f>
        <v/>
      </c>
      <c r="BN217" s="16" t="str">
        <f>IF('Sales Projections'!$D$13&gt;=ROW(BN217)-100,+$C217/4,"")</f>
        <v/>
      </c>
      <c r="BP217" s="16">
        <f t="shared" si="458"/>
        <v>0</v>
      </c>
      <c r="BQ217" s="16" t="str">
        <f>IF('Sales Projections'!$E$13&gt;=ROW(BQ217)-100,+$C217/4,"")</f>
        <v/>
      </c>
      <c r="BR217" s="16" t="str">
        <f>IF('Sales Projections'!$E$13&gt;=ROW(BR217)-100,+$C217/4,"")</f>
        <v/>
      </c>
      <c r="BS217" s="16" t="str">
        <f>IF('Sales Projections'!$E$13&gt;=ROW(BS217)-100,+$C217/4,"")</f>
        <v/>
      </c>
      <c r="BT217" s="16" t="str">
        <f>IF('Sales Projections'!$E$13&gt;=ROW(BT217)-100,+$C217/4,"")</f>
        <v/>
      </c>
      <c r="BV217" s="16">
        <f t="shared" si="459"/>
        <v>0</v>
      </c>
      <c r="BW217" s="16" t="str">
        <f>IF('Sales Projections'!$F$13&gt;=ROW(BW217)-100,+$C217/4,"")</f>
        <v/>
      </c>
      <c r="BX217" s="16" t="str">
        <f>IF('Sales Projections'!$F$13&gt;=ROW(BX217)-100,+$C217/4,"")</f>
        <v/>
      </c>
      <c r="BY217" s="16" t="str">
        <f>IF('Sales Projections'!$F$13&gt;=ROW(BY217)-100,+$C217/4,"")</f>
        <v/>
      </c>
      <c r="BZ217" s="16" t="str">
        <f>IF('Sales Projections'!$F$13&gt;=ROW(BZ217)-100,+$C217/4,"")</f>
        <v/>
      </c>
    </row>
    <row r="218" spans="2:78" s="265" customFormat="1" x14ac:dyDescent="0.25">
      <c r="B218" s="16" t="s">
        <v>794</v>
      </c>
      <c r="C218" s="16">
        <v>125000</v>
      </c>
      <c r="D218" s="16" t="s">
        <v>531</v>
      </c>
      <c r="BJ218" s="16">
        <f t="shared" si="457"/>
        <v>0</v>
      </c>
      <c r="BK218" s="16" t="str">
        <f>IF('Sales Projections'!$D$13&gt;=ROW(BK218)-100,+$C218/4,"")</f>
        <v/>
      </c>
      <c r="BL218" s="16" t="str">
        <f>IF('Sales Projections'!$D$13&gt;=ROW(BL218)-100,+$C218/4,"")</f>
        <v/>
      </c>
      <c r="BM218" s="16" t="str">
        <f>IF('Sales Projections'!$D$13&gt;=ROW(BM218)-100,+$C218/4,"")</f>
        <v/>
      </c>
      <c r="BN218" s="16" t="str">
        <f>IF('Sales Projections'!$D$13&gt;=ROW(BN218)-100,+$C218/4,"")</f>
        <v/>
      </c>
      <c r="BP218" s="16">
        <f t="shared" si="458"/>
        <v>0</v>
      </c>
      <c r="BQ218" s="16" t="str">
        <f>IF('Sales Projections'!$E$13&gt;=ROW(BQ218)-100,+$C218/4,"")</f>
        <v/>
      </c>
      <c r="BR218" s="16" t="str">
        <f>IF('Sales Projections'!$E$13&gt;=ROW(BR218)-100,+$C218/4,"")</f>
        <v/>
      </c>
      <c r="BS218" s="16" t="str">
        <f>IF('Sales Projections'!$E$13&gt;=ROW(BS218)-100,+$C218/4,"")</f>
        <v/>
      </c>
      <c r="BT218" s="16" t="str">
        <f>IF('Sales Projections'!$E$13&gt;=ROW(BT218)-100,+$C218/4,"")</f>
        <v/>
      </c>
      <c r="BV218" s="16">
        <f t="shared" si="459"/>
        <v>0</v>
      </c>
      <c r="BW218" s="16" t="str">
        <f>IF('Sales Projections'!$F$13&gt;=ROW(BW218)-100,+$C218/4,"")</f>
        <v/>
      </c>
      <c r="BX218" s="16" t="str">
        <f>IF('Sales Projections'!$F$13&gt;=ROW(BX218)-100,+$C218/4,"")</f>
        <v/>
      </c>
      <c r="BY218" s="16" t="str">
        <f>IF('Sales Projections'!$F$13&gt;=ROW(BY218)-100,+$C218/4,"")</f>
        <v/>
      </c>
      <c r="BZ218" s="16" t="str">
        <f>IF('Sales Projections'!$F$13&gt;=ROW(BZ218)-100,+$C218/4,"")</f>
        <v/>
      </c>
    </row>
    <row r="219" spans="2:78" s="265" customFormat="1" x14ac:dyDescent="0.25">
      <c r="B219" s="16" t="s">
        <v>795</v>
      </c>
      <c r="C219" s="16">
        <v>125000</v>
      </c>
      <c r="D219" s="16" t="s">
        <v>531</v>
      </c>
      <c r="BJ219" s="16">
        <f t="shared" si="457"/>
        <v>0</v>
      </c>
      <c r="BK219" s="16" t="str">
        <f>IF('Sales Projections'!$D$13&gt;=ROW(BK219)-100,+$C219/4,"")</f>
        <v/>
      </c>
      <c r="BL219" s="16" t="str">
        <f>IF('Sales Projections'!$D$13&gt;=ROW(BL219)-100,+$C219/4,"")</f>
        <v/>
      </c>
      <c r="BM219" s="16" t="str">
        <f>IF('Sales Projections'!$D$13&gt;=ROW(BM219)-100,+$C219/4,"")</f>
        <v/>
      </c>
      <c r="BN219" s="16" t="str">
        <f>IF('Sales Projections'!$D$13&gt;=ROW(BN219)-100,+$C219/4,"")</f>
        <v/>
      </c>
      <c r="BP219" s="16">
        <f t="shared" si="458"/>
        <v>0</v>
      </c>
      <c r="BQ219" s="16" t="str">
        <f>IF('Sales Projections'!$E$13&gt;=ROW(BQ219)-100,+$C219/4,"")</f>
        <v/>
      </c>
      <c r="BR219" s="16" t="str">
        <f>IF('Sales Projections'!$E$13&gt;=ROW(BR219)-100,+$C219/4,"")</f>
        <v/>
      </c>
      <c r="BS219" s="16" t="str">
        <f>IF('Sales Projections'!$E$13&gt;=ROW(BS219)-100,+$C219/4,"")</f>
        <v/>
      </c>
      <c r="BT219" s="16" t="str">
        <f>IF('Sales Projections'!$E$13&gt;=ROW(BT219)-100,+$C219/4,"")</f>
        <v/>
      </c>
      <c r="BV219" s="16">
        <f t="shared" si="459"/>
        <v>0</v>
      </c>
      <c r="BW219" s="16" t="str">
        <f>IF('Sales Projections'!$F$13&gt;=ROW(BW219)-100,+$C219/4,"")</f>
        <v/>
      </c>
      <c r="BX219" s="16" t="str">
        <f>IF('Sales Projections'!$F$13&gt;=ROW(BX219)-100,+$C219/4,"")</f>
        <v/>
      </c>
      <c r="BY219" s="16" t="str">
        <f>IF('Sales Projections'!$F$13&gt;=ROW(BY219)-100,+$C219/4,"")</f>
        <v/>
      </c>
      <c r="BZ219" s="16" t="str">
        <f>IF('Sales Projections'!$F$13&gt;=ROW(BZ219)-100,+$C219/4,"")</f>
        <v/>
      </c>
    </row>
    <row r="220" spans="2:78" s="265" customFormat="1" x14ac:dyDescent="0.25">
      <c r="B220" s="16" t="s">
        <v>796</v>
      </c>
      <c r="C220" s="16">
        <v>125000</v>
      </c>
      <c r="D220" s="16" t="s">
        <v>531</v>
      </c>
      <c r="BJ220" s="16">
        <f t="shared" si="457"/>
        <v>0</v>
      </c>
      <c r="BK220" s="16" t="str">
        <f>IF('Sales Projections'!$D$13&gt;=ROW(BK220)-100,+$C220/4,"")</f>
        <v/>
      </c>
      <c r="BL220" s="16" t="str">
        <f>IF('Sales Projections'!$D$13&gt;=ROW(BL220)-100,+$C220/4,"")</f>
        <v/>
      </c>
      <c r="BM220" s="16" t="str">
        <f>IF('Sales Projections'!$D$13&gt;=ROW(BM220)-100,+$C220/4,"")</f>
        <v/>
      </c>
      <c r="BN220" s="16" t="str">
        <f>IF('Sales Projections'!$D$13&gt;=ROW(BN220)-100,+$C220/4,"")</f>
        <v/>
      </c>
      <c r="BP220" s="16">
        <f t="shared" si="458"/>
        <v>0</v>
      </c>
      <c r="BQ220" s="16" t="str">
        <f>IF('Sales Projections'!$E$13&gt;=ROW(BQ220)-100,+$C220/4,"")</f>
        <v/>
      </c>
      <c r="BR220" s="16" t="str">
        <f>IF('Sales Projections'!$E$13&gt;=ROW(BR220)-100,+$C220/4,"")</f>
        <v/>
      </c>
      <c r="BS220" s="16" t="str">
        <f>IF('Sales Projections'!$E$13&gt;=ROW(BS220)-100,+$C220/4,"")</f>
        <v/>
      </c>
      <c r="BT220" s="16" t="str">
        <f>IF('Sales Projections'!$E$13&gt;=ROW(BT220)-100,+$C220/4,"")</f>
        <v/>
      </c>
      <c r="BV220" s="16">
        <f t="shared" si="459"/>
        <v>0</v>
      </c>
      <c r="BW220" s="16" t="str">
        <f>IF('Sales Projections'!$F$13&gt;=ROW(BW220)-100,+$C220/4,"")</f>
        <v/>
      </c>
      <c r="BX220" s="16" t="str">
        <f>IF('Sales Projections'!$F$13&gt;=ROW(BX220)-100,+$C220/4,"")</f>
        <v/>
      </c>
      <c r="BY220" s="16" t="str">
        <f>IF('Sales Projections'!$F$13&gt;=ROW(BY220)-100,+$C220/4,"")</f>
        <v/>
      </c>
      <c r="BZ220" s="16" t="str">
        <f>IF('Sales Projections'!$F$13&gt;=ROW(BZ220)-100,+$C220/4,"")</f>
        <v/>
      </c>
    </row>
    <row r="221" spans="2:78" s="265" customFormat="1" x14ac:dyDescent="0.25">
      <c r="B221" s="16" t="s">
        <v>797</v>
      </c>
      <c r="C221" s="16">
        <v>125000</v>
      </c>
      <c r="D221" s="16" t="s">
        <v>531</v>
      </c>
      <c r="BJ221" s="16">
        <f t="shared" si="457"/>
        <v>0</v>
      </c>
      <c r="BK221" s="16" t="str">
        <f>IF('Sales Projections'!$D$13&gt;=ROW(BK221)-100,+$C221/4,"")</f>
        <v/>
      </c>
      <c r="BL221" s="16" t="str">
        <f>IF('Sales Projections'!$D$13&gt;=ROW(BL221)-100,+$C221/4,"")</f>
        <v/>
      </c>
      <c r="BM221" s="16" t="str">
        <f>IF('Sales Projections'!$D$13&gt;=ROW(BM221)-100,+$C221/4,"")</f>
        <v/>
      </c>
      <c r="BN221" s="16" t="str">
        <f>IF('Sales Projections'!$D$13&gt;=ROW(BN221)-100,+$C221/4,"")</f>
        <v/>
      </c>
      <c r="BP221" s="16">
        <f t="shared" si="458"/>
        <v>0</v>
      </c>
      <c r="BQ221" s="16" t="str">
        <f>IF('Sales Projections'!$E$13&gt;=ROW(BQ221)-100,+$C221/4,"")</f>
        <v/>
      </c>
      <c r="BR221" s="16" t="str">
        <f>IF('Sales Projections'!$E$13&gt;=ROW(BR221)-100,+$C221/4,"")</f>
        <v/>
      </c>
      <c r="BS221" s="16" t="str">
        <f>IF('Sales Projections'!$E$13&gt;=ROW(BS221)-100,+$C221/4,"")</f>
        <v/>
      </c>
      <c r="BT221" s="16" t="str">
        <f>IF('Sales Projections'!$E$13&gt;=ROW(BT221)-100,+$C221/4,"")</f>
        <v/>
      </c>
      <c r="BV221" s="16">
        <f t="shared" si="459"/>
        <v>0</v>
      </c>
      <c r="BW221" s="16" t="str">
        <f>IF('Sales Projections'!$F$13&gt;=ROW(BW221)-100,+$C221/4,"")</f>
        <v/>
      </c>
      <c r="BX221" s="16" t="str">
        <f>IF('Sales Projections'!$F$13&gt;=ROW(BX221)-100,+$C221/4,"")</f>
        <v/>
      </c>
      <c r="BY221" s="16" t="str">
        <f>IF('Sales Projections'!$F$13&gt;=ROW(BY221)-100,+$C221/4,"")</f>
        <v/>
      </c>
      <c r="BZ221" s="16" t="str">
        <f>IF('Sales Projections'!$F$13&gt;=ROW(BZ221)-100,+$C221/4,"")</f>
        <v/>
      </c>
    </row>
    <row r="222" spans="2:78" s="265" customFormat="1" x14ac:dyDescent="0.25">
      <c r="B222" s="16" t="s">
        <v>798</v>
      </c>
      <c r="C222" s="16">
        <v>125000</v>
      </c>
      <c r="D222" s="16" t="s">
        <v>531</v>
      </c>
      <c r="BJ222" s="16">
        <f t="shared" si="457"/>
        <v>0</v>
      </c>
      <c r="BK222" s="16" t="str">
        <f>IF('Sales Projections'!$D$13&gt;=ROW(BK222)-100,+$C222/4,"")</f>
        <v/>
      </c>
      <c r="BL222" s="16" t="str">
        <f>IF('Sales Projections'!$D$13&gt;=ROW(BL222)-100,+$C222/4,"")</f>
        <v/>
      </c>
      <c r="BM222" s="16" t="str">
        <f>IF('Sales Projections'!$D$13&gt;=ROW(BM222)-100,+$C222/4,"")</f>
        <v/>
      </c>
      <c r="BN222" s="16" t="str">
        <f>IF('Sales Projections'!$D$13&gt;=ROW(BN222)-100,+$C222/4,"")</f>
        <v/>
      </c>
      <c r="BP222" s="16">
        <f t="shared" si="458"/>
        <v>0</v>
      </c>
      <c r="BQ222" s="16" t="str">
        <f>IF('Sales Projections'!$E$13&gt;=ROW(BQ222)-100,+$C222/4,"")</f>
        <v/>
      </c>
      <c r="BR222" s="16" t="str">
        <f>IF('Sales Projections'!$E$13&gt;=ROW(BR222)-100,+$C222/4,"")</f>
        <v/>
      </c>
      <c r="BS222" s="16" t="str">
        <f>IF('Sales Projections'!$E$13&gt;=ROW(BS222)-100,+$C222/4,"")</f>
        <v/>
      </c>
      <c r="BT222" s="16" t="str">
        <f>IF('Sales Projections'!$E$13&gt;=ROW(BT222)-100,+$C222/4,"")</f>
        <v/>
      </c>
      <c r="BV222" s="16">
        <f t="shared" si="459"/>
        <v>0</v>
      </c>
      <c r="BW222" s="16" t="str">
        <f>IF('Sales Projections'!$F$13&gt;=ROW(BW222)-100,+$C222/4,"")</f>
        <v/>
      </c>
      <c r="BX222" s="16" t="str">
        <f>IF('Sales Projections'!$F$13&gt;=ROW(BX222)-100,+$C222/4,"")</f>
        <v/>
      </c>
      <c r="BY222" s="16" t="str">
        <f>IF('Sales Projections'!$F$13&gt;=ROW(BY222)-100,+$C222/4,"")</f>
        <v/>
      </c>
      <c r="BZ222" s="16" t="str">
        <f>IF('Sales Projections'!$F$13&gt;=ROW(BZ222)-100,+$C222/4,"")</f>
        <v/>
      </c>
    </row>
    <row r="223" spans="2:78" s="265" customFormat="1" x14ac:dyDescent="0.25">
      <c r="B223" s="16" t="s">
        <v>799</v>
      </c>
      <c r="C223" s="16">
        <v>125000</v>
      </c>
      <c r="D223" s="16" t="s">
        <v>531</v>
      </c>
      <c r="BJ223" s="16">
        <f t="shared" si="457"/>
        <v>0</v>
      </c>
      <c r="BK223" s="16" t="str">
        <f>IF('Sales Projections'!$D$13&gt;=ROW(BK223)-100,+$C223/4,"")</f>
        <v/>
      </c>
      <c r="BL223" s="16" t="str">
        <f>IF('Sales Projections'!$D$13&gt;=ROW(BL223)-100,+$C223/4,"")</f>
        <v/>
      </c>
      <c r="BM223" s="16" t="str">
        <f>IF('Sales Projections'!$D$13&gt;=ROW(BM223)-100,+$C223/4,"")</f>
        <v/>
      </c>
      <c r="BN223" s="16" t="str">
        <f>IF('Sales Projections'!$D$13&gt;=ROW(BN223)-100,+$C223/4,"")</f>
        <v/>
      </c>
      <c r="BP223" s="16">
        <f t="shared" si="458"/>
        <v>0</v>
      </c>
      <c r="BQ223" s="16" t="str">
        <f>IF('Sales Projections'!$E$13&gt;=ROW(BQ223)-100,+$C223/4,"")</f>
        <v/>
      </c>
      <c r="BR223" s="16" t="str">
        <f>IF('Sales Projections'!$E$13&gt;=ROW(BR223)-100,+$C223/4,"")</f>
        <v/>
      </c>
      <c r="BS223" s="16" t="str">
        <f>IF('Sales Projections'!$E$13&gt;=ROW(BS223)-100,+$C223/4,"")</f>
        <v/>
      </c>
      <c r="BT223" s="16" t="str">
        <f>IF('Sales Projections'!$E$13&gt;=ROW(BT223)-100,+$C223/4,"")</f>
        <v/>
      </c>
      <c r="BV223" s="16">
        <f t="shared" si="459"/>
        <v>0</v>
      </c>
      <c r="BW223" s="16" t="str">
        <f>IF('Sales Projections'!$F$13&gt;=ROW(BW223)-100,+$C223/4,"")</f>
        <v/>
      </c>
      <c r="BX223" s="16" t="str">
        <f>IF('Sales Projections'!$F$13&gt;=ROW(BX223)-100,+$C223/4,"")</f>
        <v/>
      </c>
      <c r="BY223" s="16" t="str">
        <f>IF('Sales Projections'!$F$13&gt;=ROW(BY223)-100,+$C223/4,"")</f>
        <v/>
      </c>
      <c r="BZ223" s="16" t="str">
        <f>IF('Sales Projections'!$F$13&gt;=ROW(BZ223)-100,+$C223/4,"")</f>
        <v/>
      </c>
    </row>
    <row r="224" spans="2:78" s="265" customFormat="1" x14ac:dyDescent="0.25">
      <c r="B224" s="16" t="s">
        <v>800</v>
      </c>
      <c r="C224" s="16">
        <v>125000</v>
      </c>
      <c r="D224" s="16" t="s">
        <v>531</v>
      </c>
      <c r="BJ224" s="16">
        <f t="shared" si="457"/>
        <v>0</v>
      </c>
      <c r="BK224" s="16" t="str">
        <f>IF('Sales Projections'!$D$13&gt;=ROW(BK224)-100,+$C224/4,"")</f>
        <v/>
      </c>
      <c r="BL224" s="16" t="str">
        <f>IF('Sales Projections'!$D$13&gt;=ROW(BL224)-100,+$C224/4,"")</f>
        <v/>
      </c>
      <c r="BM224" s="16" t="str">
        <f>IF('Sales Projections'!$D$13&gt;=ROW(BM224)-100,+$C224/4,"")</f>
        <v/>
      </c>
      <c r="BN224" s="16" t="str">
        <f>IF('Sales Projections'!$D$13&gt;=ROW(BN224)-100,+$C224/4,"")</f>
        <v/>
      </c>
      <c r="BP224" s="16">
        <f t="shared" si="458"/>
        <v>0</v>
      </c>
      <c r="BQ224" s="16" t="str">
        <f>IF('Sales Projections'!$E$13&gt;=ROW(BQ224)-100,+$C224/4,"")</f>
        <v/>
      </c>
      <c r="BR224" s="16" t="str">
        <f>IF('Sales Projections'!$E$13&gt;=ROW(BR224)-100,+$C224/4,"")</f>
        <v/>
      </c>
      <c r="BS224" s="16" t="str">
        <f>IF('Sales Projections'!$E$13&gt;=ROW(BS224)-100,+$C224/4,"")</f>
        <v/>
      </c>
      <c r="BT224" s="16" t="str">
        <f>IF('Sales Projections'!$E$13&gt;=ROW(BT224)-100,+$C224/4,"")</f>
        <v/>
      </c>
      <c r="BV224" s="16">
        <f t="shared" si="459"/>
        <v>0</v>
      </c>
      <c r="BW224" s="16" t="str">
        <f>IF('Sales Projections'!$F$13&gt;=ROW(BW224)-100,+$C224/4,"")</f>
        <v/>
      </c>
      <c r="BX224" s="16" t="str">
        <f>IF('Sales Projections'!$F$13&gt;=ROW(BX224)-100,+$C224/4,"")</f>
        <v/>
      </c>
      <c r="BY224" s="16" t="str">
        <f>IF('Sales Projections'!$F$13&gt;=ROW(BY224)-100,+$C224/4,"")</f>
        <v/>
      </c>
      <c r="BZ224" s="16" t="str">
        <f>IF('Sales Projections'!$F$13&gt;=ROW(BZ224)-100,+$C224/4,"")</f>
        <v/>
      </c>
    </row>
    <row r="225" spans="2:78" s="265" customFormat="1" x14ac:dyDescent="0.25">
      <c r="B225" s="16" t="s">
        <v>801</v>
      </c>
      <c r="C225" s="16">
        <v>125000</v>
      </c>
      <c r="D225" s="16" t="s">
        <v>531</v>
      </c>
      <c r="BJ225" s="16">
        <f t="shared" si="457"/>
        <v>0</v>
      </c>
      <c r="BK225" s="16" t="str">
        <f>IF('Sales Projections'!$D$13&gt;=ROW(BK225)-100,+$C225/4,"")</f>
        <v/>
      </c>
      <c r="BL225" s="16" t="str">
        <f>IF('Sales Projections'!$D$13&gt;=ROW(BL225)-100,+$C225/4,"")</f>
        <v/>
      </c>
      <c r="BM225" s="16" t="str">
        <f>IF('Sales Projections'!$D$13&gt;=ROW(BM225)-100,+$C225/4,"")</f>
        <v/>
      </c>
      <c r="BN225" s="16" t="str">
        <f>IF('Sales Projections'!$D$13&gt;=ROW(BN225)-100,+$C225/4,"")</f>
        <v/>
      </c>
      <c r="BP225" s="16">
        <f t="shared" si="458"/>
        <v>0</v>
      </c>
      <c r="BQ225" s="16" t="str">
        <f>IF('Sales Projections'!$E$13&gt;=ROW(BQ225)-100,+$C225/4,"")</f>
        <v/>
      </c>
      <c r="BR225" s="16" t="str">
        <f>IF('Sales Projections'!$E$13&gt;=ROW(BR225)-100,+$C225/4,"")</f>
        <v/>
      </c>
      <c r="BS225" s="16" t="str">
        <f>IF('Sales Projections'!$E$13&gt;=ROW(BS225)-100,+$C225/4,"")</f>
        <v/>
      </c>
      <c r="BT225" s="16" t="str">
        <f>IF('Sales Projections'!$E$13&gt;=ROW(BT225)-100,+$C225/4,"")</f>
        <v/>
      </c>
      <c r="BV225" s="16">
        <f t="shared" si="459"/>
        <v>0</v>
      </c>
      <c r="BW225" s="16" t="str">
        <f>IF('Sales Projections'!$F$13&gt;=ROW(BW225)-100,+$C225/4,"")</f>
        <v/>
      </c>
      <c r="BX225" s="16" t="str">
        <f>IF('Sales Projections'!$F$13&gt;=ROW(BX225)-100,+$C225/4,"")</f>
        <v/>
      </c>
      <c r="BY225" s="16" t="str">
        <f>IF('Sales Projections'!$F$13&gt;=ROW(BY225)-100,+$C225/4,"")</f>
        <v/>
      </c>
      <c r="BZ225" s="16" t="str">
        <f>IF('Sales Projections'!$F$13&gt;=ROW(BZ225)-100,+$C225/4,"")</f>
        <v/>
      </c>
    </row>
    <row r="226" spans="2:78" s="265" customFormat="1" x14ac:dyDescent="0.25">
      <c r="B226" s="16" t="s">
        <v>802</v>
      </c>
      <c r="C226" s="16">
        <v>125000</v>
      </c>
      <c r="D226" s="16" t="s">
        <v>531</v>
      </c>
      <c r="BJ226" s="16">
        <f t="shared" si="457"/>
        <v>0</v>
      </c>
      <c r="BK226" s="16" t="str">
        <f>IF('Sales Projections'!$D$13&gt;=ROW(BK226)-100,+$C226/4,"")</f>
        <v/>
      </c>
      <c r="BL226" s="16" t="str">
        <f>IF('Sales Projections'!$D$13&gt;=ROW(BL226)-100,+$C226/4,"")</f>
        <v/>
      </c>
      <c r="BM226" s="16" t="str">
        <f>IF('Sales Projections'!$D$13&gt;=ROW(BM226)-100,+$C226/4,"")</f>
        <v/>
      </c>
      <c r="BN226" s="16" t="str">
        <f>IF('Sales Projections'!$D$13&gt;=ROW(BN226)-100,+$C226/4,"")</f>
        <v/>
      </c>
      <c r="BP226" s="16">
        <f t="shared" si="458"/>
        <v>0</v>
      </c>
      <c r="BQ226" s="16" t="str">
        <f>IF('Sales Projections'!$E$13&gt;=ROW(BQ226)-100,+$C226/4,"")</f>
        <v/>
      </c>
      <c r="BR226" s="16" t="str">
        <f>IF('Sales Projections'!$E$13&gt;=ROW(BR226)-100,+$C226/4,"")</f>
        <v/>
      </c>
      <c r="BS226" s="16" t="str">
        <f>IF('Sales Projections'!$E$13&gt;=ROW(BS226)-100,+$C226/4,"")</f>
        <v/>
      </c>
      <c r="BT226" s="16" t="str">
        <f>IF('Sales Projections'!$E$13&gt;=ROW(BT226)-100,+$C226/4,"")</f>
        <v/>
      </c>
      <c r="BV226" s="16">
        <f t="shared" si="459"/>
        <v>0</v>
      </c>
      <c r="BW226" s="16" t="str">
        <f>IF('Sales Projections'!$F$13&gt;=ROW(BW226)-100,+$C226/4,"")</f>
        <v/>
      </c>
      <c r="BX226" s="16" t="str">
        <f>IF('Sales Projections'!$F$13&gt;=ROW(BX226)-100,+$C226/4,"")</f>
        <v/>
      </c>
      <c r="BY226" s="16" t="str">
        <f>IF('Sales Projections'!$F$13&gt;=ROW(BY226)-100,+$C226/4,"")</f>
        <v/>
      </c>
      <c r="BZ226" s="16" t="str">
        <f>IF('Sales Projections'!$F$13&gt;=ROW(BZ226)-100,+$C226/4,"")</f>
        <v/>
      </c>
    </row>
    <row r="227" spans="2:78" s="265" customFormat="1" x14ac:dyDescent="0.25">
      <c r="B227" s="16" t="s">
        <v>803</v>
      </c>
      <c r="C227" s="16">
        <v>125000</v>
      </c>
      <c r="D227" s="16" t="s">
        <v>531</v>
      </c>
      <c r="BJ227" s="16">
        <f t="shared" si="457"/>
        <v>0</v>
      </c>
      <c r="BK227" s="16" t="str">
        <f>IF('Sales Projections'!$D$13&gt;=ROW(BK227)-100,+$C227/4,"")</f>
        <v/>
      </c>
      <c r="BL227" s="16" t="str">
        <f>IF('Sales Projections'!$D$13&gt;=ROW(BL227)-100,+$C227/4,"")</f>
        <v/>
      </c>
      <c r="BM227" s="16" t="str">
        <f>IF('Sales Projections'!$D$13&gt;=ROW(BM227)-100,+$C227/4,"")</f>
        <v/>
      </c>
      <c r="BN227" s="16" t="str">
        <f>IF('Sales Projections'!$D$13&gt;=ROW(BN227)-100,+$C227/4,"")</f>
        <v/>
      </c>
      <c r="BP227" s="16">
        <f t="shared" si="458"/>
        <v>0</v>
      </c>
      <c r="BQ227" s="16" t="str">
        <f>IF('Sales Projections'!$E$13&gt;=ROW(BQ227)-100,+$C227/4,"")</f>
        <v/>
      </c>
      <c r="BR227" s="16" t="str">
        <f>IF('Sales Projections'!$E$13&gt;=ROW(BR227)-100,+$C227/4,"")</f>
        <v/>
      </c>
      <c r="BS227" s="16" t="str">
        <f>IF('Sales Projections'!$E$13&gt;=ROW(BS227)-100,+$C227/4,"")</f>
        <v/>
      </c>
      <c r="BT227" s="16" t="str">
        <f>IF('Sales Projections'!$E$13&gt;=ROW(BT227)-100,+$C227/4,"")</f>
        <v/>
      </c>
      <c r="BV227" s="16">
        <f t="shared" si="459"/>
        <v>0</v>
      </c>
      <c r="BW227" s="16" t="str">
        <f>IF('Sales Projections'!$F$13&gt;=ROW(BW227)-100,+$C227/4,"")</f>
        <v/>
      </c>
      <c r="BX227" s="16" t="str">
        <f>IF('Sales Projections'!$F$13&gt;=ROW(BX227)-100,+$C227/4,"")</f>
        <v/>
      </c>
      <c r="BY227" s="16" t="str">
        <f>IF('Sales Projections'!$F$13&gt;=ROW(BY227)-100,+$C227/4,"")</f>
        <v/>
      </c>
      <c r="BZ227" s="16" t="str">
        <f>IF('Sales Projections'!$F$13&gt;=ROW(BZ227)-100,+$C227/4,"")</f>
        <v/>
      </c>
    </row>
    <row r="228" spans="2:78" s="265" customFormat="1" x14ac:dyDescent="0.25">
      <c r="B228" s="16" t="s">
        <v>804</v>
      </c>
      <c r="C228" s="16">
        <v>125000</v>
      </c>
      <c r="D228" s="16" t="s">
        <v>531</v>
      </c>
      <c r="BJ228" s="16">
        <f t="shared" si="457"/>
        <v>0</v>
      </c>
      <c r="BK228" s="16" t="str">
        <f>IF('Sales Projections'!$D$13&gt;=ROW(BK228)-100,+$C228/4,"")</f>
        <v/>
      </c>
      <c r="BL228" s="16" t="str">
        <f>IF('Sales Projections'!$D$13&gt;=ROW(BL228)-100,+$C228/4,"")</f>
        <v/>
      </c>
      <c r="BM228" s="16" t="str">
        <f>IF('Sales Projections'!$D$13&gt;=ROW(BM228)-100,+$C228/4,"")</f>
        <v/>
      </c>
      <c r="BN228" s="16" t="str">
        <f>IF('Sales Projections'!$D$13&gt;=ROW(BN228)-100,+$C228/4,"")</f>
        <v/>
      </c>
      <c r="BP228" s="16">
        <f t="shared" si="458"/>
        <v>0</v>
      </c>
      <c r="BQ228" s="16" t="str">
        <f>IF('Sales Projections'!$E$13&gt;=ROW(BQ228)-100,+$C228/4,"")</f>
        <v/>
      </c>
      <c r="BR228" s="16" t="str">
        <f>IF('Sales Projections'!$E$13&gt;=ROW(BR228)-100,+$C228/4,"")</f>
        <v/>
      </c>
      <c r="BS228" s="16" t="str">
        <f>IF('Sales Projections'!$E$13&gt;=ROW(BS228)-100,+$C228/4,"")</f>
        <v/>
      </c>
      <c r="BT228" s="16" t="str">
        <f>IF('Sales Projections'!$E$13&gt;=ROW(BT228)-100,+$C228/4,"")</f>
        <v/>
      </c>
      <c r="BV228" s="16">
        <f t="shared" si="459"/>
        <v>0</v>
      </c>
      <c r="BW228" s="16" t="str">
        <f>IF('Sales Projections'!$F$13&gt;=ROW(BW228)-100,+$C228/4,"")</f>
        <v/>
      </c>
      <c r="BX228" s="16" t="str">
        <f>IF('Sales Projections'!$F$13&gt;=ROW(BX228)-100,+$C228/4,"")</f>
        <v/>
      </c>
      <c r="BY228" s="16" t="str">
        <f>IF('Sales Projections'!$F$13&gt;=ROW(BY228)-100,+$C228/4,"")</f>
        <v/>
      </c>
      <c r="BZ228" s="16" t="str">
        <f>IF('Sales Projections'!$F$13&gt;=ROW(BZ228)-100,+$C228/4,"")</f>
        <v/>
      </c>
    </row>
    <row r="229" spans="2:78" s="265" customFormat="1" x14ac:dyDescent="0.25">
      <c r="B229" s="16" t="s">
        <v>805</v>
      </c>
      <c r="C229" s="16">
        <v>125000</v>
      </c>
      <c r="D229" s="16" t="s">
        <v>531</v>
      </c>
      <c r="BJ229" s="16">
        <f t="shared" si="457"/>
        <v>0</v>
      </c>
      <c r="BK229" s="16" t="str">
        <f>IF('Sales Projections'!$D$13&gt;=ROW(BK229)-100,+$C229/4,"")</f>
        <v/>
      </c>
      <c r="BL229" s="16" t="str">
        <f>IF('Sales Projections'!$D$13&gt;=ROW(BL229)-100,+$C229/4,"")</f>
        <v/>
      </c>
      <c r="BM229" s="16" t="str">
        <f>IF('Sales Projections'!$D$13&gt;=ROW(BM229)-100,+$C229/4,"")</f>
        <v/>
      </c>
      <c r="BN229" s="16" t="str">
        <f>IF('Sales Projections'!$D$13&gt;=ROW(BN229)-100,+$C229/4,"")</f>
        <v/>
      </c>
      <c r="BP229" s="16">
        <f t="shared" si="458"/>
        <v>0</v>
      </c>
      <c r="BQ229" s="16" t="str">
        <f>IF('Sales Projections'!$E$13&gt;=ROW(BQ229)-100,+$C229/4,"")</f>
        <v/>
      </c>
      <c r="BR229" s="16" t="str">
        <f>IF('Sales Projections'!$E$13&gt;=ROW(BR229)-100,+$C229/4,"")</f>
        <v/>
      </c>
      <c r="BS229" s="16" t="str">
        <f>IF('Sales Projections'!$E$13&gt;=ROW(BS229)-100,+$C229/4,"")</f>
        <v/>
      </c>
      <c r="BT229" s="16" t="str">
        <f>IF('Sales Projections'!$E$13&gt;=ROW(BT229)-100,+$C229/4,"")</f>
        <v/>
      </c>
      <c r="BV229" s="16">
        <f t="shared" si="459"/>
        <v>0</v>
      </c>
      <c r="BW229" s="16" t="str">
        <f>IF('Sales Projections'!$F$13&gt;=ROW(BW229)-100,+$C229/4,"")</f>
        <v/>
      </c>
      <c r="BX229" s="16" t="str">
        <f>IF('Sales Projections'!$F$13&gt;=ROW(BX229)-100,+$C229/4,"")</f>
        <v/>
      </c>
      <c r="BY229" s="16" t="str">
        <f>IF('Sales Projections'!$F$13&gt;=ROW(BY229)-100,+$C229/4,"")</f>
        <v/>
      </c>
      <c r="BZ229" s="16" t="str">
        <f>IF('Sales Projections'!$F$13&gt;=ROW(BZ229)-100,+$C229/4,"")</f>
        <v/>
      </c>
    </row>
    <row r="230" spans="2:78" s="265" customFormat="1" x14ac:dyDescent="0.25">
      <c r="B230" s="16" t="s">
        <v>806</v>
      </c>
      <c r="C230" s="16">
        <v>125000</v>
      </c>
      <c r="D230" s="16" t="s">
        <v>531</v>
      </c>
      <c r="BJ230" s="16">
        <f t="shared" si="457"/>
        <v>0</v>
      </c>
      <c r="BK230" s="16" t="str">
        <f>IF('Sales Projections'!$D$13&gt;=ROW(BK230)-100,+$C230/4,"")</f>
        <v/>
      </c>
      <c r="BL230" s="16" t="str">
        <f>IF('Sales Projections'!$D$13&gt;=ROW(BL230)-100,+$C230/4,"")</f>
        <v/>
      </c>
      <c r="BM230" s="16" t="str">
        <f>IF('Sales Projections'!$D$13&gt;=ROW(BM230)-100,+$C230/4,"")</f>
        <v/>
      </c>
      <c r="BN230" s="16" t="str">
        <f>IF('Sales Projections'!$D$13&gt;=ROW(BN230)-100,+$C230/4,"")</f>
        <v/>
      </c>
      <c r="BP230" s="16">
        <f t="shared" si="458"/>
        <v>0</v>
      </c>
      <c r="BQ230" s="16" t="str">
        <f>IF('Sales Projections'!$E$13&gt;=ROW(BQ230)-100,+$C230/4,"")</f>
        <v/>
      </c>
      <c r="BR230" s="16" t="str">
        <f>IF('Sales Projections'!$E$13&gt;=ROW(BR230)-100,+$C230/4,"")</f>
        <v/>
      </c>
      <c r="BS230" s="16" t="str">
        <f>IF('Sales Projections'!$E$13&gt;=ROW(BS230)-100,+$C230/4,"")</f>
        <v/>
      </c>
      <c r="BT230" s="16" t="str">
        <f>IF('Sales Projections'!$E$13&gt;=ROW(BT230)-100,+$C230/4,"")</f>
        <v/>
      </c>
      <c r="BV230" s="16">
        <f t="shared" si="459"/>
        <v>0</v>
      </c>
      <c r="BW230" s="16" t="str">
        <f>IF('Sales Projections'!$F$13&gt;=ROW(BW230)-100,+$C230/4,"")</f>
        <v/>
      </c>
      <c r="BX230" s="16" t="str">
        <f>IF('Sales Projections'!$F$13&gt;=ROW(BX230)-100,+$C230/4,"")</f>
        <v/>
      </c>
      <c r="BY230" s="16" t="str">
        <f>IF('Sales Projections'!$F$13&gt;=ROW(BY230)-100,+$C230/4,"")</f>
        <v/>
      </c>
      <c r="BZ230" s="16" t="str">
        <f>IF('Sales Projections'!$F$13&gt;=ROW(BZ230)-100,+$C230/4,"")</f>
        <v/>
      </c>
    </row>
    <row r="231" spans="2:78" s="265" customFormat="1" x14ac:dyDescent="0.25">
      <c r="B231" s="16" t="s">
        <v>807</v>
      </c>
      <c r="C231" s="16">
        <v>125000</v>
      </c>
      <c r="D231" s="16" t="s">
        <v>531</v>
      </c>
      <c r="BJ231" s="16">
        <f t="shared" si="457"/>
        <v>0</v>
      </c>
      <c r="BK231" s="16" t="str">
        <f>IF('Sales Projections'!$D$13&gt;=ROW(BK231)-100,+$C231/4,"")</f>
        <v/>
      </c>
      <c r="BL231" s="16" t="str">
        <f>IF('Sales Projections'!$D$13&gt;=ROW(BL231)-100,+$C231/4,"")</f>
        <v/>
      </c>
      <c r="BM231" s="16" t="str">
        <f>IF('Sales Projections'!$D$13&gt;=ROW(BM231)-100,+$C231/4,"")</f>
        <v/>
      </c>
      <c r="BN231" s="16" t="str">
        <f>IF('Sales Projections'!$D$13&gt;=ROW(BN231)-100,+$C231/4,"")</f>
        <v/>
      </c>
      <c r="BP231" s="16">
        <f t="shared" si="458"/>
        <v>0</v>
      </c>
      <c r="BQ231" s="16" t="str">
        <f>IF('Sales Projections'!$E$13&gt;=ROW(BQ231)-100,+$C231/4,"")</f>
        <v/>
      </c>
      <c r="BR231" s="16" t="str">
        <f>IF('Sales Projections'!$E$13&gt;=ROW(BR231)-100,+$C231/4,"")</f>
        <v/>
      </c>
      <c r="BS231" s="16" t="str">
        <f>IF('Sales Projections'!$E$13&gt;=ROW(BS231)-100,+$C231/4,"")</f>
        <v/>
      </c>
      <c r="BT231" s="16" t="str">
        <f>IF('Sales Projections'!$E$13&gt;=ROW(BT231)-100,+$C231/4,"")</f>
        <v/>
      </c>
      <c r="BV231" s="16">
        <f t="shared" si="459"/>
        <v>0</v>
      </c>
      <c r="BW231" s="16" t="str">
        <f>IF('Sales Projections'!$F$13&gt;=ROW(BW231)-100,+$C231/4,"")</f>
        <v/>
      </c>
      <c r="BX231" s="16" t="str">
        <f>IF('Sales Projections'!$F$13&gt;=ROW(BX231)-100,+$C231/4,"")</f>
        <v/>
      </c>
      <c r="BY231" s="16" t="str">
        <f>IF('Sales Projections'!$F$13&gt;=ROW(BY231)-100,+$C231/4,"")</f>
        <v/>
      </c>
      <c r="BZ231" s="16" t="str">
        <f>IF('Sales Projections'!$F$13&gt;=ROW(BZ231)-100,+$C231/4,"")</f>
        <v/>
      </c>
    </row>
    <row r="232" spans="2:78" s="265" customFormat="1" x14ac:dyDescent="0.25">
      <c r="B232" s="16" t="s">
        <v>808</v>
      </c>
      <c r="C232" s="16">
        <v>125000</v>
      </c>
      <c r="D232" s="16" t="s">
        <v>531</v>
      </c>
      <c r="BJ232" s="16">
        <f t="shared" si="457"/>
        <v>0</v>
      </c>
      <c r="BK232" s="16" t="str">
        <f>IF('Sales Projections'!$D$13&gt;=ROW(BK232)-100,+$C232/4,"")</f>
        <v/>
      </c>
      <c r="BL232" s="16" t="str">
        <f>IF('Sales Projections'!$D$13&gt;=ROW(BL232)-100,+$C232/4,"")</f>
        <v/>
      </c>
      <c r="BM232" s="16" t="str">
        <f>IF('Sales Projections'!$D$13&gt;=ROW(BM232)-100,+$C232/4,"")</f>
        <v/>
      </c>
      <c r="BN232" s="16" t="str">
        <f>IF('Sales Projections'!$D$13&gt;=ROW(BN232)-100,+$C232/4,"")</f>
        <v/>
      </c>
      <c r="BP232" s="16">
        <f t="shared" si="458"/>
        <v>0</v>
      </c>
      <c r="BQ232" s="16" t="str">
        <f>IF('Sales Projections'!$E$13&gt;=ROW(BQ232)-100,+$C232/4,"")</f>
        <v/>
      </c>
      <c r="BR232" s="16" t="str">
        <f>IF('Sales Projections'!$E$13&gt;=ROW(BR232)-100,+$C232/4,"")</f>
        <v/>
      </c>
      <c r="BS232" s="16" t="str">
        <f>IF('Sales Projections'!$E$13&gt;=ROW(BS232)-100,+$C232/4,"")</f>
        <v/>
      </c>
      <c r="BT232" s="16" t="str">
        <f>IF('Sales Projections'!$E$13&gt;=ROW(BT232)-100,+$C232/4,"")</f>
        <v/>
      </c>
      <c r="BV232" s="16">
        <f t="shared" si="459"/>
        <v>0</v>
      </c>
      <c r="BW232" s="16" t="str">
        <f>IF('Sales Projections'!$F$13&gt;=ROW(BW232)-100,+$C232/4,"")</f>
        <v/>
      </c>
      <c r="BX232" s="16" t="str">
        <f>IF('Sales Projections'!$F$13&gt;=ROW(BX232)-100,+$C232/4,"")</f>
        <v/>
      </c>
      <c r="BY232" s="16" t="str">
        <f>IF('Sales Projections'!$F$13&gt;=ROW(BY232)-100,+$C232/4,"")</f>
        <v/>
      </c>
      <c r="BZ232" s="16" t="str">
        <f>IF('Sales Projections'!$F$13&gt;=ROW(BZ232)-100,+$C232/4,"")</f>
        <v/>
      </c>
    </row>
    <row r="233" spans="2:78" s="265" customFormat="1" x14ac:dyDescent="0.25">
      <c r="B233" s="16" t="s">
        <v>809</v>
      </c>
      <c r="C233" s="16">
        <v>125000</v>
      </c>
      <c r="D233" s="16" t="s">
        <v>531</v>
      </c>
      <c r="BJ233" s="16">
        <f t="shared" si="457"/>
        <v>0</v>
      </c>
      <c r="BK233" s="16" t="str">
        <f>IF('Sales Projections'!$D$13&gt;=ROW(BK233)-100,+$C233/4,"")</f>
        <v/>
      </c>
      <c r="BL233" s="16" t="str">
        <f>IF('Sales Projections'!$D$13&gt;=ROW(BL233)-100,+$C233/4,"")</f>
        <v/>
      </c>
      <c r="BM233" s="16" t="str">
        <f>IF('Sales Projections'!$D$13&gt;=ROW(BM233)-100,+$C233/4,"")</f>
        <v/>
      </c>
      <c r="BN233" s="16" t="str">
        <f>IF('Sales Projections'!$D$13&gt;=ROW(BN233)-100,+$C233/4,"")</f>
        <v/>
      </c>
      <c r="BP233" s="16">
        <f t="shared" si="458"/>
        <v>0</v>
      </c>
      <c r="BQ233" s="16" t="str">
        <f>IF('Sales Projections'!$E$13&gt;=ROW(BQ233)-100,+$C233/4,"")</f>
        <v/>
      </c>
      <c r="BR233" s="16" t="str">
        <f>IF('Sales Projections'!$E$13&gt;=ROW(BR233)-100,+$C233/4,"")</f>
        <v/>
      </c>
      <c r="BS233" s="16" t="str">
        <f>IF('Sales Projections'!$E$13&gt;=ROW(BS233)-100,+$C233/4,"")</f>
        <v/>
      </c>
      <c r="BT233" s="16" t="str">
        <f>IF('Sales Projections'!$E$13&gt;=ROW(BT233)-100,+$C233/4,"")</f>
        <v/>
      </c>
      <c r="BV233" s="16">
        <f t="shared" si="459"/>
        <v>0</v>
      </c>
      <c r="BW233" s="16" t="str">
        <f>IF('Sales Projections'!$F$13&gt;=ROW(BW233)-100,+$C233/4,"")</f>
        <v/>
      </c>
      <c r="BX233" s="16" t="str">
        <f>IF('Sales Projections'!$F$13&gt;=ROW(BX233)-100,+$C233/4,"")</f>
        <v/>
      </c>
      <c r="BY233" s="16" t="str">
        <f>IF('Sales Projections'!$F$13&gt;=ROW(BY233)-100,+$C233/4,"")</f>
        <v/>
      </c>
      <c r="BZ233" s="16" t="str">
        <f>IF('Sales Projections'!$F$13&gt;=ROW(BZ233)-100,+$C233/4,"")</f>
        <v/>
      </c>
    </row>
    <row r="234" spans="2:78" s="265" customFormat="1" x14ac:dyDescent="0.25">
      <c r="B234" s="16" t="s">
        <v>810</v>
      </c>
      <c r="C234" s="16">
        <v>125000</v>
      </c>
      <c r="D234" s="16" t="s">
        <v>531</v>
      </c>
      <c r="BJ234" s="16">
        <f t="shared" si="457"/>
        <v>0</v>
      </c>
      <c r="BK234" s="16" t="str">
        <f>IF('Sales Projections'!$D$13&gt;=ROW(BK234)-100,+$C234/4,"")</f>
        <v/>
      </c>
      <c r="BL234" s="16" t="str">
        <f>IF('Sales Projections'!$D$13&gt;=ROW(BL234)-100,+$C234/4,"")</f>
        <v/>
      </c>
      <c r="BM234" s="16" t="str">
        <f>IF('Sales Projections'!$D$13&gt;=ROW(BM234)-100,+$C234/4,"")</f>
        <v/>
      </c>
      <c r="BN234" s="16" t="str">
        <f>IF('Sales Projections'!$D$13&gt;=ROW(BN234)-100,+$C234/4,"")</f>
        <v/>
      </c>
      <c r="BP234" s="16">
        <f t="shared" si="458"/>
        <v>0</v>
      </c>
      <c r="BQ234" s="16" t="str">
        <f>IF('Sales Projections'!$E$13&gt;=ROW(BQ234)-100,+$C234/4,"")</f>
        <v/>
      </c>
      <c r="BR234" s="16" t="str">
        <f>IF('Sales Projections'!$E$13&gt;=ROW(BR234)-100,+$C234/4,"")</f>
        <v/>
      </c>
      <c r="BS234" s="16" t="str">
        <f>IF('Sales Projections'!$E$13&gt;=ROW(BS234)-100,+$C234/4,"")</f>
        <v/>
      </c>
      <c r="BT234" s="16" t="str">
        <f>IF('Sales Projections'!$E$13&gt;=ROW(BT234)-100,+$C234/4,"")</f>
        <v/>
      </c>
      <c r="BV234" s="16">
        <f t="shared" si="459"/>
        <v>0</v>
      </c>
      <c r="BW234" s="16" t="str">
        <f>IF('Sales Projections'!$F$13&gt;=ROW(BW234)-100,+$C234/4,"")</f>
        <v/>
      </c>
      <c r="BX234" s="16" t="str">
        <f>IF('Sales Projections'!$F$13&gt;=ROW(BX234)-100,+$C234/4,"")</f>
        <v/>
      </c>
      <c r="BY234" s="16" t="str">
        <f>IF('Sales Projections'!$F$13&gt;=ROW(BY234)-100,+$C234/4,"")</f>
        <v/>
      </c>
      <c r="BZ234" s="16" t="str">
        <f>IF('Sales Projections'!$F$13&gt;=ROW(BZ234)-100,+$C234/4,"")</f>
        <v/>
      </c>
    </row>
    <row r="235" spans="2:78" s="265" customFormat="1" x14ac:dyDescent="0.25">
      <c r="B235" s="16" t="s">
        <v>811</v>
      </c>
      <c r="C235" s="16">
        <v>125000</v>
      </c>
      <c r="D235" s="16" t="s">
        <v>531</v>
      </c>
      <c r="BJ235" s="16">
        <f t="shared" si="457"/>
        <v>0</v>
      </c>
      <c r="BK235" s="16" t="str">
        <f>IF('Sales Projections'!$D$13&gt;=ROW(BK235)-100,+$C235/4,"")</f>
        <v/>
      </c>
      <c r="BL235" s="16" t="str">
        <f>IF('Sales Projections'!$D$13&gt;=ROW(BL235)-100,+$C235/4,"")</f>
        <v/>
      </c>
      <c r="BM235" s="16" t="str">
        <f>IF('Sales Projections'!$D$13&gt;=ROW(BM235)-100,+$C235/4,"")</f>
        <v/>
      </c>
      <c r="BN235" s="16" t="str">
        <f>IF('Sales Projections'!$D$13&gt;=ROW(BN235)-100,+$C235/4,"")</f>
        <v/>
      </c>
      <c r="BP235" s="16">
        <f t="shared" si="458"/>
        <v>0</v>
      </c>
      <c r="BQ235" s="16" t="str">
        <f>IF('Sales Projections'!$E$13&gt;=ROW(BQ235)-100,+$C235/4,"")</f>
        <v/>
      </c>
      <c r="BR235" s="16" t="str">
        <f>IF('Sales Projections'!$E$13&gt;=ROW(BR235)-100,+$C235/4,"")</f>
        <v/>
      </c>
      <c r="BS235" s="16" t="str">
        <f>IF('Sales Projections'!$E$13&gt;=ROW(BS235)-100,+$C235/4,"")</f>
        <v/>
      </c>
      <c r="BT235" s="16" t="str">
        <f>IF('Sales Projections'!$E$13&gt;=ROW(BT235)-100,+$C235/4,"")</f>
        <v/>
      </c>
      <c r="BV235" s="16">
        <f t="shared" si="459"/>
        <v>0</v>
      </c>
      <c r="BW235" s="16" t="str">
        <f>IF('Sales Projections'!$F$13&gt;=ROW(BW235)-100,+$C235/4,"")</f>
        <v/>
      </c>
      <c r="BX235" s="16" t="str">
        <f>IF('Sales Projections'!$F$13&gt;=ROW(BX235)-100,+$C235/4,"")</f>
        <v/>
      </c>
      <c r="BY235" s="16" t="str">
        <f>IF('Sales Projections'!$F$13&gt;=ROW(BY235)-100,+$C235/4,"")</f>
        <v/>
      </c>
      <c r="BZ235" s="16" t="str">
        <f>IF('Sales Projections'!$F$13&gt;=ROW(BZ235)-100,+$C235/4,"")</f>
        <v/>
      </c>
    </row>
    <row r="236" spans="2:78" s="265" customFormat="1" x14ac:dyDescent="0.25">
      <c r="B236" s="16" t="s">
        <v>812</v>
      </c>
      <c r="C236" s="16">
        <v>125000</v>
      </c>
      <c r="D236" s="16" t="s">
        <v>531</v>
      </c>
      <c r="BJ236" s="16">
        <f t="shared" si="457"/>
        <v>0</v>
      </c>
      <c r="BK236" s="16" t="str">
        <f>IF('Sales Projections'!$D$13&gt;=ROW(BK236)-100,+$C236/4,"")</f>
        <v/>
      </c>
      <c r="BL236" s="16" t="str">
        <f>IF('Sales Projections'!$D$13&gt;=ROW(BL236)-100,+$C236/4,"")</f>
        <v/>
      </c>
      <c r="BM236" s="16" t="str">
        <f>IF('Sales Projections'!$D$13&gt;=ROW(BM236)-100,+$C236/4,"")</f>
        <v/>
      </c>
      <c r="BN236" s="16" t="str">
        <f>IF('Sales Projections'!$D$13&gt;=ROW(BN236)-100,+$C236/4,"")</f>
        <v/>
      </c>
      <c r="BP236" s="16">
        <f t="shared" si="458"/>
        <v>0</v>
      </c>
      <c r="BQ236" s="16" t="str">
        <f>IF('Sales Projections'!$E$13&gt;=ROW(BQ236)-100,+$C236/4,"")</f>
        <v/>
      </c>
      <c r="BR236" s="16" t="str">
        <f>IF('Sales Projections'!$E$13&gt;=ROW(BR236)-100,+$C236/4,"")</f>
        <v/>
      </c>
      <c r="BS236" s="16" t="str">
        <f>IF('Sales Projections'!$E$13&gt;=ROW(BS236)-100,+$C236/4,"")</f>
        <v/>
      </c>
      <c r="BT236" s="16" t="str">
        <f>IF('Sales Projections'!$E$13&gt;=ROW(BT236)-100,+$C236/4,"")</f>
        <v/>
      </c>
      <c r="BV236" s="16">
        <f t="shared" si="459"/>
        <v>0</v>
      </c>
      <c r="BW236" s="16" t="str">
        <f>IF('Sales Projections'!$F$13&gt;=ROW(BW236)-100,+$C236/4,"")</f>
        <v/>
      </c>
      <c r="BX236" s="16" t="str">
        <f>IF('Sales Projections'!$F$13&gt;=ROW(BX236)-100,+$C236/4,"")</f>
        <v/>
      </c>
      <c r="BY236" s="16" t="str">
        <f>IF('Sales Projections'!$F$13&gt;=ROW(BY236)-100,+$C236/4,"")</f>
        <v/>
      </c>
      <c r="BZ236" s="16" t="str">
        <f>IF('Sales Projections'!$F$13&gt;=ROW(BZ236)-100,+$C236/4,"")</f>
        <v/>
      </c>
    </row>
    <row r="237" spans="2:78" s="265" customFormat="1" x14ac:dyDescent="0.25">
      <c r="B237" s="16" t="s">
        <v>813</v>
      </c>
      <c r="C237" s="16">
        <v>125000</v>
      </c>
      <c r="D237" s="16" t="s">
        <v>531</v>
      </c>
      <c r="BJ237" s="16">
        <f t="shared" si="457"/>
        <v>0</v>
      </c>
      <c r="BK237" s="16" t="str">
        <f>IF('Sales Projections'!$D$13&gt;=ROW(BK237)-100,+$C237/4,"")</f>
        <v/>
      </c>
      <c r="BL237" s="16" t="str">
        <f>IF('Sales Projections'!$D$13&gt;=ROW(BL237)-100,+$C237/4,"")</f>
        <v/>
      </c>
      <c r="BM237" s="16" t="str">
        <f>IF('Sales Projections'!$D$13&gt;=ROW(BM237)-100,+$C237/4,"")</f>
        <v/>
      </c>
      <c r="BN237" s="16" t="str">
        <f>IF('Sales Projections'!$D$13&gt;=ROW(BN237)-100,+$C237/4,"")</f>
        <v/>
      </c>
      <c r="BP237" s="16">
        <f t="shared" si="458"/>
        <v>0</v>
      </c>
      <c r="BQ237" s="16" t="str">
        <f>IF('Sales Projections'!$E$13&gt;=ROW(BQ237)-100,+$C237/4,"")</f>
        <v/>
      </c>
      <c r="BR237" s="16" t="str">
        <f>IF('Sales Projections'!$E$13&gt;=ROW(BR237)-100,+$C237/4,"")</f>
        <v/>
      </c>
      <c r="BS237" s="16" t="str">
        <f>IF('Sales Projections'!$E$13&gt;=ROW(BS237)-100,+$C237/4,"")</f>
        <v/>
      </c>
      <c r="BT237" s="16" t="str">
        <f>IF('Sales Projections'!$E$13&gt;=ROW(BT237)-100,+$C237/4,"")</f>
        <v/>
      </c>
      <c r="BV237" s="16">
        <f t="shared" si="459"/>
        <v>0</v>
      </c>
      <c r="BW237" s="16" t="str">
        <f>IF('Sales Projections'!$F$13&gt;=ROW(BW237)-100,+$C237/4,"")</f>
        <v/>
      </c>
      <c r="BX237" s="16" t="str">
        <f>IF('Sales Projections'!$F$13&gt;=ROW(BX237)-100,+$C237/4,"")</f>
        <v/>
      </c>
      <c r="BY237" s="16" t="str">
        <f>IF('Sales Projections'!$F$13&gt;=ROW(BY237)-100,+$C237/4,"")</f>
        <v/>
      </c>
      <c r="BZ237" s="16" t="str">
        <f>IF('Sales Projections'!$F$13&gt;=ROW(BZ237)-100,+$C237/4,"")</f>
        <v/>
      </c>
    </row>
    <row r="238" spans="2:78" s="265" customFormat="1" x14ac:dyDescent="0.25">
      <c r="B238" s="16" t="s">
        <v>814</v>
      </c>
      <c r="C238" s="16">
        <v>125000</v>
      </c>
      <c r="D238" s="16" t="s">
        <v>531</v>
      </c>
      <c r="BJ238" s="16">
        <f t="shared" si="457"/>
        <v>0</v>
      </c>
      <c r="BK238" s="16" t="str">
        <f>IF('Sales Projections'!$D$13&gt;=ROW(BK238)-100,+$C238/4,"")</f>
        <v/>
      </c>
      <c r="BL238" s="16" t="str">
        <f>IF('Sales Projections'!$D$13&gt;=ROW(BL238)-100,+$C238/4,"")</f>
        <v/>
      </c>
      <c r="BM238" s="16" t="str">
        <f>IF('Sales Projections'!$D$13&gt;=ROW(BM238)-100,+$C238/4,"")</f>
        <v/>
      </c>
      <c r="BN238" s="16" t="str">
        <f>IF('Sales Projections'!$D$13&gt;=ROW(BN238)-100,+$C238/4,"")</f>
        <v/>
      </c>
      <c r="BP238" s="16">
        <f t="shared" si="458"/>
        <v>0</v>
      </c>
      <c r="BQ238" s="16" t="str">
        <f>IF('Sales Projections'!$E$13&gt;=ROW(BQ238)-100,+$C238/4,"")</f>
        <v/>
      </c>
      <c r="BR238" s="16" t="str">
        <f>IF('Sales Projections'!$E$13&gt;=ROW(BR238)-100,+$C238/4,"")</f>
        <v/>
      </c>
      <c r="BS238" s="16" t="str">
        <f>IF('Sales Projections'!$E$13&gt;=ROW(BS238)-100,+$C238/4,"")</f>
        <v/>
      </c>
      <c r="BT238" s="16" t="str">
        <f>IF('Sales Projections'!$E$13&gt;=ROW(BT238)-100,+$C238/4,"")</f>
        <v/>
      </c>
      <c r="BV238" s="16">
        <f t="shared" si="459"/>
        <v>0</v>
      </c>
      <c r="BW238" s="16" t="str">
        <f>IF('Sales Projections'!$F$13&gt;=ROW(BW238)-100,+$C238/4,"")</f>
        <v/>
      </c>
      <c r="BX238" s="16" t="str">
        <f>IF('Sales Projections'!$F$13&gt;=ROW(BX238)-100,+$C238/4,"")</f>
        <v/>
      </c>
      <c r="BY238" s="16" t="str">
        <f>IF('Sales Projections'!$F$13&gt;=ROW(BY238)-100,+$C238/4,"")</f>
        <v/>
      </c>
      <c r="BZ238" s="16" t="str">
        <f>IF('Sales Projections'!$F$13&gt;=ROW(BZ238)-100,+$C238/4,"")</f>
        <v/>
      </c>
    </row>
    <row r="239" spans="2:78" s="265" customFormat="1" x14ac:dyDescent="0.25">
      <c r="B239" s="16" t="s">
        <v>815</v>
      </c>
      <c r="C239" s="16">
        <v>125000</v>
      </c>
      <c r="D239" s="16" t="s">
        <v>531</v>
      </c>
      <c r="BJ239" s="16">
        <f t="shared" si="457"/>
        <v>0</v>
      </c>
      <c r="BK239" s="16" t="str">
        <f>IF('Sales Projections'!$D$13&gt;=ROW(BK239)-100,+$C239/4,"")</f>
        <v/>
      </c>
      <c r="BL239" s="16" t="str">
        <f>IF('Sales Projections'!$D$13&gt;=ROW(BL239)-100,+$C239/4,"")</f>
        <v/>
      </c>
      <c r="BM239" s="16" t="str">
        <f>IF('Sales Projections'!$D$13&gt;=ROW(BM239)-100,+$C239/4,"")</f>
        <v/>
      </c>
      <c r="BN239" s="16" t="str">
        <f>IF('Sales Projections'!$D$13&gt;=ROW(BN239)-100,+$C239/4,"")</f>
        <v/>
      </c>
      <c r="BP239" s="16">
        <f t="shared" si="458"/>
        <v>0</v>
      </c>
      <c r="BQ239" s="16" t="str">
        <f>IF('Sales Projections'!$E$13&gt;=ROW(BQ239)-100,+$C239/4,"")</f>
        <v/>
      </c>
      <c r="BR239" s="16" t="str">
        <f>IF('Sales Projections'!$E$13&gt;=ROW(BR239)-100,+$C239/4,"")</f>
        <v/>
      </c>
      <c r="BS239" s="16" t="str">
        <f>IF('Sales Projections'!$E$13&gt;=ROW(BS239)-100,+$C239/4,"")</f>
        <v/>
      </c>
      <c r="BT239" s="16" t="str">
        <f>IF('Sales Projections'!$E$13&gt;=ROW(BT239)-100,+$C239/4,"")</f>
        <v/>
      </c>
      <c r="BV239" s="16">
        <f t="shared" si="459"/>
        <v>0</v>
      </c>
      <c r="BW239" s="16" t="str">
        <f>IF('Sales Projections'!$F$13&gt;=ROW(BW239)-100,+$C239/4,"")</f>
        <v/>
      </c>
      <c r="BX239" s="16" t="str">
        <f>IF('Sales Projections'!$F$13&gt;=ROW(BX239)-100,+$C239/4,"")</f>
        <v/>
      </c>
      <c r="BY239" s="16" t="str">
        <f>IF('Sales Projections'!$F$13&gt;=ROW(BY239)-100,+$C239/4,"")</f>
        <v/>
      </c>
      <c r="BZ239" s="16" t="str">
        <f>IF('Sales Projections'!$F$13&gt;=ROW(BZ239)-100,+$C239/4,"")</f>
        <v/>
      </c>
    </row>
    <row r="240" spans="2:78" s="265" customFormat="1" x14ac:dyDescent="0.25">
      <c r="B240" s="16" t="s">
        <v>816</v>
      </c>
      <c r="C240" s="16">
        <v>125000</v>
      </c>
      <c r="D240" s="16" t="s">
        <v>531</v>
      </c>
      <c r="BJ240" s="16">
        <f t="shared" si="457"/>
        <v>0</v>
      </c>
      <c r="BK240" s="16" t="str">
        <f>IF('Sales Projections'!$D$13&gt;=ROW(BK240)-100,+$C240/4,"")</f>
        <v/>
      </c>
      <c r="BL240" s="16" t="str">
        <f>IF('Sales Projections'!$D$13&gt;=ROW(BL240)-100,+$C240/4,"")</f>
        <v/>
      </c>
      <c r="BM240" s="16" t="str">
        <f>IF('Sales Projections'!$D$13&gt;=ROW(BM240)-100,+$C240/4,"")</f>
        <v/>
      </c>
      <c r="BN240" s="16" t="str">
        <f>IF('Sales Projections'!$D$13&gt;=ROW(BN240)-100,+$C240/4,"")</f>
        <v/>
      </c>
      <c r="BP240" s="16">
        <f t="shared" si="458"/>
        <v>0</v>
      </c>
      <c r="BQ240" s="16" t="str">
        <f>IF('Sales Projections'!$E$13&gt;=ROW(BQ240)-100,+$C240/4,"")</f>
        <v/>
      </c>
      <c r="BR240" s="16" t="str">
        <f>IF('Sales Projections'!$E$13&gt;=ROW(BR240)-100,+$C240/4,"")</f>
        <v/>
      </c>
      <c r="BS240" s="16" t="str">
        <f>IF('Sales Projections'!$E$13&gt;=ROW(BS240)-100,+$C240/4,"")</f>
        <v/>
      </c>
      <c r="BT240" s="16" t="str">
        <f>IF('Sales Projections'!$E$13&gt;=ROW(BT240)-100,+$C240/4,"")</f>
        <v/>
      </c>
      <c r="BV240" s="16">
        <f t="shared" si="459"/>
        <v>0</v>
      </c>
      <c r="BW240" s="16" t="str">
        <f>IF('Sales Projections'!$F$13&gt;=ROW(BW240)-100,+$C240/4,"")</f>
        <v/>
      </c>
      <c r="BX240" s="16" t="str">
        <f>IF('Sales Projections'!$F$13&gt;=ROW(BX240)-100,+$C240/4,"")</f>
        <v/>
      </c>
      <c r="BY240" s="16" t="str">
        <f>IF('Sales Projections'!$F$13&gt;=ROW(BY240)-100,+$C240/4,"")</f>
        <v/>
      </c>
      <c r="BZ240" s="16" t="str">
        <f>IF('Sales Projections'!$F$13&gt;=ROW(BZ240)-100,+$C240/4,"")</f>
        <v/>
      </c>
    </row>
    <row r="241" spans="1:78" s="265" customFormat="1" x14ac:dyDescent="0.25">
      <c r="B241" s="16" t="s">
        <v>817</v>
      </c>
      <c r="C241" s="16">
        <v>125000</v>
      </c>
      <c r="D241" s="16" t="s">
        <v>531</v>
      </c>
      <c r="BJ241" s="16">
        <f t="shared" si="457"/>
        <v>0</v>
      </c>
      <c r="BK241" s="16" t="str">
        <f>IF('Sales Projections'!$D$13&gt;=ROW(BK241)-100,+$C241/4,"")</f>
        <v/>
      </c>
      <c r="BL241" s="16" t="str">
        <f>IF('Sales Projections'!$D$13&gt;=ROW(BL241)-100,+$C241/4,"")</f>
        <v/>
      </c>
      <c r="BM241" s="16" t="str">
        <f>IF('Sales Projections'!$D$13&gt;=ROW(BM241)-100,+$C241/4,"")</f>
        <v/>
      </c>
      <c r="BN241" s="16" t="str">
        <f>IF('Sales Projections'!$D$13&gt;=ROW(BN241)-100,+$C241/4,"")</f>
        <v/>
      </c>
      <c r="BP241" s="16">
        <f t="shared" si="458"/>
        <v>0</v>
      </c>
      <c r="BQ241" s="16" t="str">
        <f>IF('Sales Projections'!$E$13&gt;=ROW(BQ241)-100,+$C241/4,"")</f>
        <v/>
      </c>
      <c r="BR241" s="16" t="str">
        <f>IF('Sales Projections'!$E$13&gt;=ROW(BR241)-100,+$C241/4,"")</f>
        <v/>
      </c>
      <c r="BS241" s="16" t="str">
        <f>IF('Sales Projections'!$E$13&gt;=ROW(BS241)-100,+$C241/4,"")</f>
        <v/>
      </c>
      <c r="BT241" s="16" t="str">
        <f>IF('Sales Projections'!$E$13&gt;=ROW(BT241)-100,+$C241/4,"")</f>
        <v/>
      </c>
      <c r="BV241" s="16">
        <f t="shared" si="459"/>
        <v>0</v>
      </c>
      <c r="BW241" s="16" t="str">
        <f>IF('Sales Projections'!$F$13&gt;=ROW(BW241)-100,+$C241/4,"")</f>
        <v/>
      </c>
      <c r="BX241" s="16" t="str">
        <f>IF('Sales Projections'!$F$13&gt;=ROW(BX241)-100,+$C241/4,"")</f>
        <v/>
      </c>
      <c r="BY241" s="16" t="str">
        <f>IF('Sales Projections'!$F$13&gt;=ROW(BY241)-100,+$C241/4,"")</f>
        <v/>
      </c>
      <c r="BZ241" s="16" t="str">
        <f>IF('Sales Projections'!$F$13&gt;=ROW(BZ241)-100,+$C241/4,"")</f>
        <v/>
      </c>
    </row>
    <row r="242" spans="1:78" s="265" customFormat="1" x14ac:dyDescent="0.25">
      <c r="B242" s="16" t="s">
        <v>818</v>
      </c>
      <c r="C242" s="16">
        <v>125000</v>
      </c>
      <c r="D242" s="16" t="s">
        <v>531</v>
      </c>
      <c r="BJ242" s="16">
        <f t="shared" si="457"/>
        <v>0</v>
      </c>
      <c r="BK242" s="16" t="str">
        <f>IF('Sales Projections'!$D$13&gt;=ROW(BK242)-100,+$C242/4,"")</f>
        <v/>
      </c>
      <c r="BL242" s="16" t="str">
        <f>IF('Sales Projections'!$D$13&gt;=ROW(BL242)-100,+$C242/4,"")</f>
        <v/>
      </c>
      <c r="BM242" s="16" t="str">
        <f>IF('Sales Projections'!$D$13&gt;=ROW(BM242)-100,+$C242/4,"")</f>
        <v/>
      </c>
      <c r="BN242" s="16" t="str">
        <f>IF('Sales Projections'!$D$13&gt;=ROW(BN242)-100,+$C242/4,"")</f>
        <v/>
      </c>
      <c r="BP242" s="16">
        <f t="shared" si="458"/>
        <v>0</v>
      </c>
      <c r="BQ242" s="16" t="str">
        <f>IF('Sales Projections'!$E$13&gt;=ROW(BQ242)-100,+$C242/4,"")</f>
        <v/>
      </c>
      <c r="BR242" s="16" t="str">
        <f>IF('Sales Projections'!$E$13&gt;=ROW(BR242)-100,+$C242/4,"")</f>
        <v/>
      </c>
      <c r="BS242" s="16" t="str">
        <f>IF('Sales Projections'!$E$13&gt;=ROW(BS242)-100,+$C242/4,"")</f>
        <v/>
      </c>
      <c r="BT242" s="16" t="str">
        <f>IF('Sales Projections'!$E$13&gt;=ROW(BT242)-100,+$C242/4,"")</f>
        <v/>
      </c>
      <c r="BV242" s="16">
        <f t="shared" si="459"/>
        <v>0</v>
      </c>
      <c r="BW242" s="16" t="str">
        <f>IF('Sales Projections'!$F$13&gt;=ROW(BW242)-100,+$C242/4,"")</f>
        <v/>
      </c>
      <c r="BX242" s="16" t="str">
        <f>IF('Sales Projections'!$F$13&gt;=ROW(BX242)-100,+$C242/4,"")</f>
        <v/>
      </c>
      <c r="BY242" s="16" t="str">
        <f>IF('Sales Projections'!$F$13&gt;=ROW(BY242)-100,+$C242/4,"")</f>
        <v/>
      </c>
      <c r="BZ242" s="16" t="str">
        <f>IF('Sales Projections'!$F$13&gt;=ROW(BZ242)-100,+$C242/4,"")</f>
        <v/>
      </c>
    </row>
    <row r="243" spans="1:78" s="265" customFormat="1" x14ac:dyDescent="0.25">
      <c r="B243" s="16" t="s">
        <v>819</v>
      </c>
      <c r="C243" s="16">
        <v>125000</v>
      </c>
      <c r="D243" s="16" t="s">
        <v>531</v>
      </c>
      <c r="BJ243" s="16">
        <f t="shared" ref="BJ243" si="460">SUM(BK243:BN243)</f>
        <v>0</v>
      </c>
      <c r="BK243" s="16" t="str">
        <f>IF('Sales Projections'!$D$13&gt;=ROW(BK243)-100,+$C243/4,"")</f>
        <v/>
      </c>
      <c r="BL243" s="16" t="str">
        <f>IF('Sales Projections'!$D$13&gt;=ROW(BL243)-100,+$C243/4,"")</f>
        <v/>
      </c>
      <c r="BM243" s="16" t="str">
        <f>IF('Sales Projections'!$D$13&gt;=ROW(BM243)-100,+$C243/4,"")</f>
        <v/>
      </c>
      <c r="BN243" s="16" t="str">
        <f>IF('Sales Projections'!$D$13&gt;=ROW(BN243)-100,+$C243/4,"")</f>
        <v/>
      </c>
      <c r="BP243" s="16">
        <f t="shared" si="458"/>
        <v>0</v>
      </c>
      <c r="BQ243" s="16" t="str">
        <f>IF('Sales Projections'!$E$13&gt;=ROW(BQ243)-100,+$C243/4,"")</f>
        <v/>
      </c>
      <c r="BR243" s="16" t="str">
        <f>IF('Sales Projections'!$E$13&gt;=ROW(BR243)-100,+$C243/4,"")</f>
        <v/>
      </c>
      <c r="BS243" s="16" t="str">
        <f>IF('Sales Projections'!$E$13&gt;=ROW(BS243)-100,+$C243/4,"")</f>
        <v/>
      </c>
      <c r="BT243" s="16" t="str">
        <f>IF('Sales Projections'!$E$13&gt;=ROW(BT243)-100,+$C243/4,"")</f>
        <v/>
      </c>
      <c r="BV243" s="16">
        <f t="shared" si="459"/>
        <v>0</v>
      </c>
      <c r="BW243" s="16" t="str">
        <f>IF('Sales Projections'!$F$13&gt;=ROW(BW243)-100,+$C243/4,"")</f>
        <v/>
      </c>
      <c r="BX243" s="16" t="str">
        <f>IF('Sales Projections'!$F$13&gt;=ROW(BX243)-100,+$C243/4,"")</f>
        <v/>
      </c>
      <c r="BY243" s="16" t="str">
        <f>IF('Sales Projections'!$F$13&gt;=ROW(BY243)-100,+$C243/4,"")</f>
        <v/>
      </c>
      <c r="BZ243" s="16" t="str">
        <f>IF('Sales Projections'!$F$13&gt;=ROW(BZ243)-100,+$C243/4,"")</f>
        <v/>
      </c>
    </row>
    <row r="244" spans="1:78" s="16" customFormat="1" x14ac:dyDescent="0.25">
      <c r="B244" s="16" t="s">
        <v>820</v>
      </c>
      <c r="C244" s="16">
        <v>125000</v>
      </c>
      <c r="D244" s="16" t="s">
        <v>531</v>
      </c>
      <c r="BJ244" s="16">
        <f t="shared" ref="BJ244" si="461">SUM(BK244:BN244)</f>
        <v>0</v>
      </c>
      <c r="BK244" s="16" t="str">
        <f>IF('Sales Projections'!$D$13&gt;=ROW(BK244)-100,+$C244/4,"")</f>
        <v/>
      </c>
      <c r="BL244" s="16" t="str">
        <f>IF('Sales Projections'!$D$13&gt;=ROW(BL244)-100,+$C244/4,"")</f>
        <v/>
      </c>
      <c r="BM244" s="16" t="str">
        <f>IF('Sales Projections'!$D$13&gt;=ROW(BM244)-100,+$C244/4,"")</f>
        <v/>
      </c>
      <c r="BN244" s="16" t="str">
        <f>IF('Sales Projections'!$D$13&gt;=ROW(BN244)-100,+$C244/4,"")</f>
        <v/>
      </c>
      <c r="BP244" s="16">
        <f t="shared" si="458"/>
        <v>0</v>
      </c>
      <c r="BQ244" s="16" t="str">
        <f>IF('Sales Projections'!$E$13&gt;=ROW(BQ244)-100,+$C244/4,"")</f>
        <v/>
      </c>
      <c r="BR244" s="16" t="str">
        <f>IF('Sales Projections'!$E$13&gt;=ROW(BR244)-100,+$C244/4,"")</f>
        <v/>
      </c>
      <c r="BS244" s="16" t="str">
        <f>IF('Sales Projections'!$E$13&gt;=ROW(BS244)-100,+$C244/4,"")</f>
        <v/>
      </c>
      <c r="BT244" s="16" t="str">
        <f>IF('Sales Projections'!$E$13&gt;=ROW(BT244)-100,+$C244/4,"")</f>
        <v/>
      </c>
      <c r="BV244" s="16">
        <f t="shared" si="459"/>
        <v>0</v>
      </c>
      <c r="BW244" s="16" t="str">
        <f>IF('Sales Projections'!$F$13&gt;=ROW(BW244)-100,+$C244/4,"")</f>
        <v/>
      </c>
      <c r="BX244" s="16" t="str">
        <f>IF('Sales Projections'!$F$13&gt;=ROW(BX244)-100,+$C244/4,"")</f>
        <v/>
      </c>
      <c r="BY244" s="16" t="str">
        <f>IF('Sales Projections'!$F$13&gt;=ROW(BY244)-100,+$C244/4,"")</f>
        <v/>
      </c>
      <c r="BZ244" s="16" t="str">
        <f>IF('Sales Projections'!$F$13&gt;=ROW(BZ244)-100,+$C244/4,"")</f>
        <v/>
      </c>
    </row>
    <row r="245" spans="1:78" s="16" customFormat="1" x14ac:dyDescent="0.25"/>
    <row r="246" spans="1:78" s="16" customFormat="1" x14ac:dyDescent="0.25"/>
    <row r="247" spans="1:78" s="16" customFormat="1" x14ac:dyDescent="0.25"/>
    <row r="248" spans="1:78" s="16" customFormat="1" x14ac:dyDescent="0.25">
      <c r="B248" s="16" t="s">
        <v>80</v>
      </c>
      <c r="E248" s="17">
        <f t="shared" ref="E248:P248" si="462">SUM(E80:E247)</f>
        <v>0</v>
      </c>
      <c r="F248" s="17">
        <f t="shared" si="462"/>
        <v>0</v>
      </c>
      <c r="G248" s="17">
        <f t="shared" si="462"/>
        <v>0</v>
      </c>
      <c r="H248" s="17">
        <f t="shared" si="462"/>
        <v>0</v>
      </c>
      <c r="I248" s="17">
        <f t="shared" si="462"/>
        <v>0</v>
      </c>
      <c r="J248" s="17">
        <f t="shared" si="462"/>
        <v>0</v>
      </c>
      <c r="K248" s="17">
        <f t="shared" si="462"/>
        <v>0</v>
      </c>
      <c r="L248" s="17">
        <f t="shared" si="462"/>
        <v>0</v>
      </c>
      <c r="M248" s="17">
        <f t="shared" si="462"/>
        <v>0</v>
      </c>
      <c r="N248" s="17">
        <f t="shared" si="462"/>
        <v>0</v>
      </c>
      <c r="O248" s="17">
        <f t="shared" si="462"/>
        <v>0</v>
      </c>
      <c r="P248" s="17">
        <f t="shared" si="462"/>
        <v>0</v>
      </c>
      <c r="R248" s="17">
        <f t="shared" ref="R248:AC248" si="463">SUM(R80:R247)</f>
        <v>0</v>
      </c>
      <c r="S248" s="17">
        <f t="shared" si="463"/>
        <v>0</v>
      </c>
      <c r="T248" s="17">
        <f t="shared" si="463"/>
        <v>14166.666666666668</v>
      </c>
      <c r="U248" s="17">
        <f t="shared" si="463"/>
        <v>14166.666666666668</v>
      </c>
      <c r="V248" s="17">
        <f t="shared" si="463"/>
        <v>14166.666666666668</v>
      </c>
      <c r="W248" s="17">
        <f t="shared" si="463"/>
        <v>14166.666666666668</v>
      </c>
      <c r="X248" s="17">
        <f t="shared" si="463"/>
        <v>14166.666666666668</v>
      </c>
      <c r="Y248" s="17">
        <f t="shared" si="463"/>
        <v>14166.666666666668</v>
      </c>
      <c r="Z248" s="17">
        <f t="shared" si="463"/>
        <v>14166.666666666668</v>
      </c>
      <c r="AA248" s="17">
        <f t="shared" si="463"/>
        <v>14166.666666666668</v>
      </c>
      <c r="AB248" s="17">
        <f t="shared" si="463"/>
        <v>14166.666666666668</v>
      </c>
      <c r="AC248" s="17">
        <f t="shared" si="463"/>
        <v>14166.666666666668</v>
      </c>
      <c r="AE248" s="17">
        <f t="shared" ref="AE248:AP248" si="464">SUM(AE80:AE247)</f>
        <v>25833.333333333336</v>
      </c>
      <c r="AF248" s="17">
        <f t="shared" si="464"/>
        <v>25833.333333333336</v>
      </c>
      <c r="AG248" s="17">
        <f t="shared" si="464"/>
        <v>25833.333333333336</v>
      </c>
      <c r="AH248" s="17">
        <f t="shared" si="464"/>
        <v>25833.333333333336</v>
      </c>
      <c r="AI248" s="17">
        <f t="shared" si="464"/>
        <v>25833.333333333336</v>
      </c>
      <c r="AJ248" s="17">
        <f t="shared" si="464"/>
        <v>25833.333333333336</v>
      </c>
      <c r="AK248" s="17">
        <f t="shared" si="464"/>
        <v>25833.333333333336</v>
      </c>
      <c r="AL248" s="17">
        <f t="shared" si="464"/>
        <v>25833.333333333336</v>
      </c>
      <c r="AM248" s="17">
        <f t="shared" si="464"/>
        <v>25833.333333333336</v>
      </c>
      <c r="AN248" s="17">
        <f t="shared" si="464"/>
        <v>25833.333333333336</v>
      </c>
      <c r="AO248" s="17">
        <f t="shared" si="464"/>
        <v>25833.333333333336</v>
      </c>
      <c r="AP248" s="17">
        <f t="shared" si="464"/>
        <v>25833.333333333336</v>
      </c>
      <c r="AR248" s="17"/>
      <c r="AS248" s="17"/>
      <c r="AT248" s="17"/>
      <c r="AU248" s="17"/>
      <c r="AV248" s="17"/>
      <c r="AX248" s="17"/>
      <c r="AY248" s="17"/>
      <c r="AZ248" s="17"/>
      <c r="BA248" s="17"/>
      <c r="BB248" s="17"/>
      <c r="BD248" s="17"/>
      <c r="BE248" s="17"/>
      <c r="BF248" s="17"/>
      <c r="BG248" s="17"/>
      <c r="BH248" s="17"/>
      <c r="BJ248" s="17">
        <f>SUM(BJ80:BJ247)</f>
        <v>3150000</v>
      </c>
      <c r="BK248" s="17">
        <f>SUM(BK80:BK247)</f>
        <v>787500</v>
      </c>
      <c r="BL248" s="17">
        <f>SUM(BL80:BL247)</f>
        <v>787500</v>
      </c>
      <c r="BM248" s="17">
        <f>SUM(BM80:BM247)</f>
        <v>787500</v>
      </c>
      <c r="BN248" s="17">
        <f>SUM(BN80:BN247)</f>
        <v>787500</v>
      </c>
      <c r="BP248" s="17">
        <f>SUM(BP80:BP247)</f>
        <v>5965000</v>
      </c>
      <c r="BQ248" s="17">
        <f>SUM(BQ80:BQ247)</f>
        <v>1491250</v>
      </c>
      <c r="BR248" s="17">
        <f>SUM(BR80:BR247)</f>
        <v>1491250</v>
      </c>
      <c r="BS248" s="17">
        <f>SUM(BS80:BS247)</f>
        <v>1491250</v>
      </c>
      <c r="BT248" s="17">
        <f>SUM(BT80:BT247)</f>
        <v>1491250</v>
      </c>
      <c r="BV248" s="17">
        <f>SUM(BV80:BV247)</f>
        <v>7265000</v>
      </c>
      <c r="BW248" s="17">
        <f>SUM(BW80:BW247)</f>
        <v>1816250</v>
      </c>
      <c r="BX248" s="17">
        <f>SUM(BX80:BX247)</f>
        <v>1816250</v>
      </c>
      <c r="BY248" s="17">
        <f>SUM(BY80:BY247)</f>
        <v>1816250</v>
      </c>
      <c r="BZ248" s="17">
        <f>SUM(BZ80:BZ247)</f>
        <v>1816250</v>
      </c>
    </row>
    <row r="249" spans="1:78" s="16" customFormat="1" x14ac:dyDescent="0.25"/>
    <row r="250" spans="1:78" s="16" customFormat="1" x14ac:dyDescent="0.25">
      <c r="A250" s="16" t="s">
        <v>63</v>
      </c>
    </row>
    <row r="251" spans="1:78" s="16" customFormat="1" x14ac:dyDescent="0.25">
      <c r="B251" s="16" t="s">
        <v>64</v>
      </c>
      <c r="AR251" s="16">
        <f t="shared" ref="AR251:AR265" si="465">SUM(E251:P251)</f>
        <v>0</v>
      </c>
      <c r="AS251" s="16">
        <f t="shared" ref="AS251:AS265" si="466">SUM(E251:G251)</f>
        <v>0</v>
      </c>
      <c r="AT251" s="16">
        <f t="shared" ref="AT251:AT265" si="467">SUM(H251:J251)</f>
        <v>0</v>
      </c>
      <c r="AU251" s="16">
        <f t="shared" ref="AU251:AU265" si="468">SUM(K251:M251)</f>
        <v>0</v>
      </c>
      <c r="AV251" s="16">
        <f t="shared" ref="AV251:AV265" si="469">SUM(N251:P251)</f>
        <v>0</v>
      </c>
      <c r="AX251" s="16">
        <f t="shared" ref="AX251:AX265" si="470">SUM(R251:AC251)</f>
        <v>0</v>
      </c>
      <c r="AY251" s="16">
        <f t="shared" ref="AY251:AY265" si="471">SUM(R251:T251)</f>
        <v>0</v>
      </c>
      <c r="AZ251" s="16">
        <f t="shared" ref="AZ251:AZ265" si="472">SUM(U251:W251)</f>
        <v>0</v>
      </c>
      <c r="BA251" s="16">
        <f t="shared" ref="BA251:BA265" si="473">SUM(X251:Z251)</f>
        <v>0</v>
      </c>
      <c r="BB251" s="16">
        <f t="shared" ref="BB251:BB265" si="474">SUM(AA251:AC251)</f>
        <v>0</v>
      </c>
      <c r="BD251" s="16">
        <f t="shared" ref="BD251:BD265" si="475">SUM(AE251:AP251)</f>
        <v>0</v>
      </c>
      <c r="BE251" s="16">
        <f t="shared" ref="BE251:BE265" si="476">SUM(AE251:AG251)</f>
        <v>0</v>
      </c>
      <c r="BF251" s="16">
        <f t="shared" ref="BF251:BF265" si="477">SUM(AH251:AJ251)</f>
        <v>0</v>
      </c>
      <c r="BG251" s="16">
        <f t="shared" ref="BG251:BG265" si="478">SUM(AK251:AM251)</f>
        <v>0</v>
      </c>
      <c r="BH251" s="16">
        <f t="shared" ref="BH251:BH265" si="479">SUM(AN251:AP251)</f>
        <v>0</v>
      </c>
    </row>
    <row r="252" spans="1:78" s="16" customFormat="1" x14ac:dyDescent="0.25">
      <c r="B252" s="16" t="s">
        <v>65</v>
      </c>
      <c r="AR252" s="16">
        <f t="shared" si="465"/>
        <v>0</v>
      </c>
      <c r="AS252" s="16">
        <f t="shared" si="466"/>
        <v>0</v>
      </c>
      <c r="AT252" s="16">
        <f t="shared" si="467"/>
        <v>0</v>
      </c>
      <c r="AU252" s="16">
        <f t="shared" si="468"/>
        <v>0</v>
      </c>
      <c r="AV252" s="16">
        <f t="shared" si="469"/>
        <v>0</v>
      </c>
      <c r="AX252" s="16">
        <f t="shared" si="470"/>
        <v>0</v>
      </c>
      <c r="AY252" s="16">
        <f t="shared" si="471"/>
        <v>0</v>
      </c>
      <c r="AZ252" s="16">
        <f t="shared" si="472"/>
        <v>0</v>
      </c>
      <c r="BA252" s="16">
        <f t="shared" si="473"/>
        <v>0</v>
      </c>
      <c r="BB252" s="16">
        <f t="shared" si="474"/>
        <v>0</v>
      </c>
      <c r="BD252" s="16">
        <f t="shared" si="475"/>
        <v>0</v>
      </c>
      <c r="BE252" s="16">
        <f t="shared" si="476"/>
        <v>0</v>
      </c>
      <c r="BF252" s="16">
        <f t="shared" si="477"/>
        <v>0</v>
      </c>
      <c r="BG252" s="16">
        <f t="shared" si="478"/>
        <v>0</v>
      </c>
      <c r="BH252" s="16">
        <f t="shared" si="479"/>
        <v>0</v>
      </c>
    </row>
    <row r="253" spans="1:78" s="16" customFormat="1" x14ac:dyDescent="0.25">
      <c r="B253" s="16" t="s">
        <v>66</v>
      </c>
      <c r="AR253" s="16">
        <f t="shared" si="465"/>
        <v>0</v>
      </c>
      <c r="AS253" s="16">
        <f t="shared" si="466"/>
        <v>0</v>
      </c>
      <c r="AT253" s="16">
        <f t="shared" si="467"/>
        <v>0</v>
      </c>
      <c r="AU253" s="16">
        <f t="shared" si="468"/>
        <v>0</v>
      </c>
      <c r="AV253" s="16">
        <f t="shared" si="469"/>
        <v>0</v>
      </c>
      <c r="AX253" s="16">
        <f t="shared" si="470"/>
        <v>0</v>
      </c>
      <c r="AY253" s="16">
        <f t="shared" si="471"/>
        <v>0</v>
      </c>
      <c r="AZ253" s="16">
        <f t="shared" si="472"/>
        <v>0</v>
      </c>
      <c r="BA253" s="16">
        <f t="shared" si="473"/>
        <v>0</v>
      </c>
      <c r="BB253" s="16">
        <f t="shared" si="474"/>
        <v>0</v>
      </c>
      <c r="BD253" s="16">
        <f t="shared" si="475"/>
        <v>0</v>
      </c>
      <c r="BE253" s="16">
        <f t="shared" si="476"/>
        <v>0</v>
      </c>
      <c r="BF253" s="16">
        <f t="shared" si="477"/>
        <v>0</v>
      </c>
      <c r="BG253" s="16">
        <f t="shared" si="478"/>
        <v>0</v>
      </c>
      <c r="BH253" s="16">
        <f t="shared" si="479"/>
        <v>0</v>
      </c>
    </row>
    <row r="254" spans="1:78" s="16" customFormat="1" x14ac:dyDescent="0.25">
      <c r="B254" s="16" t="s">
        <v>67</v>
      </c>
      <c r="AR254" s="16">
        <f t="shared" si="465"/>
        <v>0</v>
      </c>
      <c r="AS254" s="16">
        <f t="shared" si="466"/>
        <v>0</v>
      </c>
      <c r="AT254" s="16">
        <f t="shared" si="467"/>
        <v>0</v>
      </c>
      <c r="AU254" s="16">
        <f t="shared" si="468"/>
        <v>0</v>
      </c>
      <c r="AV254" s="16">
        <f t="shared" si="469"/>
        <v>0</v>
      </c>
      <c r="AX254" s="16">
        <f t="shared" si="470"/>
        <v>0</v>
      </c>
      <c r="AY254" s="16">
        <f t="shared" si="471"/>
        <v>0</v>
      </c>
      <c r="AZ254" s="16">
        <f t="shared" si="472"/>
        <v>0</v>
      </c>
      <c r="BA254" s="16">
        <f t="shared" si="473"/>
        <v>0</v>
      </c>
      <c r="BB254" s="16">
        <f t="shared" si="474"/>
        <v>0</v>
      </c>
      <c r="BD254" s="16">
        <f t="shared" si="475"/>
        <v>0</v>
      </c>
      <c r="BE254" s="16">
        <f t="shared" si="476"/>
        <v>0</v>
      </c>
      <c r="BF254" s="16">
        <f t="shared" si="477"/>
        <v>0</v>
      </c>
      <c r="BG254" s="16">
        <f t="shared" si="478"/>
        <v>0</v>
      </c>
      <c r="BH254" s="16">
        <f t="shared" si="479"/>
        <v>0</v>
      </c>
    </row>
    <row r="255" spans="1:78" s="16" customFormat="1" x14ac:dyDescent="0.25">
      <c r="B255" s="16" t="s">
        <v>68</v>
      </c>
      <c r="AR255" s="16">
        <f t="shared" si="465"/>
        <v>0</v>
      </c>
      <c r="AS255" s="16">
        <f t="shared" si="466"/>
        <v>0</v>
      </c>
      <c r="AT255" s="16">
        <f t="shared" si="467"/>
        <v>0</v>
      </c>
      <c r="AU255" s="16">
        <f t="shared" si="468"/>
        <v>0</v>
      </c>
      <c r="AV255" s="16">
        <f t="shared" si="469"/>
        <v>0</v>
      </c>
      <c r="AX255" s="16">
        <f t="shared" si="470"/>
        <v>0</v>
      </c>
      <c r="AY255" s="16">
        <f t="shared" si="471"/>
        <v>0</v>
      </c>
      <c r="AZ255" s="16">
        <f t="shared" si="472"/>
        <v>0</v>
      </c>
      <c r="BA255" s="16">
        <f t="shared" si="473"/>
        <v>0</v>
      </c>
      <c r="BB255" s="16">
        <f t="shared" si="474"/>
        <v>0</v>
      </c>
      <c r="BD255" s="16">
        <f t="shared" si="475"/>
        <v>0</v>
      </c>
      <c r="BE255" s="16">
        <f t="shared" si="476"/>
        <v>0</v>
      </c>
      <c r="BF255" s="16">
        <f t="shared" si="477"/>
        <v>0</v>
      </c>
      <c r="BG255" s="16">
        <f t="shared" si="478"/>
        <v>0</v>
      </c>
      <c r="BH255" s="16">
        <f t="shared" si="479"/>
        <v>0</v>
      </c>
    </row>
    <row r="256" spans="1:78" s="16" customFormat="1" x14ac:dyDescent="0.25">
      <c r="B256" s="16" t="s">
        <v>69</v>
      </c>
      <c r="AR256" s="16">
        <f t="shared" si="465"/>
        <v>0</v>
      </c>
      <c r="AS256" s="16">
        <f t="shared" si="466"/>
        <v>0</v>
      </c>
      <c r="AT256" s="16">
        <f t="shared" si="467"/>
        <v>0</v>
      </c>
      <c r="AU256" s="16">
        <f t="shared" si="468"/>
        <v>0</v>
      </c>
      <c r="AV256" s="16">
        <f t="shared" si="469"/>
        <v>0</v>
      </c>
      <c r="AX256" s="16">
        <f t="shared" si="470"/>
        <v>0</v>
      </c>
      <c r="AY256" s="16">
        <f t="shared" si="471"/>
        <v>0</v>
      </c>
      <c r="AZ256" s="16">
        <f t="shared" si="472"/>
        <v>0</v>
      </c>
      <c r="BA256" s="16">
        <f t="shared" si="473"/>
        <v>0</v>
      </c>
      <c r="BB256" s="16">
        <f t="shared" si="474"/>
        <v>0</v>
      </c>
      <c r="BD256" s="16">
        <f t="shared" si="475"/>
        <v>0</v>
      </c>
      <c r="BE256" s="16">
        <f t="shared" si="476"/>
        <v>0</v>
      </c>
      <c r="BF256" s="16">
        <f t="shared" si="477"/>
        <v>0</v>
      </c>
      <c r="BG256" s="16">
        <f t="shared" si="478"/>
        <v>0</v>
      </c>
      <c r="BH256" s="16">
        <f t="shared" si="479"/>
        <v>0</v>
      </c>
    </row>
    <row r="257" spans="2:60" s="16" customFormat="1" x14ac:dyDescent="0.25">
      <c r="B257" s="16" t="s">
        <v>70</v>
      </c>
      <c r="AR257" s="16">
        <f t="shared" si="465"/>
        <v>0</v>
      </c>
      <c r="AS257" s="16">
        <f t="shared" si="466"/>
        <v>0</v>
      </c>
      <c r="AT257" s="16">
        <f t="shared" si="467"/>
        <v>0</v>
      </c>
      <c r="AU257" s="16">
        <f t="shared" si="468"/>
        <v>0</v>
      </c>
      <c r="AV257" s="16">
        <f t="shared" si="469"/>
        <v>0</v>
      </c>
      <c r="AX257" s="16">
        <f t="shared" si="470"/>
        <v>0</v>
      </c>
      <c r="AY257" s="16">
        <f t="shared" si="471"/>
        <v>0</v>
      </c>
      <c r="AZ257" s="16">
        <f t="shared" si="472"/>
        <v>0</v>
      </c>
      <c r="BA257" s="16">
        <f t="shared" si="473"/>
        <v>0</v>
      </c>
      <c r="BB257" s="16">
        <f t="shared" si="474"/>
        <v>0</v>
      </c>
      <c r="BD257" s="16">
        <f t="shared" si="475"/>
        <v>0</v>
      </c>
      <c r="BE257" s="16">
        <f t="shared" si="476"/>
        <v>0</v>
      </c>
      <c r="BF257" s="16">
        <f t="shared" si="477"/>
        <v>0</v>
      </c>
      <c r="BG257" s="16">
        <f t="shared" si="478"/>
        <v>0</v>
      </c>
      <c r="BH257" s="16">
        <f t="shared" si="479"/>
        <v>0</v>
      </c>
    </row>
    <row r="258" spans="2:60" s="16" customFormat="1" x14ac:dyDescent="0.25">
      <c r="B258" s="16" t="s">
        <v>71</v>
      </c>
      <c r="AR258" s="16">
        <f t="shared" si="465"/>
        <v>0</v>
      </c>
      <c r="AS258" s="16">
        <f t="shared" si="466"/>
        <v>0</v>
      </c>
      <c r="AT258" s="16">
        <f t="shared" si="467"/>
        <v>0</v>
      </c>
      <c r="AU258" s="16">
        <f t="shared" si="468"/>
        <v>0</v>
      </c>
      <c r="AV258" s="16">
        <f t="shared" si="469"/>
        <v>0</v>
      </c>
      <c r="AX258" s="16">
        <f t="shared" si="470"/>
        <v>0</v>
      </c>
      <c r="AY258" s="16">
        <f t="shared" si="471"/>
        <v>0</v>
      </c>
      <c r="AZ258" s="16">
        <f t="shared" si="472"/>
        <v>0</v>
      </c>
      <c r="BA258" s="16">
        <f t="shared" si="473"/>
        <v>0</v>
      </c>
      <c r="BB258" s="16">
        <f t="shared" si="474"/>
        <v>0</v>
      </c>
      <c r="BD258" s="16">
        <f t="shared" si="475"/>
        <v>0</v>
      </c>
      <c r="BE258" s="16">
        <f t="shared" si="476"/>
        <v>0</v>
      </c>
      <c r="BF258" s="16">
        <f t="shared" si="477"/>
        <v>0</v>
      </c>
      <c r="BG258" s="16">
        <f t="shared" si="478"/>
        <v>0</v>
      </c>
      <c r="BH258" s="16">
        <f t="shared" si="479"/>
        <v>0</v>
      </c>
    </row>
    <row r="259" spans="2:60" s="16" customFormat="1" x14ac:dyDescent="0.25">
      <c r="B259" s="16" t="s">
        <v>72</v>
      </c>
      <c r="AR259" s="16">
        <f t="shared" si="465"/>
        <v>0</v>
      </c>
      <c r="AS259" s="16">
        <f t="shared" si="466"/>
        <v>0</v>
      </c>
      <c r="AT259" s="16">
        <f t="shared" si="467"/>
        <v>0</v>
      </c>
      <c r="AU259" s="16">
        <f t="shared" si="468"/>
        <v>0</v>
      </c>
      <c r="AV259" s="16">
        <f t="shared" si="469"/>
        <v>0</v>
      </c>
      <c r="AX259" s="16">
        <f t="shared" si="470"/>
        <v>0</v>
      </c>
      <c r="AY259" s="16">
        <f t="shared" si="471"/>
        <v>0</v>
      </c>
      <c r="AZ259" s="16">
        <f t="shared" si="472"/>
        <v>0</v>
      </c>
      <c r="BA259" s="16">
        <f t="shared" si="473"/>
        <v>0</v>
      </c>
      <c r="BB259" s="16">
        <f t="shared" si="474"/>
        <v>0</v>
      </c>
      <c r="BD259" s="16">
        <f t="shared" si="475"/>
        <v>0</v>
      </c>
      <c r="BE259" s="16">
        <f t="shared" si="476"/>
        <v>0</v>
      </c>
      <c r="BF259" s="16">
        <f t="shared" si="477"/>
        <v>0</v>
      </c>
      <c r="BG259" s="16">
        <f t="shared" si="478"/>
        <v>0</v>
      </c>
      <c r="BH259" s="16">
        <f t="shared" si="479"/>
        <v>0</v>
      </c>
    </row>
    <row r="260" spans="2:60" s="16" customFormat="1" x14ac:dyDescent="0.25">
      <c r="B260" s="16" t="s">
        <v>73</v>
      </c>
      <c r="AR260" s="16">
        <f t="shared" si="465"/>
        <v>0</v>
      </c>
      <c r="AS260" s="16">
        <f t="shared" si="466"/>
        <v>0</v>
      </c>
      <c r="AT260" s="16">
        <f t="shared" si="467"/>
        <v>0</v>
      </c>
      <c r="AU260" s="16">
        <f t="shared" si="468"/>
        <v>0</v>
      </c>
      <c r="AV260" s="16">
        <f t="shared" si="469"/>
        <v>0</v>
      </c>
      <c r="AX260" s="16">
        <f t="shared" si="470"/>
        <v>0</v>
      </c>
      <c r="AY260" s="16">
        <f t="shared" si="471"/>
        <v>0</v>
      </c>
      <c r="AZ260" s="16">
        <f t="shared" si="472"/>
        <v>0</v>
      </c>
      <c r="BA260" s="16">
        <f t="shared" si="473"/>
        <v>0</v>
      </c>
      <c r="BB260" s="16">
        <f t="shared" si="474"/>
        <v>0</v>
      </c>
      <c r="BD260" s="16">
        <f t="shared" si="475"/>
        <v>0</v>
      </c>
      <c r="BE260" s="16">
        <f t="shared" si="476"/>
        <v>0</v>
      </c>
      <c r="BF260" s="16">
        <f t="shared" si="477"/>
        <v>0</v>
      </c>
      <c r="BG260" s="16">
        <f t="shared" si="478"/>
        <v>0</v>
      </c>
      <c r="BH260" s="16">
        <f t="shared" si="479"/>
        <v>0</v>
      </c>
    </row>
    <row r="261" spans="2:60" s="16" customFormat="1" x14ac:dyDescent="0.25">
      <c r="B261" s="16" t="s">
        <v>74</v>
      </c>
      <c r="AR261" s="16">
        <f t="shared" si="465"/>
        <v>0</v>
      </c>
      <c r="AS261" s="16">
        <f t="shared" si="466"/>
        <v>0</v>
      </c>
      <c r="AT261" s="16">
        <f t="shared" si="467"/>
        <v>0</v>
      </c>
      <c r="AU261" s="16">
        <f t="shared" si="468"/>
        <v>0</v>
      </c>
      <c r="AV261" s="16">
        <f t="shared" si="469"/>
        <v>0</v>
      </c>
      <c r="AX261" s="16">
        <f t="shared" si="470"/>
        <v>0</v>
      </c>
      <c r="AY261" s="16">
        <f t="shared" si="471"/>
        <v>0</v>
      </c>
      <c r="AZ261" s="16">
        <f t="shared" si="472"/>
        <v>0</v>
      </c>
      <c r="BA261" s="16">
        <f t="shared" si="473"/>
        <v>0</v>
      </c>
      <c r="BB261" s="16">
        <f t="shared" si="474"/>
        <v>0</v>
      </c>
      <c r="BD261" s="16">
        <f t="shared" si="475"/>
        <v>0</v>
      </c>
      <c r="BE261" s="16">
        <f t="shared" si="476"/>
        <v>0</v>
      </c>
      <c r="BF261" s="16">
        <f t="shared" si="477"/>
        <v>0</v>
      </c>
      <c r="BG261" s="16">
        <f t="shared" si="478"/>
        <v>0</v>
      </c>
      <c r="BH261" s="16">
        <f t="shared" si="479"/>
        <v>0</v>
      </c>
    </row>
    <row r="262" spans="2:60" s="16" customFormat="1" x14ac:dyDescent="0.25">
      <c r="B262" s="16" t="s">
        <v>75</v>
      </c>
      <c r="AR262" s="16">
        <f t="shared" si="465"/>
        <v>0</v>
      </c>
      <c r="AS262" s="16">
        <f t="shared" si="466"/>
        <v>0</v>
      </c>
      <c r="AT262" s="16">
        <f t="shared" si="467"/>
        <v>0</v>
      </c>
      <c r="AU262" s="16">
        <f t="shared" si="468"/>
        <v>0</v>
      </c>
      <c r="AV262" s="16">
        <f t="shared" si="469"/>
        <v>0</v>
      </c>
      <c r="AX262" s="16">
        <f t="shared" si="470"/>
        <v>0</v>
      </c>
      <c r="AY262" s="16">
        <f t="shared" si="471"/>
        <v>0</v>
      </c>
      <c r="AZ262" s="16">
        <f t="shared" si="472"/>
        <v>0</v>
      </c>
      <c r="BA262" s="16">
        <f t="shared" si="473"/>
        <v>0</v>
      </c>
      <c r="BB262" s="16">
        <f t="shared" si="474"/>
        <v>0</v>
      </c>
      <c r="BD262" s="16">
        <f t="shared" si="475"/>
        <v>0</v>
      </c>
      <c r="BE262" s="16">
        <f t="shared" si="476"/>
        <v>0</v>
      </c>
      <c r="BF262" s="16">
        <f t="shared" si="477"/>
        <v>0</v>
      </c>
      <c r="BG262" s="16">
        <f t="shared" si="478"/>
        <v>0</v>
      </c>
      <c r="BH262" s="16">
        <f t="shared" si="479"/>
        <v>0</v>
      </c>
    </row>
    <row r="263" spans="2:60" s="16" customFormat="1" x14ac:dyDescent="0.25">
      <c r="B263" s="16" t="s">
        <v>76</v>
      </c>
      <c r="AR263" s="16">
        <f t="shared" si="465"/>
        <v>0</v>
      </c>
      <c r="AS263" s="16">
        <f t="shared" si="466"/>
        <v>0</v>
      </c>
      <c r="AT263" s="16">
        <f t="shared" si="467"/>
        <v>0</v>
      </c>
      <c r="AU263" s="16">
        <f t="shared" si="468"/>
        <v>0</v>
      </c>
      <c r="AV263" s="16">
        <f t="shared" si="469"/>
        <v>0</v>
      </c>
      <c r="AX263" s="16">
        <f t="shared" si="470"/>
        <v>0</v>
      </c>
      <c r="AY263" s="16">
        <f t="shared" si="471"/>
        <v>0</v>
      </c>
      <c r="AZ263" s="16">
        <f t="shared" si="472"/>
        <v>0</v>
      </c>
      <c r="BA263" s="16">
        <f t="shared" si="473"/>
        <v>0</v>
      </c>
      <c r="BB263" s="16">
        <f t="shared" si="474"/>
        <v>0</v>
      </c>
      <c r="BD263" s="16">
        <f t="shared" si="475"/>
        <v>0</v>
      </c>
      <c r="BE263" s="16">
        <f t="shared" si="476"/>
        <v>0</v>
      </c>
      <c r="BF263" s="16">
        <f t="shared" si="477"/>
        <v>0</v>
      </c>
      <c r="BG263" s="16">
        <f t="shared" si="478"/>
        <v>0</v>
      </c>
      <c r="BH263" s="16">
        <f t="shared" si="479"/>
        <v>0</v>
      </c>
    </row>
    <row r="264" spans="2:60" s="16" customFormat="1" x14ac:dyDescent="0.25">
      <c r="B264" s="16" t="s">
        <v>77</v>
      </c>
      <c r="AR264" s="16">
        <f t="shared" si="465"/>
        <v>0</v>
      </c>
      <c r="AS264" s="16">
        <f t="shared" si="466"/>
        <v>0</v>
      </c>
      <c r="AT264" s="16">
        <f t="shared" si="467"/>
        <v>0</v>
      </c>
      <c r="AU264" s="16">
        <f t="shared" si="468"/>
        <v>0</v>
      </c>
      <c r="AV264" s="16">
        <f t="shared" si="469"/>
        <v>0</v>
      </c>
      <c r="AX264" s="16">
        <f t="shared" si="470"/>
        <v>0</v>
      </c>
      <c r="AY264" s="16">
        <f t="shared" si="471"/>
        <v>0</v>
      </c>
      <c r="AZ264" s="16">
        <f t="shared" si="472"/>
        <v>0</v>
      </c>
      <c r="BA264" s="16">
        <f t="shared" si="473"/>
        <v>0</v>
      </c>
      <c r="BB264" s="16">
        <f t="shared" si="474"/>
        <v>0</v>
      </c>
      <c r="BD264" s="16">
        <f t="shared" si="475"/>
        <v>0</v>
      </c>
      <c r="BE264" s="16">
        <f t="shared" si="476"/>
        <v>0</v>
      </c>
      <c r="BF264" s="16">
        <f t="shared" si="477"/>
        <v>0</v>
      </c>
      <c r="BG264" s="16">
        <f t="shared" si="478"/>
        <v>0</v>
      </c>
      <c r="BH264" s="16">
        <f t="shared" si="479"/>
        <v>0</v>
      </c>
    </row>
    <row r="265" spans="2:60" s="16" customFormat="1" x14ac:dyDescent="0.25">
      <c r="B265" s="16" t="s">
        <v>78</v>
      </c>
      <c r="AR265" s="16">
        <f t="shared" si="465"/>
        <v>0</v>
      </c>
      <c r="AS265" s="16">
        <f t="shared" si="466"/>
        <v>0</v>
      </c>
      <c r="AT265" s="16">
        <f t="shared" si="467"/>
        <v>0</v>
      </c>
      <c r="AU265" s="16">
        <f t="shared" si="468"/>
        <v>0</v>
      </c>
      <c r="AV265" s="16">
        <f t="shared" si="469"/>
        <v>0</v>
      </c>
      <c r="AX265" s="16">
        <f t="shared" si="470"/>
        <v>0</v>
      </c>
      <c r="AY265" s="16">
        <f t="shared" si="471"/>
        <v>0</v>
      </c>
      <c r="AZ265" s="16">
        <f t="shared" si="472"/>
        <v>0</v>
      </c>
      <c r="BA265" s="16">
        <f t="shared" si="473"/>
        <v>0</v>
      </c>
      <c r="BB265" s="16">
        <f t="shared" si="474"/>
        <v>0</v>
      </c>
      <c r="BD265" s="16">
        <f t="shared" si="475"/>
        <v>0</v>
      </c>
      <c r="BE265" s="16">
        <f t="shared" si="476"/>
        <v>0</v>
      </c>
      <c r="BF265" s="16">
        <f t="shared" si="477"/>
        <v>0</v>
      </c>
      <c r="BG265" s="16">
        <f t="shared" si="478"/>
        <v>0</v>
      </c>
      <c r="BH265" s="16">
        <f t="shared" si="479"/>
        <v>0</v>
      </c>
    </row>
    <row r="266" spans="2:60" s="16" customFormat="1" x14ac:dyDescent="0.25"/>
    <row r="267" spans="2:60" s="16" customFormat="1" x14ac:dyDescent="0.25">
      <c r="B267" s="16" t="s">
        <v>79</v>
      </c>
      <c r="E267" s="17">
        <f>SUM(E251:E265)</f>
        <v>0</v>
      </c>
      <c r="F267" s="17">
        <f t="shared" ref="F267:P267" si="480">SUM(F251:F265)</f>
        <v>0</v>
      </c>
      <c r="G267" s="17">
        <f t="shared" si="480"/>
        <v>0</v>
      </c>
      <c r="H267" s="17">
        <f t="shared" si="480"/>
        <v>0</v>
      </c>
      <c r="I267" s="17">
        <f t="shared" si="480"/>
        <v>0</v>
      </c>
      <c r="J267" s="17">
        <f t="shared" si="480"/>
        <v>0</v>
      </c>
      <c r="K267" s="17">
        <f t="shared" si="480"/>
        <v>0</v>
      </c>
      <c r="L267" s="17">
        <f t="shared" si="480"/>
        <v>0</v>
      </c>
      <c r="M267" s="17">
        <f t="shared" si="480"/>
        <v>0</v>
      </c>
      <c r="N267" s="17">
        <f t="shared" si="480"/>
        <v>0</v>
      </c>
      <c r="O267" s="17">
        <f t="shared" si="480"/>
        <v>0</v>
      </c>
      <c r="P267" s="17">
        <f t="shared" si="480"/>
        <v>0</v>
      </c>
      <c r="R267" s="17">
        <f>SUM(R251:R265)</f>
        <v>0</v>
      </c>
      <c r="S267" s="17">
        <f t="shared" ref="S267:AC267" si="481">SUM(S251:S265)</f>
        <v>0</v>
      </c>
      <c r="T267" s="17">
        <f t="shared" si="481"/>
        <v>0</v>
      </c>
      <c r="U267" s="17">
        <f t="shared" si="481"/>
        <v>0</v>
      </c>
      <c r="V267" s="17">
        <f t="shared" si="481"/>
        <v>0</v>
      </c>
      <c r="W267" s="17">
        <f t="shared" si="481"/>
        <v>0</v>
      </c>
      <c r="X267" s="17">
        <f t="shared" si="481"/>
        <v>0</v>
      </c>
      <c r="Y267" s="17">
        <f t="shared" si="481"/>
        <v>0</v>
      </c>
      <c r="Z267" s="17">
        <f t="shared" si="481"/>
        <v>0</v>
      </c>
      <c r="AA267" s="17">
        <f t="shared" si="481"/>
        <v>0</v>
      </c>
      <c r="AB267" s="17">
        <f t="shared" si="481"/>
        <v>0</v>
      </c>
      <c r="AC267" s="17">
        <f t="shared" si="481"/>
        <v>0</v>
      </c>
      <c r="AE267" s="17">
        <f t="shared" ref="AE267:AP267" si="482">SUM(AE251:AE265)</f>
        <v>0</v>
      </c>
      <c r="AF267" s="17">
        <f t="shared" si="482"/>
        <v>0</v>
      </c>
      <c r="AG267" s="17">
        <f t="shared" si="482"/>
        <v>0</v>
      </c>
      <c r="AH267" s="17">
        <f t="shared" si="482"/>
        <v>0</v>
      </c>
      <c r="AI267" s="17">
        <f t="shared" si="482"/>
        <v>0</v>
      </c>
      <c r="AJ267" s="17">
        <f t="shared" si="482"/>
        <v>0</v>
      </c>
      <c r="AK267" s="17">
        <f t="shared" si="482"/>
        <v>0</v>
      </c>
      <c r="AL267" s="17">
        <f t="shared" si="482"/>
        <v>0</v>
      </c>
      <c r="AM267" s="17">
        <f t="shared" si="482"/>
        <v>0</v>
      </c>
      <c r="AN267" s="17">
        <f t="shared" si="482"/>
        <v>0</v>
      </c>
      <c r="AO267" s="17">
        <f t="shared" si="482"/>
        <v>0</v>
      </c>
      <c r="AP267" s="17">
        <f t="shared" si="482"/>
        <v>0</v>
      </c>
      <c r="AR267" s="17"/>
      <c r="AS267" s="17"/>
      <c r="AT267" s="17"/>
      <c r="AU267" s="17"/>
      <c r="AV267" s="17"/>
      <c r="AX267" s="17"/>
      <c r="AY267" s="17"/>
      <c r="AZ267" s="17"/>
      <c r="BA267" s="17"/>
      <c r="BB267" s="17"/>
      <c r="BD267" s="17"/>
      <c r="BE267" s="17"/>
      <c r="BF267" s="17"/>
      <c r="BG267" s="17"/>
      <c r="BH267" s="17"/>
    </row>
    <row r="268" spans="2:60" s="16" customFormat="1" x14ac:dyDescent="0.25"/>
    <row r="269" spans="2:60" s="16" customFormat="1" x14ac:dyDescent="0.25"/>
    <row r="270" spans="2:60" s="16" customFormat="1" x14ac:dyDescent="0.25"/>
    <row r="271" spans="2:60" s="16" customFormat="1" x14ac:dyDescent="0.25"/>
    <row r="272" spans="2:60"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row r="363" s="16" customFormat="1" x14ac:dyDescent="0.25"/>
    <row r="364" s="16" customFormat="1" x14ac:dyDescent="0.25"/>
    <row r="365" s="16" customFormat="1" x14ac:dyDescent="0.25"/>
    <row r="366" s="16" customFormat="1" x14ac:dyDescent="0.25"/>
    <row r="367" s="16" customFormat="1" x14ac:dyDescent="0.25"/>
    <row r="368" s="16" customFormat="1" x14ac:dyDescent="0.25"/>
    <row r="369" s="16" customFormat="1" x14ac:dyDescent="0.25"/>
    <row r="370" s="16" customFormat="1" x14ac:dyDescent="0.25"/>
    <row r="371" s="16" customFormat="1" x14ac:dyDescent="0.25"/>
    <row r="372" s="16" customFormat="1" x14ac:dyDescent="0.25"/>
    <row r="373" s="16" customFormat="1" x14ac:dyDescent="0.25"/>
    <row r="374" s="16" customFormat="1" x14ac:dyDescent="0.25"/>
    <row r="375" s="16" customFormat="1" x14ac:dyDescent="0.25"/>
    <row r="376" s="16" customFormat="1" x14ac:dyDescent="0.25"/>
    <row r="377" s="16" customFormat="1" x14ac:dyDescent="0.25"/>
    <row r="378" s="16" customFormat="1" x14ac:dyDescent="0.25"/>
    <row r="379" s="16" customFormat="1" x14ac:dyDescent="0.25"/>
    <row r="380" s="16" customFormat="1" x14ac:dyDescent="0.25"/>
    <row r="381" s="16" customFormat="1" x14ac:dyDescent="0.25"/>
    <row r="382" s="16" customFormat="1" x14ac:dyDescent="0.25"/>
    <row r="383" s="16" customFormat="1" x14ac:dyDescent="0.25"/>
    <row r="384" s="16" customFormat="1" x14ac:dyDescent="0.25"/>
    <row r="385" s="16" customFormat="1" x14ac:dyDescent="0.25"/>
    <row r="386" s="16" customFormat="1" x14ac:dyDescent="0.25"/>
    <row r="387" s="16" customFormat="1" x14ac:dyDescent="0.25"/>
    <row r="388" s="16" customFormat="1" x14ac:dyDescent="0.25"/>
    <row r="389" s="16" customFormat="1" x14ac:dyDescent="0.25"/>
    <row r="390" s="16" customFormat="1" x14ac:dyDescent="0.25"/>
    <row r="391" s="16" customFormat="1" x14ac:dyDescent="0.25"/>
    <row r="392" s="16" customFormat="1" x14ac:dyDescent="0.25"/>
    <row r="393" s="16" customFormat="1" x14ac:dyDescent="0.25"/>
    <row r="394" s="16" customFormat="1" x14ac:dyDescent="0.25"/>
    <row r="395" s="16" customFormat="1" x14ac:dyDescent="0.25"/>
    <row r="396" s="16" customFormat="1" x14ac:dyDescent="0.25"/>
    <row r="397" s="16" customFormat="1" x14ac:dyDescent="0.25"/>
    <row r="398" s="16" customFormat="1" x14ac:dyDescent="0.25"/>
    <row r="399" s="16" customFormat="1" x14ac:dyDescent="0.25"/>
    <row r="400" s="16" customFormat="1" x14ac:dyDescent="0.25"/>
    <row r="401" s="16" customFormat="1" x14ac:dyDescent="0.25"/>
    <row r="402" s="16" customFormat="1" x14ac:dyDescent="0.25"/>
    <row r="403" s="16" customFormat="1" x14ac:dyDescent="0.25"/>
    <row r="404" s="16" customFormat="1" x14ac:dyDescent="0.25"/>
    <row r="405" s="16" customFormat="1" x14ac:dyDescent="0.25"/>
    <row r="406" s="16" customFormat="1" x14ac:dyDescent="0.25"/>
    <row r="407" s="16" customFormat="1" x14ac:dyDescent="0.25"/>
    <row r="408" s="16" customFormat="1" x14ac:dyDescent="0.25"/>
    <row r="409" s="16" customFormat="1" x14ac:dyDescent="0.25"/>
    <row r="410" s="16" customFormat="1" x14ac:dyDescent="0.25"/>
    <row r="411" s="16" customFormat="1" x14ac:dyDescent="0.25"/>
    <row r="412" s="16" customFormat="1" x14ac:dyDescent="0.25"/>
    <row r="413" s="16" customFormat="1" x14ac:dyDescent="0.25"/>
    <row r="414" s="16" customFormat="1" x14ac:dyDescent="0.25"/>
    <row r="415" s="16" customFormat="1" x14ac:dyDescent="0.25"/>
    <row r="416" s="16" customFormat="1" x14ac:dyDescent="0.25"/>
    <row r="417" s="16" customFormat="1" x14ac:dyDescent="0.25"/>
    <row r="418" s="16" customFormat="1" x14ac:dyDescent="0.25"/>
    <row r="419" s="16" customFormat="1" x14ac:dyDescent="0.25"/>
    <row r="420" s="16" customFormat="1" x14ac:dyDescent="0.25"/>
    <row r="421" s="16" customFormat="1" x14ac:dyDescent="0.25"/>
    <row r="422" s="16" customFormat="1" x14ac:dyDescent="0.25"/>
    <row r="423" s="16" customFormat="1" x14ac:dyDescent="0.25"/>
    <row r="424" s="16" customFormat="1" x14ac:dyDescent="0.25"/>
    <row r="425" s="16" customFormat="1" x14ac:dyDescent="0.25"/>
    <row r="426" s="16" customFormat="1" x14ac:dyDescent="0.25"/>
    <row r="427" s="16" customFormat="1" x14ac:dyDescent="0.25"/>
    <row r="428" s="16" customFormat="1" x14ac:dyDescent="0.25"/>
    <row r="429" s="16" customFormat="1" x14ac:dyDescent="0.25"/>
    <row r="430" s="16" customFormat="1" x14ac:dyDescent="0.25"/>
    <row r="431" s="16" customFormat="1" x14ac:dyDescent="0.25"/>
    <row r="432" s="16" customFormat="1" x14ac:dyDescent="0.25"/>
    <row r="433" s="16" customFormat="1" x14ac:dyDescent="0.25"/>
    <row r="434" s="16" customFormat="1" x14ac:dyDescent="0.25"/>
    <row r="435" s="16" customFormat="1" x14ac:dyDescent="0.25"/>
    <row r="436" s="16" customFormat="1" x14ac:dyDescent="0.25"/>
    <row r="437" s="16" customFormat="1" x14ac:dyDescent="0.25"/>
    <row r="438" s="16" customFormat="1" x14ac:dyDescent="0.25"/>
    <row r="439" s="16" customFormat="1" x14ac:dyDescent="0.25"/>
    <row r="440" s="16" customFormat="1" x14ac:dyDescent="0.25"/>
    <row r="441" s="16" customFormat="1" x14ac:dyDescent="0.25"/>
    <row r="442" s="16" customFormat="1" x14ac:dyDescent="0.25"/>
    <row r="443" s="16" customFormat="1" x14ac:dyDescent="0.25"/>
    <row r="444" s="16" customFormat="1" x14ac:dyDescent="0.25"/>
    <row r="445" s="16" customFormat="1" x14ac:dyDescent="0.25"/>
    <row r="446" s="16" customFormat="1" x14ac:dyDescent="0.25"/>
    <row r="447" s="16" customFormat="1" x14ac:dyDescent="0.25"/>
    <row r="448" s="16" customFormat="1" x14ac:dyDescent="0.25"/>
    <row r="449" s="16" customFormat="1" x14ac:dyDescent="0.25"/>
    <row r="450" s="16" customFormat="1" x14ac:dyDescent="0.25"/>
    <row r="451" s="16" customFormat="1" x14ac:dyDescent="0.25"/>
    <row r="452" s="16" customFormat="1" x14ac:dyDescent="0.25"/>
    <row r="453" s="16" customFormat="1" x14ac:dyDescent="0.25"/>
    <row r="454" s="16" customFormat="1" x14ac:dyDescent="0.25"/>
    <row r="455" s="16" customFormat="1" x14ac:dyDescent="0.25"/>
    <row r="456" s="16" customFormat="1" x14ac:dyDescent="0.25"/>
    <row r="457" s="16" customFormat="1" x14ac:dyDescent="0.25"/>
    <row r="458" s="16" customFormat="1" x14ac:dyDescent="0.25"/>
    <row r="459" s="16" customFormat="1" x14ac:dyDescent="0.25"/>
    <row r="460" s="16" customFormat="1" x14ac:dyDescent="0.25"/>
    <row r="461" s="16" customFormat="1" x14ac:dyDescent="0.25"/>
    <row r="462" s="16" customFormat="1" x14ac:dyDescent="0.25"/>
    <row r="463" s="16" customFormat="1" x14ac:dyDescent="0.25"/>
    <row r="464" s="16" customFormat="1" x14ac:dyDescent="0.25"/>
    <row r="465" s="16" customFormat="1" x14ac:dyDescent="0.25"/>
    <row r="466" s="16" customFormat="1" x14ac:dyDescent="0.25"/>
    <row r="467" s="16" customFormat="1" x14ac:dyDescent="0.25"/>
    <row r="468" s="16" customFormat="1" x14ac:dyDescent="0.25"/>
    <row r="469" s="16" customFormat="1" x14ac:dyDescent="0.25"/>
    <row r="470" s="16" customFormat="1" x14ac:dyDescent="0.25"/>
    <row r="471" s="16" customFormat="1" x14ac:dyDescent="0.25"/>
    <row r="472" s="16" customFormat="1" x14ac:dyDescent="0.25"/>
    <row r="473" s="16" customFormat="1" x14ac:dyDescent="0.25"/>
    <row r="474" s="16" customFormat="1" x14ac:dyDescent="0.25"/>
    <row r="475" s="16" customFormat="1" x14ac:dyDescent="0.25"/>
    <row r="476" s="16" customFormat="1" x14ac:dyDescent="0.25"/>
    <row r="477" s="16" customFormat="1" x14ac:dyDescent="0.25"/>
    <row r="478" s="16" customFormat="1" x14ac:dyDescent="0.25"/>
    <row r="479" s="16" customFormat="1" x14ac:dyDescent="0.25"/>
    <row r="480" s="16" customFormat="1" x14ac:dyDescent="0.25"/>
    <row r="481" s="16" customFormat="1" x14ac:dyDescent="0.25"/>
    <row r="482" s="16" customFormat="1" x14ac:dyDescent="0.25"/>
    <row r="483" s="16" customFormat="1" x14ac:dyDescent="0.25"/>
    <row r="484" s="16" customFormat="1" x14ac:dyDescent="0.25"/>
    <row r="485" s="16" customFormat="1" x14ac:dyDescent="0.25"/>
    <row r="486" s="16" customFormat="1" x14ac:dyDescent="0.25"/>
    <row r="487" s="16" customFormat="1" x14ac:dyDescent="0.25"/>
    <row r="488" s="16" customFormat="1" x14ac:dyDescent="0.25"/>
    <row r="489" s="16" customFormat="1" x14ac:dyDescent="0.25"/>
    <row r="490" s="16" customFormat="1" x14ac:dyDescent="0.25"/>
    <row r="491" s="16" customFormat="1" x14ac:dyDescent="0.25"/>
    <row r="492" s="16" customFormat="1" x14ac:dyDescent="0.25"/>
    <row r="493" s="16" customFormat="1" x14ac:dyDescent="0.25"/>
    <row r="494" s="16" customFormat="1" x14ac:dyDescent="0.25"/>
    <row r="495" s="16" customFormat="1" x14ac:dyDescent="0.25"/>
    <row r="496" s="16" customFormat="1" x14ac:dyDescent="0.25"/>
    <row r="497" s="16" customFormat="1" x14ac:dyDescent="0.25"/>
    <row r="498" s="16" customFormat="1" x14ac:dyDescent="0.25"/>
    <row r="499" s="16" customFormat="1" x14ac:dyDescent="0.25"/>
    <row r="500" s="16" customFormat="1" x14ac:dyDescent="0.25"/>
    <row r="501" s="16" customFormat="1" x14ac:dyDescent="0.25"/>
    <row r="502" s="16" customFormat="1" x14ac:dyDescent="0.25"/>
    <row r="503" s="16" customFormat="1" x14ac:dyDescent="0.25"/>
    <row r="504" s="16" customFormat="1" x14ac:dyDescent="0.25"/>
    <row r="505" s="16" customFormat="1" x14ac:dyDescent="0.25"/>
    <row r="506" s="16" customFormat="1" x14ac:dyDescent="0.25"/>
    <row r="507" s="16" customFormat="1" x14ac:dyDescent="0.25"/>
    <row r="508" s="16" customFormat="1" x14ac:dyDescent="0.25"/>
    <row r="509" s="16" customFormat="1" x14ac:dyDescent="0.25"/>
    <row r="510" s="16" customFormat="1" x14ac:dyDescent="0.25"/>
    <row r="511" s="16" customFormat="1" x14ac:dyDescent="0.25"/>
    <row r="512" s="16" customFormat="1" x14ac:dyDescent="0.25"/>
    <row r="513" s="16" customFormat="1" x14ac:dyDescent="0.25"/>
    <row r="514" s="16" customFormat="1" x14ac:dyDescent="0.25"/>
    <row r="515" s="16" customFormat="1" x14ac:dyDescent="0.25"/>
    <row r="516" s="16" customFormat="1" x14ac:dyDescent="0.25"/>
    <row r="517" s="16" customFormat="1" x14ac:dyDescent="0.25"/>
    <row r="518" s="16" customFormat="1" x14ac:dyDescent="0.25"/>
    <row r="519" s="16" customFormat="1" x14ac:dyDescent="0.25"/>
    <row r="520" s="16" customFormat="1" x14ac:dyDescent="0.25"/>
  </sheetData>
  <mergeCells count="9">
    <mergeCell ref="BJ3:BN3"/>
    <mergeCell ref="BP3:BT3"/>
    <mergeCell ref="BV3:BZ3"/>
    <mergeCell ref="BD3:BH3"/>
    <mergeCell ref="E3:P3"/>
    <mergeCell ref="R3:AC3"/>
    <mergeCell ref="AE3:AP3"/>
    <mergeCell ref="AR3:AV3"/>
    <mergeCell ref="AX3:BB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H363"/>
  <sheetViews>
    <sheetView workbookViewId="0">
      <pane xSplit="2" ySplit="4" topLeftCell="C121" activePane="bottomRight" state="frozen"/>
      <selection pane="topRight" activeCell="C1" sqref="C1"/>
      <selection pane="bottomLeft" activeCell="A5" sqref="A5"/>
      <selection pane="bottomRight" activeCell="C127" sqref="C127"/>
    </sheetView>
  </sheetViews>
  <sheetFormatPr defaultColWidth="10.25" defaultRowHeight="15.75" x14ac:dyDescent="0.25"/>
  <cols>
    <col min="1" max="1" width="3.375" style="7" customWidth="1"/>
    <col min="2" max="2" width="41.375" style="7" customWidth="1"/>
    <col min="3" max="3" width="10.25" style="7"/>
    <col min="4" max="4" width="9.75" style="7" customWidth="1"/>
    <col min="5" max="16" width="10.25" style="7"/>
    <col min="17" max="17" width="2" style="7" customWidth="1"/>
    <col min="18" max="29" width="10.25" style="7"/>
    <col min="30" max="30" width="1.625" style="7" customWidth="1"/>
    <col min="31" max="42" width="10.25" style="7"/>
    <col min="43" max="43" width="1.625" style="7" customWidth="1"/>
    <col min="44" max="48" width="10.25" style="7"/>
    <col min="49" max="49" width="1.625" style="7" customWidth="1"/>
    <col min="50" max="54" width="10.25" style="7"/>
    <col min="55" max="55" width="1.625" style="7" customWidth="1"/>
    <col min="56" max="16384" width="10.25" style="7"/>
  </cols>
  <sheetData>
    <row r="1" spans="1:60" customFormat="1" x14ac:dyDescent="0.25">
      <c r="B1" s="4" t="s">
        <v>36</v>
      </c>
    </row>
    <row r="2" spans="1:60" customFormat="1" x14ac:dyDescent="0.25">
      <c r="B2" s="4" t="s">
        <v>211</v>
      </c>
    </row>
    <row r="3" spans="1:60"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32" t="s">
        <v>12</v>
      </c>
      <c r="AS3" s="432"/>
      <c r="AT3" s="432"/>
      <c r="AU3" s="432"/>
      <c r="AV3" s="432"/>
      <c r="AX3" s="433" t="s">
        <v>13</v>
      </c>
      <c r="AY3" s="433"/>
      <c r="AZ3" s="433"/>
      <c r="BA3" s="433"/>
      <c r="BB3" s="433"/>
      <c r="BD3" s="431" t="s">
        <v>166</v>
      </c>
      <c r="BE3" s="431"/>
      <c r="BF3" s="431"/>
      <c r="BG3" s="431"/>
      <c r="BH3" s="431"/>
    </row>
    <row r="4" spans="1:60" customFormat="1" ht="16.5" thickBot="1" x14ac:dyDescent="0.3">
      <c r="A4" s="1"/>
      <c r="B4" s="3"/>
      <c r="C4" s="6"/>
      <c r="D4" s="6"/>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c r="AR4" s="10" t="s">
        <v>167</v>
      </c>
      <c r="AS4" s="10" t="s">
        <v>168</v>
      </c>
      <c r="AT4" s="10" t="s">
        <v>169</v>
      </c>
      <c r="AU4" s="10" t="s">
        <v>170</v>
      </c>
      <c r="AV4" s="10" t="s">
        <v>171</v>
      </c>
      <c r="AX4" s="10" t="s">
        <v>167</v>
      </c>
      <c r="AY4" s="10" t="s">
        <v>168</v>
      </c>
      <c r="AZ4" s="10" t="s">
        <v>169</v>
      </c>
      <c r="BA4" s="10" t="s">
        <v>170</v>
      </c>
      <c r="BB4" s="10" t="s">
        <v>171</v>
      </c>
      <c r="BD4" s="10" t="s">
        <v>167</v>
      </c>
      <c r="BE4" s="10" t="s">
        <v>168</v>
      </c>
      <c r="BF4" s="10" t="s">
        <v>169</v>
      </c>
      <c r="BG4" s="10" t="s">
        <v>170</v>
      </c>
      <c r="BH4" s="10" t="s">
        <v>171</v>
      </c>
    </row>
    <row r="5" spans="1:60" s="16" customFormat="1" x14ac:dyDescent="0.25">
      <c r="B5" s="16" t="s">
        <v>14</v>
      </c>
      <c r="AR5" s="16">
        <f t="shared" ref="AR5" si="0">SUM(E5:P5)</f>
        <v>0</v>
      </c>
      <c r="AS5" s="16">
        <f t="shared" ref="AS5" si="1">SUM(E5:G5)</f>
        <v>0</v>
      </c>
      <c r="AT5" s="16">
        <f t="shared" ref="AT5" si="2">SUM(H5:J5)</f>
        <v>0</v>
      </c>
      <c r="AU5" s="16">
        <f t="shared" ref="AU5" si="3">SUM(K5:M5)</f>
        <v>0</v>
      </c>
      <c r="AV5" s="16">
        <f t="shared" ref="AV5" si="4">SUM(N5:P5)</f>
        <v>0</v>
      </c>
      <c r="AX5" s="16">
        <f t="shared" ref="AX5" si="5">SUM(R5:AC5)</f>
        <v>0</v>
      </c>
      <c r="AY5" s="16">
        <f t="shared" ref="AY5" si="6">SUM(R5:T5)</f>
        <v>0</v>
      </c>
      <c r="AZ5" s="16">
        <f t="shared" ref="AZ5" si="7">SUM(U5:W5)</f>
        <v>0</v>
      </c>
      <c r="BA5" s="16">
        <f t="shared" ref="BA5" si="8">SUM(X5:Z5)</f>
        <v>0</v>
      </c>
      <c r="BB5" s="16">
        <f t="shared" ref="BB5" si="9">SUM(AA5:AC5)</f>
        <v>0</v>
      </c>
      <c r="BD5" s="16">
        <f t="shared" ref="BD5" si="10">SUM(AE5:AP5)</f>
        <v>0</v>
      </c>
      <c r="BE5" s="16">
        <f t="shared" ref="BE5" si="11">SUM(AE5:AG5)</f>
        <v>0</v>
      </c>
      <c r="BF5" s="16">
        <f t="shared" ref="BF5" si="12">SUM(AH5:AJ5)</f>
        <v>0</v>
      </c>
      <c r="BG5" s="16">
        <f t="shared" ref="BG5" si="13">SUM(AK5:AM5)</f>
        <v>0</v>
      </c>
      <c r="BH5" s="16">
        <f t="shared" ref="BH5" si="14">SUM(AN5:AP5)</f>
        <v>0</v>
      </c>
    </row>
    <row r="6" spans="1:60" s="16" customFormat="1" x14ac:dyDescent="0.25">
      <c r="B6" s="16" t="s">
        <v>15</v>
      </c>
      <c r="E6" s="16">
        <f>+E91</f>
        <v>32916.666666666672</v>
      </c>
      <c r="F6" s="16">
        <f t="shared" ref="F6:P6" si="15">+F91</f>
        <v>32916.666666666672</v>
      </c>
      <c r="G6" s="16">
        <f t="shared" si="15"/>
        <v>32916.666666666672</v>
      </c>
      <c r="H6" s="16">
        <f t="shared" si="15"/>
        <v>38750.000000000007</v>
      </c>
      <c r="I6" s="16">
        <f t="shared" si="15"/>
        <v>38750.000000000007</v>
      </c>
      <c r="J6" s="16">
        <f t="shared" si="15"/>
        <v>38750.000000000007</v>
      </c>
      <c r="K6" s="16">
        <f t="shared" si="15"/>
        <v>42500.000000000007</v>
      </c>
      <c r="L6" s="16">
        <f t="shared" si="15"/>
        <v>42500.000000000007</v>
      </c>
      <c r="M6" s="16">
        <f t="shared" si="15"/>
        <v>42500.000000000007</v>
      </c>
      <c r="N6" s="16">
        <f t="shared" si="15"/>
        <v>42500.000000000007</v>
      </c>
      <c r="O6" s="16">
        <f t="shared" si="15"/>
        <v>42500.000000000007</v>
      </c>
      <c r="P6" s="16">
        <f t="shared" si="15"/>
        <v>42500.000000000007</v>
      </c>
      <c r="R6" s="16">
        <f>+R91</f>
        <v>42500.000000000007</v>
      </c>
      <c r="S6" s="16">
        <f t="shared" ref="S6:AC6" si="16">+S91</f>
        <v>42500.000000000007</v>
      </c>
      <c r="T6" s="16">
        <f t="shared" si="16"/>
        <v>42500.000000000007</v>
      </c>
      <c r="U6" s="16">
        <f t="shared" si="16"/>
        <v>42500.000000000007</v>
      </c>
      <c r="V6" s="16">
        <f t="shared" si="16"/>
        <v>42500.000000000007</v>
      </c>
      <c r="W6" s="16">
        <f t="shared" si="16"/>
        <v>42500.000000000007</v>
      </c>
      <c r="X6" s="16">
        <f t="shared" si="16"/>
        <v>42500.000000000007</v>
      </c>
      <c r="Y6" s="16">
        <f t="shared" si="16"/>
        <v>42500.000000000007</v>
      </c>
      <c r="Z6" s="16">
        <f t="shared" si="16"/>
        <v>42500.000000000007</v>
      </c>
      <c r="AA6" s="16">
        <f t="shared" si="16"/>
        <v>42500.000000000007</v>
      </c>
      <c r="AB6" s="16">
        <f t="shared" si="16"/>
        <v>42500.000000000007</v>
      </c>
      <c r="AC6" s="16">
        <f t="shared" si="16"/>
        <v>42500.000000000007</v>
      </c>
      <c r="AE6" s="16">
        <f t="shared" ref="AE6:AP6" si="17">+AE91</f>
        <v>42500.000000000007</v>
      </c>
      <c r="AF6" s="16">
        <f t="shared" si="17"/>
        <v>42500.000000000007</v>
      </c>
      <c r="AG6" s="16">
        <f t="shared" si="17"/>
        <v>42500.000000000007</v>
      </c>
      <c r="AH6" s="16">
        <f t="shared" si="17"/>
        <v>42500.000000000007</v>
      </c>
      <c r="AI6" s="16">
        <f t="shared" si="17"/>
        <v>42500.000000000007</v>
      </c>
      <c r="AJ6" s="16">
        <f t="shared" si="17"/>
        <v>42500.000000000007</v>
      </c>
      <c r="AK6" s="16">
        <f t="shared" si="17"/>
        <v>42500.000000000007</v>
      </c>
      <c r="AL6" s="16">
        <f t="shared" si="17"/>
        <v>42500.000000000007</v>
      </c>
      <c r="AM6" s="16">
        <f t="shared" si="17"/>
        <v>42500.000000000007</v>
      </c>
      <c r="AN6" s="16">
        <f t="shared" si="17"/>
        <v>42500.000000000007</v>
      </c>
      <c r="AO6" s="16">
        <f t="shared" si="17"/>
        <v>42500.000000000007</v>
      </c>
      <c r="AP6" s="16">
        <f t="shared" si="17"/>
        <v>42500.000000000007</v>
      </c>
      <c r="AR6" s="16">
        <f>SUM(E6:P6)</f>
        <v>470000.00000000006</v>
      </c>
      <c r="AS6" s="16">
        <f>SUM(E6:G6)</f>
        <v>98750.000000000015</v>
      </c>
      <c r="AT6" s="16">
        <f>SUM(H6:J6)</f>
        <v>116250.00000000003</v>
      </c>
      <c r="AU6" s="16">
        <f>SUM(K6:M6)</f>
        <v>127500.00000000003</v>
      </c>
      <c r="AV6" s="16">
        <f>SUM(N6:P6)</f>
        <v>127500.00000000003</v>
      </c>
      <c r="AX6" s="16">
        <f>SUM(R6:AC6)</f>
        <v>510000.00000000006</v>
      </c>
      <c r="AY6" s="16">
        <f>SUM(R6:T6)</f>
        <v>127500.00000000003</v>
      </c>
      <c r="AZ6" s="16">
        <f>SUM(U6:W6)</f>
        <v>127500.00000000003</v>
      </c>
      <c r="BA6" s="16">
        <f>SUM(X6:Z6)</f>
        <v>127500.00000000003</v>
      </c>
      <c r="BB6" s="16">
        <f>SUM(AA6:AC6)</f>
        <v>127500.00000000003</v>
      </c>
      <c r="BD6" s="16">
        <f>SUM(AE6:AP6)</f>
        <v>510000.00000000006</v>
      </c>
      <c r="BE6" s="16">
        <f>SUM(AE6:AG6)</f>
        <v>127500.00000000003</v>
      </c>
      <c r="BF6" s="16">
        <f>SUM(AH6:AJ6)</f>
        <v>127500.00000000003</v>
      </c>
      <c r="BG6" s="16">
        <f>SUM(AK6:AM6)</f>
        <v>127500.00000000003</v>
      </c>
      <c r="BH6" s="16">
        <f>SUM(AN6:AP6)</f>
        <v>127500.00000000003</v>
      </c>
    </row>
    <row r="7" spans="1:60" s="16" customFormat="1" x14ac:dyDescent="0.25">
      <c r="B7" s="16" t="s">
        <v>16</v>
      </c>
      <c r="AR7" s="16">
        <f t="shared" ref="AR7" si="18">SUM(E7:P7)</f>
        <v>0</v>
      </c>
      <c r="AS7" s="16">
        <f t="shared" ref="AS7" si="19">SUM(E7:G7)</f>
        <v>0</v>
      </c>
      <c r="AT7" s="16">
        <f t="shared" ref="AT7" si="20">SUM(H7:J7)</f>
        <v>0</v>
      </c>
      <c r="AU7" s="16">
        <f t="shared" ref="AU7" si="21">SUM(K7:M7)</f>
        <v>0</v>
      </c>
      <c r="AV7" s="16">
        <f t="shared" ref="AV7" si="22">SUM(N7:P7)</f>
        <v>0</v>
      </c>
      <c r="AX7" s="16">
        <f t="shared" ref="AX7" si="23">SUM(R7:AC7)</f>
        <v>0</v>
      </c>
      <c r="AY7" s="16">
        <f t="shared" ref="AY7" si="24">SUM(R7:T7)</f>
        <v>0</v>
      </c>
      <c r="AZ7" s="16">
        <f t="shared" ref="AZ7" si="25">SUM(U7:W7)</f>
        <v>0</v>
      </c>
      <c r="BA7" s="16">
        <f t="shared" ref="BA7" si="26">SUM(X7:Z7)</f>
        <v>0</v>
      </c>
      <c r="BB7" s="16">
        <f t="shared" ref="BB7" si="27">SUM(AA7:AC7)</f>
        <v>0</v>
      </c>
      <c r="BD7" s="16">
        <f t="shared" ref="BD7" si="28">SUM(AE7:AP7)</f>
        <v>0</v>
      </c>
      <c r="BE7" s="16">
        <f t="shared" ref="BE7" si="29">SUM(AE7:AG7)</f>
        <v>0</v>
      </c>
      <c r="BF7" s="16">
        <f t="shared" ref="BF7" si="30">SUM(AH7:AJ7)</f>
        <v>0</v>
      </c>
      <c r="BG7" s="16">
        <f t="shared" ref="BG7" si="31">SUM(AK7:AM7)</f>
        <v>0</v>
      </c>
      <c r="BH7" s="16">
        <f t="shared" ref="BH7" si="32">SUM(AN7:AP7)</f>
        <v>0</v>
      </c>
    </row>
    <row r="8" spans="1:60" s="16" customFormat="1" x14ac:dyDescent="0.25"/>
    <row r="9" spans="1:60" s="16" customFormat="1" x14ac:dyDescent="0.25">
      <c r="B9" s="16" t="s">
        <v>17</v>
      </c>
      <c r="E9" s="17">
        <f>SUBTOTAL(9,E5:E8)</f>
        <v>32916.666666666672</v>
      </c>
      <c r="F9" s="17">
        <f t="shared" ref="F9:P9" si="33">SUBTOTAL(9,F5:F8)</f>
        <v>32916.666666666672</v>
      </c>
      <c r="G9" s="17">
        <f t="shared" si="33"/>
        <v>32916.666666666672</v>
      </c>
      <c r="H9" s="17">
        <f t="shared" si="33"/>
        <v>38750.000000000007</v>
      </c>
      <c r="I9" s="17">
        <f t="shared" si="33"/>
        <v>38750.000000000007</v>
      </c>
      <c r="J9" s="17">
        <f t="shared" si="33"/>
        <v>38750.000000000007</v>
      </c>
      <c r="K9" s="17">
        <f t="shared" si="33"/>
        <v>42500.000000000007</v>
      </c>
      <c r="L9" s="17">
        <f t="shared" si="33"/>
        <v>42500.000000000007</v>
      </c>
      <c r="M9" s="17">
        <f t="shared" si="33"/>
        <v>42500.000000000007</v>
      </c>
      <c r="N9" s="17">
        <f t="shared" si="33"/>
        <v>42500.000000000007</v>
      </c>
      <c r="O9" s="17">
        <f t="shared" si="33"/>
        <v>42500.000000000007</v>
      </c>
      <c r="P9" s="17">
        <f t="shared" si="33"/>
        <v>42500.000000000007</v>
      </c>
      <c r="R9" s="17">
        <f>SUBTOTAL(9,R5:R8)</f>
        <v>42500.000000000007</v>
      </c>
      <c r="S9" s="17">
        <f t="shared" ref="S9" si="34">SUBTOTAL(9,S5:S8)</f>
        <v>42500.000000000007</v>
      </c>
      <c r="T9" s="17">
        <f t="shared" ref="T9" si="35">SUBTOTAL(9,T5:T8)</f>
        <v>42500.000000000007</v>
      </c>
      <c r="U9" s="17">
        <f t="shared" ref="U9" si="36">SUBTOTAL(9,U5:U8)</f>
        <v>42500.000000000007</v>
      </c>
      <c r="V9" s="17">
        <f t="shared" ref="V9" si="37">SUBTOTAL(9,V5:V8)</f>
        <v>42500.000000000007</v>
      </c>
      <c r="W9" s="17">
        <f t="shared" ref="W9" si="38">SUBTOTAL(9,W5:W8)</f>
        <v>42500.000000000007</v>
      </c>
      <c r="X9" s="17">
        <f t="shared" ref="X9" si="39">SUBTOTAL(9,X5:X8)</f>
        <v>42500.000000000007</v>
      </c>
      <c r="Y9" s="17">
        <f t="shared" ref="Y9" si="40">SUBTOTAL(9,Y5:Y8)</f>
        <v>42500.000000000007</v>
      </c>
      <c r="Z9" s="17">
        <f t="shared" ref="Z9" si="41">SUBTOTAL(9,Z5:Z8)</f>
        <v>42500.000000000007</v>
      </c>
      <c r="AA9" s="17">
        <f t="shared" ref="AA9" si="42">SUBTOTAL(9,AA5:AA8)</f>
        <v>42500.000000000007</v>
      </c>
      <c r="AB9" s="17">
        <f t="shared" ref="AB9" si="43">SUBTOTAL(9,AB5:AB8)</f>
        <v>42500.000000000007</v>
      </c>
      <c r="AC9" s="17">
        <f t="shared" ref="AC9:AP9" si="44">SUBTOTAL(9,AC5:AC8)</f>
        <v>42500.000000000007</v>
      </c>
      <c r="AE9" s="17">
        <f t="shared" si="44"/>
        <v>42500.000000000007</v>
      </c>
      <c r="AF9" s="17">
        <f t="shared" si="44"/>
        <v>42500.000000000007</v>
      </c>
      <c r="AG9" s="17">
        <f t="shared" si="44"/>
        <v>42500.000000000007</v>
      </c>
      <c r="AH9" s="17">
        <f t="shared" si="44"/>
        <v>42500.000000000007</v>
      </c>
      <c r="AI9" s="17">
        <f t="shared" si="44"/>
        <v>42500.000000000007</v>
      </c>
      <c r="AJ9" s="17">
        <f t="shared" si="44"/>
        <v>42500.000000000007</v>
      </c>
      <c r="AK9" s="17">
        <f t="shared" si="44"/>
        <v>42500.000000000007</v>
      </c>
      <c r="AL9" s="17">
        <f t="shared" si="44"/>
        <v>42500.000000000007</v>
      </c>
      <c r="AM9" s="17">
        <f t="shared" si="44"/>
        <v>42500.000000000007</v>
      </c>
      <c r="AN9" s="17">
        <f t="shared" si="44"/>
        <v>42500.000000000007</v>
      </c>
      <c r="AO9" s="17">
        <f t="shared" si="44"/>
        <v>42500.000000000007</v>
      </c>
      <c r="AP9" s="17">
        <f t="shared" si="44"/>
        <v>42500.000000000007</v>
      </c>
      <c r="AR9" s="17">
        <f t="shared" ref="AR9:AV9" si="45">SUBTOTAL(9,AR5:AR8)</f>
        <v>470000.00000000006</v>
      </c>
      <c r="AS9" s="17">
        <f t="shared" si="45"/>
        <v>98750.000000000015</v>
      </c>
      <c r="AT9" s="17">
        <f t="shared" si="45"/>
        <v>116250.00000000003</v>
      </c>
      <c r="AU9" s="17">
        <f t="shared" si="45"/>
        <v>127500.00000000003</v>
      </c>
      <c r="AV9" s="17">
        <f t="shared" si="45"/>
        <v>127500.00000000003</v>
      </c>
      <c r="AX9" s="17">
        <f t="shared" ref="AX9:BB9" si="46">SUBTOTAL(9,AX5:AX8)</f>
        <v>510000.00000000006</v>
      </c>
      <c r="AY9" s="17">
        <f t="shared" si="46"/>
        <v>127500.00000000003</v>
      </c>
      <c r="AZ9" s="17">
        <f t="shared" si="46"/>
        <v>127500.00000000003</v>
      </c>
      <c r="BA9" s="17">
        <f t="shared" si="46"/>
        <v>127500.00000000003</v>
      </c>
      <c r="BB9" s="17">
        <f t="shared" si="46"/>
        <v>127500.00000000003</v>
      </c>
      <c r="BD9" s="17">
        <f t="shared" ref="BD9:BH9" si="47">SUBTOTAL(9,BD5:BD8)</f>
        <v>510000.00000000006</v>
      </c>
      <c r="BE9" s="17">
        <f t="shared" si="47"/>
        <v>127500.00000000003</v>
      </c>
      <c r="BF9" s="17">
        <f t="shared" si="47"/>
        <v>127500.00000000003</v>
      </c>
      <c r="BG9" s="17">
        <f t="shared" si="47"/>
        <v>127500.00000000003</v>
      </c>
      <c r="BH9" s="17">
        <f t="shared" si="47"/>
        <v>127500.00000000003</v>
      </c>
    </row>
    <row r="10" spans="1:60" s="16" customFormat="1" x14ac:dyDescent="0.25"/>
    <row r="11" spans="1:60" s="16" customFormat="1" x14ac:dyDescent="0.25">
      <c r="B11" s="16" t="s">
        <v>19</v>
      </c>
      <c r="C11" s="20">
        <f>+'G&amp;A'!C11</f>
        <v>0.04</v>
      </c>
      <c r="E11" s="16">
        <f>(E$5+E$6)*$C11</f>
        <v>1316.666666666667</v>
      </c>
      <c r="F11" s="16">
        <f t="shared" ref="F11:P15" si="48">(F$5+F$6)*$C11</f>
        <v>1316.666666666667</v>
      </c>
      <c r="G11" s="16">
        <f t="shared" si="48"/>
        <v>1316.666666666667</v>
      </c>
      <c r="H11" s="16">
        <f t="shared" si="48"/>
        <v>1550.0000000000002</v>
      </c>
      <c r="I11" s="16">
        <f t="shared" si="48"/>
        <v>1550.0000000000002</v>
      </c>
      <c r="J11" s="16">
        <f t="shared" si="48"/>
        <v>1550.0000000000002</v>
      </c>
      <c r="K11" s="16">
        <f t="shared" si="48"/>
        <v>1700.0000000000002</v>
      </c>
      <c r="L11" s="16">
        <f t="shared" si="48"/>
        <v>1700.0000000000002</v>
      </c>
      <c r="M11" s="16">
        <f t="shared" si="48"/>
        <v>1700.0000000000002</v>
      </c>
      <c r="N11" s="16">
        <f t="shared" si="48"/>
        <v>1700.0000000000002</v>
      </c>
      <c r="O11" s="16">
        <f t="shared" si="48"/>
        <v>1700.0000000000002</v>
      </c>
      <c r="P11" s="16">
        <f t="shared" si="48"/>
        <v>1700.0000000000002</v>
      </c>
      <c r="R11" s="16">
        <f>(R$5+R$6)*$C11</f>
        <v>1700.0000000000002</v>
      </c>
      <c r="S11" s="16">
        <f t="shared" ref="S11:AH15" si="49">(S$5+S$6)*$C11</f>
        <v>1700.0000000000002</v>
      </c>
      <c r="T11" s="16">
        <f t="shared" si="49"/>
        <v>1700.0000000000002</v>
      </c>
      <c r="U11" s="16">
        <f t="shared" si="49"/>
        <v>1700.0000000000002</v>
      </c>
      <c r="V11" s="16">
        <f t="shared" si="49"/>
        <v>1700.0000000000002</v>
      </c>
      <c r="W11" s="16">
        <f t="shared" si="49"/>
        <v>1700.0000000000002</v>
      </c>
      <c r="X11" s="16">
        <f t="shared" si="49"/>
        <v>1700.0000000000002</v>
      </c>
      <c r="Y11" s="16">
        <f t="shared" si="49"/>
        <v>1700.0000000000002</v>
      </c>
      <c r="Z11" s="16">
        <f t="shared" si="49"/>
        <v>1700.0000000000002</v>
      </c>
      <c r="AA11" s="16">
        <f t="shared" si="49"/>
        <v>1700.0000000000002</v>
      </c>
      <c r="AB11" s="16">
        <f t="shared" si="49"/>
        <v>1700.0000000000002</v>
      </c>
      <c r="AC11" s="16">
        <f t="shared" si="49"/>
        <v>1700.0000000000002</v>
      </c>
      <c r="AE11" s="16">
        <f t="shared" si="49"/>
        <v>1700.0000000000002</v>
      </c>
      <c r="AF11" s="16">
        <f t="shared" si="49"/>
        <v>1700.0000000000002</v>
      </c>
      <c r="AG11" s="16">
        <f t="shared" si="49"/>
        <v>1700.0000000000002</v>
      </c>
      <c r="AH11" s="16">
        <f t="shared" si="49"/>
        <v>1700.0000000000002</v>
      </c>
      <c r="AI11" s="16">
        <f t="shared" ref="AE11:AP15" si="50">(AI$5+AI$6)*$C11</f>
        <v>1700.0000000000002</v>
      </c>
      <c r="AJ11" s="16">
        <f t="shared" si="50"/>
        <v>1700.0000000000002</v>
      </c>
      <c r="AK11" s="16">
        <f t="shared" si="50"/>
        <v>1700.0000000000002</v>
      </c>
      <c r="AL11" s="16">
        <f t="shared" si="50"/>
        <v>1700.0000000000002</v>
      </c>
      <c r="AM11" s="16">
        <f t="shared" si="50"/>
        <v>1700.0000000000002</v>
      </c>
      <c r="AN11" s="16">
        <f t="shared" si="50"/>
        <v>1700.0000000000002</v>
      </c>
      <c r="AO11" s="16">
        <f t="shared" si="50"/>
        <v>1700.0000000000002</v>
      </c>
      <c r="AP11" s="16">
        <f t="shared" si="50"/>
        <v>1700.0000000000002</v>
      </c>
      <c r="AR11" s="16">
        <f t="shared" ref="AR11:AR15" si="51">SUM(E11:P11)</f>
        <v>18800.000000000004</v>
      </c>
      <c r="AS11" s="16">
        <f t="shared" ref="AS11:AS15" si="52">SUM(E11:G11)</f>
        <v>3950.0000000000009</v>
      </c>
      <c r="AT11" s="16">
        <f t="shared" ref="AT11:AT15" si="53">SUM(H11:J11)</f>
        <v>4650.0000000000009</v>
      </c>
      <c r="AU11" s="16">
        <f t="shared" ref="AU11:AU15" si="54">SUM(K11:M11)</f>
        <v>5100.0000000000009</v>
      </c>
      <c r="AV11" s="16">
        <f t="shared" ref="AV11:AV15" si="55">SUM(N11:P11)</f>
        <v>5100.0000000000009</v>
      </c>
      <c r="AX11" s="16">
        <f t="shared" ref="AX11:AX15" si="56">SUM(R11:AC11)</f>
        <v>20400.000000000004</v>
      </c>
      <c r="AY11" s="16">
        <f t="shared" ref="AY11:AY15" si="57">SUM(R11:T11)</f>
        <v>5100.0000000000009</v>
      </c>
      <c r="AZ11" s="16">
        <f t="shared" ref="AZ11:AZ15" si="58">SUM(U11:W11)</f>
        <v>5100.0000000000009</v>
      </c>
      <c r="BA11" s="16">
        <f t="shared" ref="BA11:BA15" si="59">SUM(X11:Z11)</f>
        <v>5100.0000000000009</v>
      </c>
      <c r="BB11" s="16">
        <f t="shared" ref="BB11:BB15" si="60">SUM(AA11:AC11)</f>
        <v>5100.0000000000009</v>
      </c>
      <c r="BD11" s="16">
        <f t="shared" ref="BD11:BD15" si="61">SUM(AE11:AP11)</f>
        <v>20400.000000000004</v>
      </c>
      <c r="BE11" s="16">
        <f t="shared" ref="BE11:BE15" si="62">SUM(AE11:AG11)</f>
        <v>5100.0000000000009</v>
      </c>
      <c r="BF11" s="16">
        <f t="shared" ref="BF11:BF15" si="63">SUM(AH11:AJ11)</f>
        <v>5100.0000000000009</v>
      </c>
      <c r="BG11" s="16">
        <f t="shared" ref="BG11:BG15" si="64">SUM(AK11:AM11)</f>
        <v>5100.0000000000009</v>
      </c>
      <c r="BH11" s="16">
        <f t="shared" ref="BH11:BH15" si="65">SUM(AN11:AP11)</f>
        <v>5100.0000000000009</v>
      </c>
    </row>
    <row r="12" spans="1:60" s="16" customFormat="1" x14ac:dyDescent="0.25">
      <c r="B12" s="16" t="s">
        <v>18</v>
      </c>
      <c r="C12" s="20">
        <f>+'G&amp;A'!C12</f>
        <v>7.8E-2</v>
      </c>
      <c r="E12" s="16">
        <f t="shared" ref="E12:R15" si="66">(E$5+E$6)*$C12</f>
        <v>2567.5000000000005</v>
      </c>
      <c r="F12" s="16">
        <f t="shared" si="48"/>
        <v>2567.5000000000005</v>
      </c>
      <c r="G12" s="16">
        <f t="shared" si="48"/>
        <v>2567.5000000000005</v>
      </c>
      <c r="H12" s="16">
        <f t="shared" si="48"/>
        <v>3022.5000000000005</v>
      </c>
      <c r="I12" s="16">
        <f t="shared" si="48"/>
        <v>3022.5000000000005</v>
      </c>
      <c r="J12" s="16">
        <f t="shared" si="48"/>
        <v>3022.5000000000005</v>
      </c>
      <c r="K12" s="16">
        <f t="shared" si="48"/>
        <v>3315.0000000000005</v>
      </c>
      <c r="L12" s="16">
        <f t="shared" si="48"/>
        <v>3315.0000000000005</v>
      </c>
      <c r="M12" s="16">
        <f t="shared" si="48"/>
        <v>3315.0000000000005</v>
      </c>
      <c r="N12" s="16">
        <f t="shared" si="48"/>
        <v>3315.0000000000005</v>
      </c>
      <c r="O12" s="16">
        <f t="shared" si="48"/>
        <v>3315.0000000000005</v>
      </c>
      <c r="P12" s="16">
        <f t="shared" si="48"/>
        <v>3315.0000000000005</v>
      </c>
      <c r="R12" s="16">
        <f t="shared" si="66"/>
        <v>3315.0000000000005</v>
      </c>
      <c r="S12" s="16">
        <f t="shared" si="49"/>
        <v>3315.0000000000005</v>
      </c>
      <c r="T12" s="16">
        <f t="shared" si="49"/>
        <v>3315.0000000000005</v>
      </c>
      <c r="U12" s="16">
        <f t="shared" si="49"/>
        <v>3315.0000000000005</v>
      </c>
      <c r="V12" s="16">
        <f t="shared" si="49"/>
        <v>3315.0000000000005</v>
      </c>
      <c r="W12" s="16">
        <f t="shared" si="49"/>
        <v>3315.0000000000005</v>
      </c>
      <c r="X12" s="16">
        <f t="shared" si="49"/>
        <v>3315.0000000000005</v>
      </c>
      <c r="Y12" s="16">
        <f t="shared" si="49"/>
        <v>3315.0000000000005</v>
      </c>
      <c r="Z12" s="16">
        <f t="shared" si="49"/>
        <v>3315.0000000000005</v>
      </c>
      <c r="AA12" s="16">
        <f t="shared" si="49"/>
        <v>3315.0000000000005</v>
      </c>
      <c r="AB12" s="16">
        <f t="shared" si="49"/>
        <v>3315.0000000000005</v>
      </c>
      <c r="AC12" s="16">
        <f t="shared" si="49"/>
        <v>3315.0000000000005</v>
      </c>
      <c r="AE12" s="16">
        <f t="shared" si="50"/>
        <v>3315.0000000000005</v>
      </c>
      <c r="AF12" s="16">
        <f t="shared" si="50"/>
        <v>3315.0000000000005</v>
      </c>
      <c r="AG12" s="16">
        <f t="shared" si="50"/>
        <v>3315.0000000000005</v>
      </c>
      <c r="AH12" s="16">
        <f t="shared" si="50"/>
        <v>3315.0000000000005</v>
      </c>
      <c r="AI12" s="16">
        <f t="shared" si="50"/>
        <v>3315.0000000000005</v>
      </c>
      <c r="AJ12" s="16">
        <f t="shared" si="50"/>
        <v>3315.0000000000005</v>
      </c>
      <c r="AK12" s="16">
        <f t="shared" si="50"/>
        <v>3315.0000000000005</v>
      </c>
      <c r="AL12" s="16">
        <f t="shared" si="50"/>
        <v>3315.0000000000005</v>
      </c>
      <c r="AM12" s="16">
        <f t="shared" si="50"/>
        <v>3315.0000000000005</v>
      </c>
      <c r="AN12" s="16">
        <f t="shared" si="50"/>
        <v>3315.0000000000005</v>
      </c>
      <c r="AO12" s="16">
        <f t="shared" si="50"/>
        <v>3315.0000000000005</v>
      </c>
      <c r="AP12" s="16">
        <f t="shared" si="50"/>
        <v>3315.0000000000005</v>
      </c>
      <c r="AR12" s="16">
        <f t="shared" si="51"/>
        <v>36660.000000000007</v>
      </c>
      <c r="AS12" s="16">
        <f t="shared" si="52"/>
        <v>7702.5000000000018</v>
      </c>
      <c r="AT12" s="16">
        <f t="shared" si="53"/>
        <v>9067.5000000000018</v>
      </c>
      <c r="AU12" s="16">
        <f t="shared" si="54"/>
        <v>9945.0000000000018</v>
      </c>
      <c r="AV12" s="16">
        <f t="shared" si="55"/>
        <v>9945.0000000000018</v>
      </c>
      <c r="AX12" s="16">
        <f t="shared" si="56"/>
        <v>39780.000000000007</v>
      </c>
      <c r="AY12" s="16">
        <f t="shared" si="57"/>
        <v>9945.0000000000018</v>
      </c>
      <c r="AZ12" s="16">
        <f t="shared" si="58"/>
        <v>9945.0000000000018</v>
      </c>
      <c r="BA12" s="16">
        <f t="shared" si="59"/>
        <v>9945.0000000000018</v>
      </c>
      <c r="BB12" s="16">
        <f t="shared" si="60"/>
        <v>9945.0000000000018</v>
      </c>
      <c r="BD12" s="16">
        <f t="shared" si="61"/>
        <v>39780.000000000007</v>
      </c>
      <c r="BE12" s="16">
        <f t="shared" si="62"/>
        <v>9945.0000000000018</v>
      </c>
      <c r="BF12" s="16">
        <f t="shared" si="63"/>
        <v>9945.0000000000018</v>
      </c>
      <c r="BG12" s="16">
        <f t="shared" si="64"/>
        <v>9945.0000000000018</v>
      </c>
      <c r="BH12" s="16">
        <f t="shared" si="65"/>
        <v>9945.0000000000018</v>
      </c>
    </row>
    <row r="13" spans="1:60" s="16" customFormat="1" x14ac:dyDescent="0.25">
      <c r="B13" s="16" t="s">
        <v>20</v>
      </c>
      <c r="C13" s="20">
        <f>+'G&amp;A'!C13</f>
        <v>0.12</v>
      </c>
      <c r="E13" s="16">
        <f t="shared" si="66"/>
        <v>3950.0000000000005</v>
      </c>
      <c r="F13" s="16">
        <f t="shared" si="48"/>
        <v>3950.0000000000005</v>
      </c>
      <c r="G13" s="16">
        <f t="shared" si="48"/>
        <v>3950.0000000000005</v>
      </c>
      <c r="H13" s="16">
        <f t="shared" si="48"/>
        <v>4650.0000000000009</v>
      </c>
      <c r="I13" s="16">
        <f t="shared" si="48"/>
        <v>4650.0000000000009</v>
      </c>
      <c r="J13" s="16">
        <f t="shared" si="48"/>
        <v>4650.0000000000009</v>
      </c>
      <c r="K13" s="16">
        <f t="shared" si="48"/>
        <v>5100.0000000000009</v>
      </c>
      <c r="L13" s="16">
        <f t="shared" si="48"/>
        <v>5100.0000000000009</v>
      </c>
      <c r="M13" s="16">
        <f t="shared" si="48"/>
        <v>5100.0000000000009</v>
      </c>
      <c r="N13" s="16">
        <f t="shared" si="48"/>
        <v>5100.0000000000009</v>
      </c>
      <c r="O13" s="16">
        <f t="shared" si="48"/>
        <v>5100.0000000000009</v>
      </c>
      <c r="P13" s="16">
        <f t="shared" si="48"/>
        <v>5100.0000000000009</v>
      </c>
      <c r="R13" s="16">
        <f t="shared" si="66"/>
        <v>5100.0000000000009</v>
      </c>
      <c r="S13" s="16">
        <f t="shared" si="49"/>
        <v>5100.0000000000009</v>
      </c>
      <c r="T13" s="16">
        <f t="shared" si="49"/>
        <v>5100.0000000000009</v>
      </c>
      <c r="U13" s="16">
        <f t="shared" si="49"/>
        <v>5100.0000000000009</v>
      </c>
      <c r="V13" s="16">
        <f t="shared" si="49"/>
        <v>5100.0000000000009</v>
      </c>
      <c r="W13" s="16">
        <f t="shared" si="49"/>
        <v>5100.0000000000009</v>
      </c>
      <c r="X13" s="16">
        <f t="shared" si="49"/>
        <v>5100.0000000000009</v>
      </c>
      <c r="Y13" s="16">
        <f t="shared" si="49"/>
        <v>5100.0000000000009</v>
      </c>
      <c r="Z13" s="16">
        <f t="shared" si="49"/>
        <v>5100.0000000000009</v>
      </c>
      <c r="AA13" s="16">
        <f t="shared" si="49"/>
        <v>5100.0000000000009</v>
      </c>
      <c r="AB13" s="16">
        <f t="shared" si="49"/>
        <v>5100.0000000000009</v>
      </c>
      <c r="AC13" s="16">
        <f t="shared" si="49"/>
        <v>5100.0000000000009</v>
      </c>
      <c r="AE13" s="16">
        <f t="shared" si="50"/>
        <v>5100.0000000000009</v>
      </c>
      <c r="AF13" s="16">
        <f t="shared" si="50"/>
        <v>5100.0000000000009</v>
      </c>
      <c r="AG13" s="16">
        <f t="shared" si="50"/>
        <v>5100.0000000000009</v>
      </c>
      <c r="AH13" s="16">
        <f t="shared" si="50"/>
        <v>5100.0000000000009</v>
      </c>
      <c r="AI13" s="16">
        <f t="shared" si="50"/>
        <v>5100.0000000000009</v>
      </c>
      <c r="AJ13" s="16">
        <f t="shared" si="50"/>
        <v>5100.0000000000009</v>
      </c>
      <c r="AK13" s="16">
        <f t="shared" si="50"/>
        <v>5100.0000000000009</v>
      </c>
      <c r="AL13" s="16">
        <f t="shared" si="50"/>
        <v>5100.0000000000009</v>
      </c>
      <c r="AM13" s="16">
        <f t="shared" si="50"/>
        <v>5100.0000000000009</v>
      </c>
      <c r="AN13" s="16">
        <f t="shared" si="50"/>
        <v>5100.0000000000009</v>
      </c>
      <c r="AO13" s="16">
        <f t="shared" si="50"/>
        <v>5100.0000000000009</v>
      </c>
      <c r="AP13" s="16">
        <f t="shared" si="50"/>
        <v>5100.0000000000009</v>
      </c>
      <c r="AR13" s="16">
        <f t="shared" si="51"/>
        <v>56400.000000000007</v>
      </c>
      <c r="AS13" s="16">
        <f t="shared" si="52"/>
        <v>11850.000000000002</v>
      </c>
      <c r="AT13" s="16">
        <f t="shared" si="53"/>
        <v>13950.000000000004</v>
      </c>
      <c r="AU13" s="16">
        <f t="shared" si="54"/>
        <v>15300.000000000004</v>
      </c>
      <c r="AV13" s="16">
        <f t="shared" si="55"/>
        <v>15300.000000000004</v>
      </c>
      <c r="AX13" s="16">
        <f t="shared" si="56"/>
        <v>61200.000000000007</v>
      </c>
      <c r="AY13" s="16">
        <f t="shared" si="57"/>
        <v>15300.000000000004</v>
      </c>
      <c r="AZ13" s="16">
        <f t="shared" si="58"/>
        <v>15300.000000000004</v>
      </c>
      <c r="BA13" s="16">
        <f t="shared" si="59"/>
        <v>15300.000000000004</v>
      </c>
      <c r="BB13" s="16">
        <f t="shared" si="60"/>
        <v>15300.000000000004</v>
      </c>
      <c r="BD13" s="16">
        <f t="shared" si="61"/>
        <v>61200.000000000007</v>
      </c>
      <c r="BE13" s="16">
        <f t="shared" si="62"/>
        <v>15300.000000000004</v>
      </c>
      <c r="BF13" s="16">
        <f t="shared" si="63"/>
        <v>15300.000000000004</v>
      </c>
      <c r="BG13" s="16">
        <f t="shared" si="64"/>
        <v>15300.000000000004</v>
      </c>
      <c r="BH13" s="16">
        <f t="shared" si="65"/>
        <v>15300.000000000004</v>
      </c>
    </row>
    <row r="14" spans="1:60" s="16" customFormat="1" x14ac:dyDescent="0.25">
      <c r="B14" s="16" t="s">
        <v>21</v>
      </c>
      <c r="C14" s="20">
        <f>+'G&amp;A'!C14</f>
        <v>3.5000000000000003E-2</v>
      </c>
      <c r="E14" s="16">
        <f t="shared" si="66"/>
        <v>1152.0833333333337</v>
      </c>
      <c r="F14" s="16">
        <f t="shared" si="48"/>
        <v>1152.0833333333337</v>
      </c>
      <c r="G14" s="16">
        <f t="shared" si="48"/>
        <v>1152.0833333333337</v>
      </c>
      <c r="H14" s="16">
        <f t="shared" si="48"/>
        <v>1356.2500000000005</v>
      </c>
      <c r="I14" s="16">
        <f t="shared" si="48"/>
        <v>1356.2500000000005</v>
      </c>
      <c r="J14" s="16">
        <f t="shared" si="48"/>
        <v>1356.2500000000005</v>
      </c>
      <c r="K14" s="16">
        <f t="shared" si="48"/>
        <v>1487.5000000000005</v>
      </c>
      <c r="L14" s="16">
        <f t="shared" si="48"/>
        <v>1487.5000000000005</v>
      </c>
      <c r="M14" s="16">
        <f t="shared" si="48"/>
        <v>1487.5000000000005</v>
      </c>
      <c r="N14" s="16">
        <f t="shared" si="48"/>
        <v>1487.5000000000005</v>
      </c>
      <c r="O14" s="16">
        <f t="shared" si="48"/>
        <v>1487.5000000000005</v>
      </c>
      <c r="P14" s="16">
        <f t="shared" si="48"/>
        <v>1487.5000000000005</v>
      </c>
      <c r="R14" s="16">
        <f t="shared" si="66"/>
        <v>1487.5000000000005</v>
      </c>
      <c r="S14" s="16">
        <f t="shared" si="49"/>
        <v>1487.5000000000005</v>
      </c>
      <c r="T14" s="16">
        <f t="shared" si="49"/>
        <v>1487.5000000000005</v>
      </c>
      <c r="U14" s="16">
        <f t="shared" si="49"/>
        <v>1487.5000000000005</v>
      </c>
      <c r="V14" s="16">
        <f t="shared" si="49"/>
        <v>1487.5000000000005</v>
      </c>
      <c r="W14" s="16">
        <f t="shared" si="49"/>
        <v>1487.5000000000005</v>
      </c>
      <c r="X14" s="16">
        <f t="shared" si="49"/>
        <v>1487.5000000000005</v>
      </c>
      <c r="Y14" s="16">
        <f t="shared" si="49"/>
        <v>1487.5000000000005</v>
      </c>
      <c r="Z14" s="16">
        <f t="shared" si="49"/>
        <v>1487.5000000000005</v>
      </c>
      <c r="AA14" s="16">
        <f t="shared" si="49"/>
        <v>1487.5000000000005</v>
      </c>
      <c r="AB14" s="16">
        <f t="shared" si="49"/>
        <v>1487.5000000000005</v>
      </c>
      <c r="AC14" s="16">
        <f t="shared" si="49"/>
        <v>1487.5000000000005</v>
      </c>
      <c r="AE14" s="16">
        <f t="shared" si="50"/>
        <v>1487.5000000000005</v>
      </c>
      <c r="AF14" s="16">
        <f t="shared" si="50"/>
        <v>1487.5000000000005</v>
      </c>
      <c r="AG14" s="16">
        <f t="shared" si="50"/>
        <v>1487.5000000000005</v>
      </c>
      <c r="AH14" s="16">
        <f t="shared" si="50"/>
        <v>1487.5000000000005</v>
      </c>
      <c r="AI14" s="16">
        <f t="shared" si="50"/>
        <v>1487.5000000000005</v>
      </c>
      <c r="AJ14" s="16">
        <f t="shared" si="50"/>
        <v>1487.5000000000005</v>
      </c>
      <c r="AK14" s="16">
        <f t="shared" si="50"/>
        <v>1487.5000000000005</v>
      </c>
      <c r="AL14" s="16">
        <f t="shared" si="50"/>
        <v>1487.5000000000005</v>
      </c>
      <c r="AM14" s="16">
        <f t="shared" si="50"/>
        <v>1487.5000000000005</v>
      </c>
      <c r="AN14" s="16">
        <f t="shared" si="50"/>
        <v>1487.5000000000005</v>
      </c>
      <c r="AO14" s="16">
        <f t="shared" si="50"/>
        <v>1487.5000000000005</v>
      </c>
      <c r="AP14" s="16">
        <f t="shared" si="50"/>
        <v>1487.5000000000005</v>
      </c>
      <c r="AR14" s="16">
        <f t="shared" si="51"/>
        <v>16450.000000000004</v>
      </c>
      <c r="AS14" s="16">
        <f t="shared" si="52"/>
        <v>3456.2500000000009</v>
      </c>
      <c r="AT14" s="16">
        <f t="shared" si="53"/>
        <v>4068.7500000000014</v>
      </c>
      <c r="AU14" s="16">
        <f t="shared" si="54"/>
        <v>4462.5000000000018</v>
      </c>
      <c r="AV14" s="16">
        <f t="shared" si="55"/>
        <v>4462.5000000000018</v>
      </c>
      <c r="AX14" s="16">
        <f t="shared" si="56"/>
        <v>17850.000000000004</v>
      </c>
      <c r="AY14" s="16">
        <f t="shared" si="57"/>
        <v>4462.5000000000018</v>
      </c>
      <c r="AZ14" s="16">
        <f t="shared" si="58"/>
        <v>4462.5000000000018</v>
      </c>
      <c r="BA14" s="16">
        <f t="shared" si="59"/>
        <v>4462.5000000000018</v>
      </c>
      <c r="BB14" s="16">
        <f t="shared" si="60"/>
        <v>4462.5000000000018</v>
      </c>
      <c r="BD14" s="16">
        <f t="shared" si="61"/>
        <v>17850.000000000004</v>
      </c>
      <c r="BE14" s="16">
        <f t="shared" si="62"/>
        <v>4462.5000000000018</v>
      </c>
      <c r="BF14" s="16">
        <f t="shared" si="63"/>
        <v>4462.5000000000018</v>
      </c>
      <c r="BG14" s="16">
        <f t="shared" si="64"/>
        <v>4462.5000000000018</v>
      </c>
      <c r="BH14" s="16">
        <f t="shared" si="65"/>
        <v>4462.5000000000018</v>
      </c>
    </row>
    <row r="15" spans="1:60" s="16" customFormat="1" x14ac:dyDescent="0.25">
      <c r="B15" s="16" t="s">
        <v>22</v>
      </c>
      <c r="C15" s="20">
        <f>+'G&amp;A'!C15</f>
        <v>0</v>
      </c>
      <c r="E15" s="16">
        <f t="shared" si="66"/>
        <v>0</v>
      </c>
      <c r="F15" s="16">
        <f t="shared" si="48"/>
        <v>0</v>
      </c>
      <c r="G15" s="16">
        <f t="shared" si="48"/>
        <v>0</v>
      </c>
      <c r="H15" s="16">
        <f t="shared" si="48"/>
        <v>0</v>
      </c>
      <c r="I15" s="16">
        <f t="shared" si="48"/>
        <v>0</v>
      </c>
      <c r="J15" s="16">
        <f t="shared" si="48"/>
        <v>0</v>
      </c>
      <c r="K15" s="16">
        <f t="shared" si="48"/>
        <v>0</v>
      </c>
      <c r="L15" s="16">
        <f t="shared" si="48"/>
        <v>0</v>
      </c>
      <c r="M15" s="16">
        <f t="shared" si="48"/>
        <v>0</v>
      </c>
      <c r="N15" s="16">
        <f t="shared" si="48"/>
        <v>0</v>
      </c>
      <c r="O15" s="16">
        <f t="shared" si="48"/>
        <v>0</v>
      </c>
      <c r="P15" s="16">
        <f t="shared" si="48"/>
        <v>0</v>
      </c>
      <c r="R15" s="16">
        <f t="shared" si="66"/>
        <v>0</v>
      </c>
      <c r="S15" s="16">
        <f t="shared" si="49"/>
        <v>0</v>
      </c>
      <c r="T15" s="16">
        <f t="shared" si="49"/>
        <v>0</v>
      </c>
      <c r="U15" s="16">
        <f t="shared" si="49"/>
        <v>0</v>
      </c>
      <c r="V15" s="16">
        <f t="shared" si="49"/>
        <v>0</v>
      </c>
      <c r="W15" s="16">
        <f t="shared" si="49"/>
        <v>0</v>
      </c>
      <c r="X15" s="16">
        <f t="shared" si="49"/>
        <v>0</v>
      </c>
      <c r="Y15" s="16">
        <f t="shared" si="49"/>
        <v>0</v>
      </c>
      <c r="Z15" s="16">
        <f t="shared" si="49"/>
        <v>0</v>
      </c>
      <c r="AA15" s="16">
        <f t="shared" si="49"/>
        <v>0</v>
      </c>
      <c r="AB15" s="16">
        <f t="shared" si="49"/>
        <v>0</v>
      </c>
      <c r="AC15" s="16">
        <f t="shared" si="49"/>
        <v>0</v>
      </c>
      <c r="AE15" s="16">
        <f t="shared" si="50"/>
        <v>0</v>
      </c>
      <c r="AF15" s="16">
        <f t="shared" si="50"/>
        <v>0</v>
      </c>
      <c r="AG15" s="16">
        <f t="shared" si="50"/>
        <v>0</v>
      </c>
      <c r="AH15" s="16">
        <f t="shared" si="50"/>
        <v>0</v>
      </c>
      <c r="AI15" s="16">
        <f t="shared" si="50"/>
        <v>0</v>
      </c>
      <c r="AJ15" s="16">
        <f t="shared" si="50"/>
        <v>0</v>
      </c>
      <c r="AK15" s="16">
        <f t="shared" si="50"/>
        <v>0</v>
      </c>
      <c r="AL15" s="16">
        <f t="shared" si="50"/>
        <v>0</v>
      </c>
      <c r="AM15" s="16">
        <f t="shared" si="50"/>
        <v>0</v>
      </c>
      <c r="AN15" s="16">
        <f t="shared" si="50"/>
        <v>0</v>
      </c>
      <c r="AO15" s="16">
        <f t="shared" si="50"/>
        <v>0</v>
      </c>
      <c r="AP15" s="16">
        <f t="shared" si="50"/>
        <v>0</v>
      </c>
      <c r="AR15" s="16">
        <f t="shared" si="51"/>
        <v>0</v>
      </c>
      <c r="AS15" s="16">
        <f t="shared" si="52"/>
        <v>0</v>
      </c>
      <c r="AT15" s="16">
        <f t="shared" si="53"/>
        <v>0</v>
      </c>
      <c r="AU15" s="16">
        <f t="shared" si="54"/>
        <v>0</v>
      </c>
      <c r="AV15" s="16">
        <f t="shared" si="55"/>
        <v>0</v>
      </c>
      <c r="AX15" s="16">
        <f t="shared" si="56"/>
        <v>0</v>
      </c>
      <c r="AY15" s="16">
        <f t="shared" si="57"/>
        <v>0</v>
      </c>
      <c r="AZ15" s="16">
        <f t="shared" si="58"/>
        <v>0</v>
      </c>
      <c r="BA15" s="16">
        <f t="shared" si="59"/>
        <v>0</v>
      </c>
      <c r="BB15" s="16">
        <f t="shared" si="60"/>
        <v>0</v>
      </c>
      <c r="BD15" s="16">
        <f t="shared" si="61"/>
        <v>0</v>
      </c>
      <c r="BE15" s="16">
        <f t="shared" si="62"/>
        <v>0</v>
      </c>
      <c r="BF15" s="16">
        <f t="shared" si="63"/>
        <v>0</v>
      </c>
      <c r="BG15" s="16">
        <f t="shared" si="64"/>
        <v>0</v>
      </c>
      <c r="BH15" s="16">
        <f t="shared" si="65"/>
        <v>0</v>
      </c>
    </row>
    <row r="16" spans="1:60" s="16" customFormat="1" x14ac:dyDescent="0.25"/>
    <row r="17" spans="2:60" s="16" customFormat="1" x14ac:dyDescent="0.25">
      <c r="B17" s="16" t="s">
        <v>23</v>
      </c>
      <c r="C17" s="21">
        <f>SUM(C11:C16)</f>
        <v>0.27300000000000002</v>
      </c>
      <c r="E17" s="17">
        <f>SUBTOTAL(9,E11:E16)</f>
        <v>8986.2500000000018</v>
      </c>
      <c r="F17" s="17">
        <f t="shared" ref="F17:O17" si="67">SUBTOTAL(9,F11:F16)</f>
        <v>8986.2500000000018</v>
      </c>
      <c r="G17" s="17">
        <f t="shared" si="67"/>
        <v>8986.2500000000018</v>
      </c>
      <c r="H17" s="17">
        <f t="shared" si="67"/>
        <v>10578.750000000002</v>
      </c>
      <c r="I17" s="17">
        <f t="shared" si="67"/>
        <v>10578.750000000002</v>
      </c>
      <c r="J17" s="17">
        <f t="shared" si="67"/>
        <v>10578.750000000002</v>
      </c>
      <c r="K17" s="17">
        <f t="shared" si="67"/>
        <v>11602.500000000002</v>
      </c>
      <c r="L17" s="17">
        <f t="shared" si="67"/>
        <v>11602.500000000002</v>
      </c>
      <c r="M17" s="17">
        <f t="shared" si="67"/>
        <v>11602.500000000002</v>
      </c>
      <c r="N17" s="17">
        <f t="shared" si="67"/>
        <v>11602.500000000002</v>
      </c>
      <c r="O17" s="17">
        <f t="shared" si="67"/>
        <v>11602.500000000002</v>
      </c>
      <c r="P17" s="17">
        <f t="shared" ref="P17" si="68">SUBTOTAL(9,P13:P16)</f>
        <v>6587.5000000000018</v>
      </c>
      <c r="R17" s="17">
        <f>SUBTOTAL(9,R11:R16)</f>
        <v>11602.500000000002</v>
      </c>
      <c r="S17" s="17">
        <f t="shared" ref="S17" si="69">SUBTOTAL(9,S11:S16)</f>
        <v>11602.500000000002</v>
      </c>
      <c r="T17" s="17">
        <f t="shared" ref="T17" si="70">SUBTOTAL(9,T11:T16)</f>
        <v>11602.500000000002</v>
      </c>
      <c r="U17" s="17">
        <f t="shared" ref="U17" si="71">SUBTOTAL(9,U11:U16)</f>
        <v>11602.500000000002</v>
      </c>
      <c r="V17" s="17">
        <f t="shared" ref="V17" si="72">SUBTOTAL(9,V11:V16)</f>
        <v>11602.500000000002</v>
      </c>
      <c r="W17" s="17">
        <f t="shared" ref="W17" si="73">SUBTOTAL(9,W11:W16)</f>
        <v>11602.500000000002</v>
      </c>
      <c r="X17" s="17">
        <f t="shared" ref="X17" si="74">SUBTOTAL(9,X11:X16)</f>
        <v>11602.500000000002</v>
      </c>
      <c r="Y17" s="17">
        <f t="shared" ref="Y17" si="75">SUBTOTAL(9,Y11:Y16)</f>
        <v>11602.500000000002</v>
      </c>
      <c r="Z17" s="17">
        <f t="shared" ref="Z17" si="76">SUBTOTAL(9,Z11:Z16)</f>
        <v>11602.500000000002</v>
      </c>
      <c r="AA17" s="17">
        <f t="shared" ref="AA17" si="77">SUBTOTAL(9,AA11:AA16)</f>
        <v>11602.500000000002</v>
      </c>
      <c r="AB17" s="17">
        <f t="shared" ref="AB17" si="78">SUBTOTAL(9,AB11:AB16)</f>
        <v>11602.500000000002</v>
      </c>
      <c r="AC17" s="17">
        <f t="shared" ref="AC17:AP17" si="79">SUBTOTAL(9,AC11:AC16)</f>
        <v>11602.500000000002</v>
      </c>
      <c r="AE17" s="17">
        <f t="shared" si="79"/>
        <v>11602.500000000002</v>
      </c>
      <c r="AF17" s="17">
        <f t="shared" si="79"/>
        <v>11602.500000000002</v>
      </c>
      <c r="AG17" s="17">
        <f t="shared" si="79"/>
        <v>11602.500000000002</v>
      </c>
      <c r="AH17" s="17">
        <f t="shared" si="79"/>
        <v>11602.500000000002</v>
      </c>
      <c r="AI17" s="17">
        <f t="shared" si="79"/>
        <v>11602.500000000002</v>
      </c>
      <c r="AJ17" s="17">
        <f t="shared" si="79"/>
        <v>11602.500000000002</v>
      </c>
      <c r="AK17" s="17">
        <f t="shared" si="79"/>
        <v>11602.500000000002</v>
      </c>
      <c r="AL17" s="17">
        <f t="shared" si="79"/>
        <v>11602.500000000002</v>
      </c>
      <c r="AM17" s="17">
        <f t="shared" si="79"/>
        <v>11602.500000000002</v>
      </c>
      <c r="AN17" s="17">
        <f t="shared" si="79"/>
        <v>11602.500000000002</v>
      </c>
      <c r="AO17" s="17">
        <f t="shared" si="79"/>
        <v>11602.500000000002</v>
      </c>
      <c r="AP17" s="17">
        <f t="shared" si="79"/>
        <v>11602.500000000002</v>
      </c>
      <c r="AR17" s="17">
        <f t="shared" ref="AR17:AV18" si="80">SUBTOTAL(9,AR13:AR16)</f>
        <v>72850.000000000015</v>
      </c>
      <c r="AS17" s="17">
        <f t="shared" si="80"/>
        <v>15306.250000000004</v>
      </c>
      <c r="AT17" s="17">
        <f t="shared" si="80"/>
        <v>18018.750000000004</v>
      </c>
      <c r="AU17" s="17">
        <f t="shared" si="80"/>
        <v>19762.500000000007</v>
      </c>
      <c r="AV17" s="17">
        <f t="shared" si="80"/>
        <v>19762.500000000007</v>
      </c>
      <c r="AX17" s="17">
        <f t="shared" ref="AX17:BB18" si="81">SUBTOTAL(9,AX13:AX16)</f>
        <v>79050.000000000015</v>
      </c>
      <c r="AY17" s="17">
        <f t="shared" si="81"/>
        <v>19762.500000000007</v>
      </c>
      <c r="AZ17" s="17">
        <f t="shared" si="81"/>
        <v>19762.500000000007</v>
      </c>
      <c r="BA17" s="17">
        <f t="shared" si="81"/>
        <v>19762.500000000007</v>
      </c>
      <c r="BB17" s="17">
        <f t="shared" si="81"/>
        <v>19762.500000000007</v>
      </c>
      <c r="BD17" s="17">
        <f t="shared" ref="BD17:BH18" si="82">SUBTOTAL(9,BD13:BD16)</f>
        <v>79050.000000000015</v>
      </c>
      <c r="BE17" s="17">
        <f t="shared" si="82"/>
        <v>19762.500000000007</v>
      </c>
      <c r="BF17" s="17">
        <f t="shared" si="82"/>
        <v>19762.500000000007</v>
      </c>
      <c r="BG17" s="17">
        <f t="shared" si="82"/>
        <v>19762.500000000007</v>
      </c>
      <c r="BH17" s="17">
        <f t="shared" si="82"/>
        <v>19762.500000000007</v>
      </c>
    </row>
    <row r="18" spans="2:60" s="16" customFormat="1" x14ac:dyDescent="0.25">
      <c r="B18" s="16" t="s">
        <v>24</v>
      </c>
      <c r="E18" s="17">
        <f>SUBTOTAL(9,E5:E16)</f>
        <v>41902.916666666672</v>
      </c>
      <c r="F18" s="17">
        <f t="shared" ref="F18:O18" si="83">SUBTOTAL(9,F5:F16)</f>
        <v>41902.916666666672</v>
      </c>
      <c r="G18" s="17">
        <f t="shared" si="83"/>
        <v>41902.916666666672</v>
      </c>
      <c r="H18" s="17">
        <f t="shared" si="83"/>
        <v>49328.750000000007</v>
      </c>
      <c r="I18" s="17">
        <f t="shared" si="83"/>
        <v>49328.750000000007</v>
      </c>
      <c r="J18" s="17">
        <f t="shared" si="83"/>
        <v>49328.750000000007</v>
      </c>
      <c r="K18" s="17">
        <f t="shared" si="83"/>
        <v>54102.500000000007</v>
      </c>
      <c r="L18" s="17">
        <f t="shared" si="83"/>
        <v>54102.500000000007</v>
      </c>
      <c r="M18" s="17">
        <f t="shared" si="83"/>
        <v>54102.500000000007</v>
      </c>
      <c r="N18" s="17">
        <f t="shared" si="83"/>
        <v>54102.500000000007</v>
      </c>
      <c r="O18" s="17">
        <f t="shared" si="83"/>
        <v>54102.500000000007</v>
      </c>
      <c r="P18" s="17">
        <f t="shared" ref="P18" si="84">SUBTOTAL(9,P14:P17)</f>
        <v>1487.5000000000005</v>
      </c>
      <c r="R18" s="17">
        <f>SUBTOTAL(9,R5:R16)</f>
        <v>54102.500000000007</v>
      </c>
      <c r="S18" s="17">
        <f t="shared" ref="S18:AC18" si="85">SUBTOTAL(9,S5:S16)</f>
        <v>54102.500000000007</v>
      </c>
      <c r="T18" s="17">
        <f t="shared" si="85"/>
        <v>54102.500000000007</v>
      </c>
      <c r="U18" s="17">
        <f t="shared" si="85"/>
        <v>54102.500000000007</v>
      </c>
      <c r="V18" s="17">
        <f t="shared" si="85"/>
        <v>54102.500000000007</v>
      </c>
      <c r="W18" s="17">
        <f t="shared" si="85"/>
        <v>54102.500000000007</v>
      </c>
      <c r="X18" s="17">
        <f t="shared" si="85"/>
        <v>54102.500000000007</v>
      </c>
      <c r="Y18" s="17">
        <f t="shared" si="85"/>
        <v>54102.500000000007</v>
      </c>
      <c r="Z18" s="17">
        <f t="shared" si="85"/>
        <v>54102.500000000007</v>
      </c>
      <c r="AA18" s="17">
        <f t="shared" si="85"/>
        <v>54102.500000000007</v>
      </c>
      <c r="AB18" s="17">
        <f t="shared" si="85"/>
        <v>54102.500000000007</v>
      </c>
      <c r="AC18" s="17">
        <f t="shared" si="85"/>
        <v>54102.500000000007</v>
      </c>
      <c r="AE18" s="17">
        <f t="shared" ref="AE18:AP18" si="86">SUBTOTAL(9,AE5:AE16)</f>
        <v>54102.500000000007</v>
      </c>
      <c r="AF18" s="17">
        <f t="shared" si="86"/>
        <v>54102.500000000007</v>
      </c>
      <c r="AG18" s="17">
        <f t="shared" si="86"/>
        <v>54102.500000000007</v>
      </c>
      <c r="AH18" s="17">
        <f t="shared" si="86"/>
        <v>54102.500000000007</v>
      </c>
      <c r="AI18" s="17">
        <f t="shared" si="86"/>
        <v>54102.500000000007</v>
      </c>
      <c r="AJ18" s="17">
        <f t="shared" si="86"/>
        <v>54102.500000000007</v>
      </c>
      <c r="AK18" s="17">
        <f t="shared" si="86"/>
        <v>54102.500000000007</v>
      </c>
      <c r="AL18" s="17">
        <f t="shared" si="86"/>
        <v>54102.500000000007</v>
      </c>
      <c r="AM18" s="17">
        <f t="shared" si="86"/>
        <v>54102.500000000007</v>
      </c>
      <c r="AN18" s="17">
        <f t="shared" si="86"/>
        <v>54102.500000000007</v>
      </c>
      <c r="AO18" s="17">
        <f t="shared" si="86"/>
        <v>54102.500000000007</v>
      </c>
      <c r="AP18" s="17">
        <f t="shared" si="86"/>
        <v>54102.500000000007</v>
      </c>
      <c r="AR18" s="17">
        <f t="shared" si="80"/>
        <v>16450.000000000004</v>
      </c>
      <c r="AS18" s="17">
        <f t="shared" si="80"/>
        <v>3456.2500000000009</v>
      </c>
      <c r="AT18" s="17">
        <f t="shared" si="80"/>
        <v>4068.7500000000014</v>
      </c>
      <c r="AU18" s="17">
        <f t="shared" si="80"/>
        <v>4462.5000000000018</v>
      </c>
      <c r="AV18" s="17">
        <f t="shared" si="80"/>
        <v>4462.5000000000018</v>
      </c>
      <c r="AX18" s="17">
        <f t="shared" si="81"/>
        <v>17850.000000000004</v>
      </c>
      <c r="AY18" s="17">
        <f t="shared" si="81"/>
        <v>4462.5000000000018</v>
      </c>
      <c r="AZ18" s="17">
        <f t="shared" si="81"/>
        <v>4462.5000000000018</v>
      </c>
      <c r="BA18" s="17">
        <f t="shared" si="81"/>
        <v>4462.5000000000018</v>
      </c>
      <c r="BB18" s="17">
        <f t="shared" si="81"/>
        <v>4462.5000000000018</v>
      </c>
      <c r="BD18" s="17">
        <f t="shared" si="82"/>
        <v>17850.000000000004</v>
      </c>
      <c r="BE18" s="17">
        <f t="shared" si="82"/>
        <v>4462.5000000000018</v>
      </c>
      <c r="BF18" s="17">
        <f t="shared" si="82"/>
        <v>4462.5000000000018</v>
      </c>
      <c r="BG18" s="17">
        <f t="shared" si="82"/>
        <v>4462.5000000000018</v>
      </c>
      <c r="BH18" s="17">
        <f t="shared" si="82"/>
        <v>4462.5000000000018</v>
      </c>
    </row>
    <row r="19" spans="2:60" s="16" customFormat="1" x14ac:dyDescent="0.25"/>
    <row r="20" spans="2:60" s="16" customFormat="1" x14ac:dyDescent="0.25">
      <c r="B20" s="16" t="s">
        <v>25</v>
      </c>
      <c r="E20" s="16">
        <f>+E197</f>
        <v>16350</v>
      </c>
      <c r="F20" s="16">
        <f t="shared" ref="F20:P20" si="87">+F197</f>
        <v>0</v>
      </c>
      <c r="G20" s="16">
        <f t="shared" si="87"/>
        <v>0</v>
      </c>
      <c r="H20" s="16">
        <f t="shared" si="87"/>
        <v>0</v>
      </c>
      <c r="I20" s="16">
        <f t="shared" si="87"/>
        <v>0</v>
      </c>
      <c r="J20" s="16">
        <f t="shared" si="87"/>
        <v>0</v>
      </c>
      <c r="K20" s="16">
        <f t="shared" si="87"/>
        <v>0</v>
      </c>
      <c r="L20" s="16">
        <f t="shared" si="87"/>
        <v>0</v>
      </c>
      <c r="M20" s="16">
        <f t="shared" si="87"/>
        <v>0</v>
      </c>
      <c r="N20" s="16">
        <f t="shared" si="87"/>
        <v>0</v>
      </c>
      <c r="O20" s="16">
        <f t="shared" si="87"/>
        <v>0</v>
      </c>
      <c r="P20" s="16">
        <f t="shared" si="87"/>
        <v>0</v>
      </c>
      <c r="R20" s="16">
        <f t="shared" ref="R20:AC20" si="88">+R197</f>
        <v>16350</v>
      </c>
      <c r="S20" s="16">
        <f t="shared" si="88"/>
        <v>0</v>
      </c>
      <c r="T20" s="16">
        <f t="shared" si="88"/>
        <v>0</v>
      </c>
      <c r="U20" s="16">
        <f t="shared" si="88"/>
        <v>0</v>
      </c>
      <c r="V20" s="16">
        <f t="shared" si="88"/>
        <v>0</v>
      </c>
      <c r="W20" s="16">
        <f t="shared" si="88"/>
        <v>0</v>
      </c>
      <c r="X20" s="16">
        <f t="shared" si="88"/>
        <v>0</v>
      </c>
      <c r="Y20" s="16">
        <f t="shared" si="88"/>
        <v>0</v>
      </c>
      <c r="Z20" s="16">
        <f t="shared" si="88"/>
        <v>0</v>
      </c>
      <c r="AA20" s="16">
        <f t="shared" si="88"/>
        <v>0</v>
      </c>
      <c r="AB20" s="16">
        <f t="shared" si="88"/>
        <v>0</v>
      </c>
      <c r="AC20" s="16">
        <f t="shared" si="88"/>
        <v>0</v>
      </c>
      <c r="AE20" s="16">
        <f t="shared" ref="AE20:AP20" si="89">+AE197</f>
        <v>16350</v>
      </c>
      <c r="AF20" s="16">
        <f t="shared" si="89"/>
        <v>0</v>
      </c>
      <c r="AG20" s="16">
        <f t="shared" si="89"/>
        <v>0</v>
      </c>
      <c r="AH20" s="16">
        <f t="shared" si="89"/>
        <v>0</v>
      </c>
      <c r="AI20" s="16">
        <f t="shared" si="89"/>
        <v>0</v>
      </c>
      <c r="AJ20" s="16">
        <f t="shared" si="89"/>
        <v>0</v>
      </c>
      <c r="AK20" s="16">
        <f t="shared" si="89"/>
        <v>0</v>
      </c>
      <c r="AL20" s="16">
        <f t="shared" si="89"/>
        <v>0</v>
      </c>
      <c r="AM20" s="16">
        <f t="shared" si="89"/>
        <v>0</v>
      </c>
      <c r="AN20" s="16">
        <f t="shared" si="89"/>
        <v>0</v>
      </c>
      <c r="AO20" s="16">
        <f t="shared" si="89"/>
        <v>0</v>
      </c>
      <c r="AP20" s="16">
        <f t="shared" si="89"/>
        <v>0</v>
      </c>
      <c r="AR20" s="16">
        <f t="shared" ref="AR20" si="90">SUM(E20:P20)</f>
        <v>16350</v>
      </c>
      <c r="AS20" s="16">
        <f t="shared" ref="AS20" si="91">SUM(E20:G20)</f>
        <v>16350</v>
      </c>
      <c r="AT20" s="16">
        <f t="shared" ref="AT20" si="92">SUM(H20:J20)</f>
        <v>0</v>
      </c>
      <c r="AU20" s="16">
        <f t="shared" ref="AU20" si="93">SUM(K20:M20)</f>
        <v>0</v>
      </c>
      <c r="AV20" s="16">
        <f t="shared" ref="AV20" si="94">SUM(N20:P20)</f>
        <v>0</v>
      </c>
      <c r="AX20" s="16">
        <f t="shared" ref="AX20" si="95">SUM(R20:AC20)</f>
        <v>16350</v>
      </c>
      <c r="AY20" s="16">
        <f t="shared" ref="AY20" si="96">SUM(R20:T20)</f>
        <v>16350</v>
      </c>
      <c r="AZ20" s="16">
        <f t="shared" ref="AZ20" si="97">SUM(U20:W20)</f>
        <v>0</v>
      </c>
      <c r="BA20" s="16">
        <f t="shared" ref="BA20" si="98">SUM(X20:Z20)</f>
        <v>0</v>
      </c>
      <c r="BB20" s="16">
        <f t="shared" ref="BB20" si="99">SUM(AA20:AC20)</f>
        <v>0</v>
      </c>
      <c r="BD20" s="16">
        <f t="shared" ref="BD20" si="100">SUM(AE20:AP20)</f>
        <v>16350</v>
      </c>
      <c r="BE20" s="16">
        <f t="shared" ref="BE20" si="101">SUM(AE20:AG20)</f>
        <v>16350</v>
      </c>
      <c r="BF20" s="16">
        <f t="shared" ref="BF20" si="102">SUM(AH20:AJ20)</f>
        <v>0</v>
      </c>
      <c r="BG20" s="16">
        <f t="shared" ref="BG20" si="103">SUM(AK20:AM20)</f>
        <v>0</v>
      </c>
      <c r="BH20" s="16">
        <f t="shared" ref="BH20" si="104">SUM(AN20:AP20)</f>
        <v>0</v>
      </c>
    </row>
    <row r="21" spans="2:60" s="16" customFormat="1" x14ac:dyDescent="0.25">
      <c r="B21" s="16" t="s">
        <v>26</v>
      </c>
      <c r="AR21" s="16">
        <f t="shared" ref="AR21:AR24" si="105">SUM(E21:P21)</f>
        <v>0</v>
      </c>
      <c r="AS21" s="16">
        <f t="shared" ref="AS21:AS24" si="106">SUM(E21:G21)</f>
        <v>0</v>
      </c>
      <c r="AT21" s="16">
        <f t="shared" ref="AT21:AT24" si="107">SUM(H21:J21)</f>
        <v>0</v>
      </c>
      <c r="AU21" s="16">
        <f t="shared" ref="AU21:AU24" si="108">SUM(K21:M21)</f>
        <v>0</v>
      </c>
      <c r="AV21" s="16">
        <f t="shared" ref="AV21:AV24" si="109">SUM(N21:P21)</f>
        <v>0</v>
      </c>
      <c r="AX21" s="16">
        <f t="shared" ref="AX21:AX24" si="110">SUM(R21:AC21)</f>
        <v>0</v>
      </c>
      <c r="AY21" s="16">
        <f t="shared" ref="AY21:AY24" si="111">SUM(R21:T21)</f>
        <v>0</v>
      </c>
      <c r="AZ21" s="16">
        <f t="shared" ref="AZ21:AZ24" si="112">SUM(U21:W21)</f>
        <v>0</v>
      </c>
      <c r="BA21" s="16">
        <f t="shared" ref="BA21:BA24" si="113">SUM(X21:Z21)</f>
        <v>0</v>
      </c>
      <c r="BB21" s="16">
        <f t="shared" ref="BB21:BB24" si="114">SUM(AA21:AC21)</f>
        <v>0</v>
      </c>
      <c r="BD21" s="16">
        <f t="shared" ref="BD21:BD24" si="115">SUM(AE21:AP21)</f>
        <v>0</v>
      </c>
      <c r="BE21" s="16">
        <f t="shared" ref="BE21:BE24" si="116">SUM(AE21:AG21)</f>
        <v>0</v>
      </c>
      <c r="BF21" s="16">
        <f t="shared" ref="BF21:BF24" si="117">SUM(AH21:AJ21)</f>
        <v>0</v>
      </c>
      <c r="BG21" s="16">
        <f t="shared" ref="BG21:BG24" si="118">SUM(AK21:AM21)</f>
        <v>0</v>
      </c>
      <c r="BH21" s="16">
        <f t="shared" ref="BH21:BH24" si="119">SUM(AN21:AP21)</f>
        <v>0</v>
      </c>
    </row>
    <row r="22" spans="2:60" s="16" customFormat="1" x14ac:dyDescent="0.25">
      <c r="B22" s="16" t="s">
        <v>95</v>
      </c>
      <c r="AR22" s="16">
        <f t="shared" si="105"/>
        <v>0</v>
      </c>
      <c r="AS22" s="16">
        <f t="shared" si="106"/>
        <v>0</v>
      </c>
      <c r="AT22" s="16">
        <f t="shared" si="107"/>
        <v>0</v>
      </c>
      <c r="AU22" s="16">
        <f t="shared" si="108"/>
        <v>0</v>
      </c>
      <c r="AV22" s="16">
        <f t="shared" si="109"/>
        <v>0</v>
      </c>
      <c r="AX22" s="16">
        <f t="shared" si="110"/>
        <v>0</v>
      </c>
      <c r="AY22" s="16">
        <f t="shared" si="111"/>
        <v>0</v>
      </c>
      <c r="AZ22" s="16">
        <f t="shared" si="112"/>
        <v>0</v>
      </c>
      <c r="BA22" s="16">
        <f t="shared" si="113"/>
        <v>0</v>
      </c>
      <c r="BB22" s="16">
        <f t="shared" si="114"/>
        <v>0</v>
      </c>
      <c r="BD22" s="16">
        <f t="shared" si="115"/>
        <v>0</v>
      </c>
      <c r="BE22" s="16">
        <f t="shared" si="116"/>
        <v>0</v>
      </c>
      <c r="BF22" s="16">
        <f t="shared" si="117"/>
        <v>0</v>
      </c>
      <c r="BG22" s="16">
        <f t="shared" si="118"/>
        <v>0</v>
      </c>
      <c r="BH22" s="16">
        <f t="shared" si="119"/>
        <v>0</v>
      </c>
    </row>
    <row r="23" spans="2:60" s="16" customFormat="1" x14ac:dyDescent="0.25">
      <c r="B23" s="16" t="s">
        <v>27</v>
      </c>
      <c r="E23" s="16">
        <f>+E120</f>
        <v>0</v>
      </c>
      <c r="F23" s="16">
        <f t="shared" ref="F23:P23" si="120">+F120</f>
        <v>0</v>
      </c>
      <c r="G23" s="16">
        <f t="shared" si="120"/>
        <v>0</v>
      </c>
      <c r="H23" s="16">
        <f t="shared" si="120"/>
        <v>17500</v>
      </c>
      <c r="I23" s="16">
        <f t="shared" si="120"/>
        <v>0</v>
      </c>
      <c r="J23" s="16">
        <f t="shared" si="120"/>
        <v>0</v>
      </c>
      <c r="K23" s="16">
        <f t="shared" si="120"/>
        <v>0</v>
      </c>
      <c r="L23" s="16">
        <f t="shared" si="120"/>
        <v>0</v>
      </c>
      <c r="M23" s="16">
        <f t="shared" si="120"/>
        <v>0</v>
      </c>
      <c r="N23" s="16">
        <f t="shared" si="120"/>
        <v>0</v>
      </c>
      <c r="O23" s="16">
        <f t="shared" si="120"/>
        <v>0</v>
      </c>
      <c r="P23" s="16">
        <f t="shared" si="120"/>
        <v>0</v>
      </c>
      <c r="R23" s="16">
        <f t="shared" ref="R23:AC23" si="121">+R120</f>
        <v>0</v>
      </c>
      <c r="S23" s="16">
        <f t="shared" si="121"/>
        <v>0</v>
      </c>
      <c r="T23" s="16">
        <f t="shared" si="121"/>
        <v>0</v>
      </c>
      <c r="U23" s="16">
        <f t="shared" si="121"/>
        <v>0</v>
      </c>
      <c r="V23" s="16">
        <f t="shared" si="121"/>
        <v>0</v>
      </c>
      <c r="W23" s="16">
        <f t="shared" si="121"/>
        <v>0</v>
      </c>
      <c r="X23" s="16">
        <f t="shared" si="121"/>
        <v>0</v>
      </c>
      <c r="Y23" s="16">
        <f t="shared" si="121"/>
        <v>0</v>
      </c>
      <c r="Z23" s="16">
        <f t="shared" si="121"/>
        <v>0</v>
      </c>
      <c r="AA23" s="16">
        <f t="shared" si="121"/>
        <v>0</v>
      </c>
      <c r="AB23" s="16">
        <f t="shared" si="121"/>
        <v>0</v>
      </c>
      <c r="AC23" s="16">
        <f t="shared" si="121"/>
        <v>0</v>
      </c>
      <c r="AE23" s="16">
        <f t="shared" ref="AE23:AP23" si="122">+AE120</f>
        <v>0</v>
      </c>
      <c r="AF23" s="16">
        <f t="shared" si="122"/>
        <v>0</v>
      </c>
      <c r="AG23" s="16">
        <f t="shared" si="122"/>
        <v>0</v>
      </c>
      <c r="AH23" s="16">
        <f t="shared" si="122"/>
        <v>0</v>
      </c>
      <c r="AI23" s="16">
        <f t="shared" si="122"/>
        <v>0</v>
      </c>
      <c r="AJ23" s="16">
        <f t="shared" si="122"/>
        <v>0</v>
      </c>
      <c r="AK23" s="16">
        <f t="shared" si="122"/>
        <v>0</v>
      </c>
      <c r="AL23" s="16">
        <f t="shared" si="122"/>
        <v>0</v>
      </c>
      <c r="AM23" s="16">
        <f t="shared" si="122"/>
        <v>0</v>
      </c>
      <c r="AN23" s="16">
        <f t="shared" si="122"/>
        <v>0</v>
      </c>
      <c r="AO23" s="16">
        <f t="shared" si="122"/>
        <v>0</v>
      </c>
      <c r="AP23" s="16">
        <f t="shared" si="122"/>
        <v>0</v>
      </c>
      <c r="AR23" s="16">
        <f t="shared" si="105"/>
        <v>17500</v>
      </c>
      <c r="AS23" s="16">
        <f t="shared" si="106"/>
        <v>0</v>
      </c>
      <c r="AT23" s="16">
        <f t="shared" si="107"/>
        <v>17500</v>
      </c>
      <c r="AU23" s="16">
        <f t="shared" si="108"/>
        <v>0</v>
      </c>
      <c r="AV23" s="16">
        <f t="shared" si="109"/>
        <v>0</v>
      </c>
      <c r="AX23" s="16">
        <f t="shared" si="110"/>
        <v>0</v>
      </c>
      <c r="AY23" s="16">
        <f t="shared" si="111"/>
        <v>0</v>
      </c>
      <c r="AZ23" s="16">
        <f t="shared" si="112"/>
        <v>0</v>
      </c>
      <c r="BA23" s="16">
        <f t="shared" si="113"/>
        <v>0</v>
      </c>
      <c r="BB23" s="16">
        <f t="shared" si="114"/>
        <v>0</v>
      </c>
      <c r="BD23" s="16">
        <f t="shared" si="115"/>
        <v>0</v>
      </c>
      <c r="BE23" s="16">
        <f t="shared" si="116"/>
        <v>0</v>
      </c>
      <c r="BF23" s="16">
        <f t="shared" si="117"/>
        <v>0</v>
      </c>
      <c r="BG23" s="16">
        <f t="shared" si="118"/>
        <v>0</v>
      </c>
      <c r="BH23" s="16">
        <f t="shared" si="119"/>
        <v>0</v>
      </c>
    </row>
    <row r="24" spans="2:60" s="16" customFormat="1" x14ac:dyDescent="0.25">
      <c r="B24" s="16" t="s">
        <v>28</v>
      </c>
      <c r="E24" s="16">
        <f>+E110</f>
        <v>11083</v>
      </c>
      <c r="F24" s="16">
        <f t="shared" ref="F24:P24" si="123">+F110</f>
        <v>9833</v>
      </c>
      <c r="G24" s="16">
        <f t="shared" si="123"/>
        <v>9833</v>
      </c>
      <c r="H24" s="16">
        <f t="shared" si="123"/>
        <v>9583</v>
      </c>
      <c r="I24" s="16">
        <f t="shared" si="123"/>
        <v>12833</v>
      </c>
      <c r="J24" s="16">
        <f t="shared" si="123"/>
        <v>12835</v>
      </c>
      <c r="K24" s="16">
        <f t="shared" si="123"/>
        <v>5000</v>
      </c>
      <c r="L24" s="16">
        <f t="shared" si="123"/>
        <v>3750</v>
      </c>
      <c r="M24" s="16">
        <f t="shared" si="123"/>
        <v>4250</v>
      </c>
      <c r="N24" s="16">
        <f t="shared" si="123"/>
        <v>5500</v>
      </c>
      <c r="O24" s="16">
        <f t="shared" si="123"/>
        <v>4250</v>
      </c>
      <c r="P24" s="16">
        <f t="shared" si="123"/>
        <v>4250</v>
      </c>
      <c r="R24" s="16">
        <f>+R110</f>
        <v>5500</v>
      </c>
      <c r="S24" s="16">
        <f t="shared" ref="S24:AC24" si="124">+S110</f>
        <v>4250</v>
      </c>
      <c r="T24" s="16">
        <f t="shared" si="124"/>
        <v>4250</v>
      </c>
      <c r="U24" s="16">
        <f t="shared" si="124"/>
        <v>5500</v>
      </c>
      <c r="V24" s="16">
        <f t="shared" si="124"/>
        <v>12500</v>
      </c>
      <c r="W24" s="16">
        <f t="shared" si="124"/>
        <v>12500</v>
      </c>
      <c r="X24" s="16">
        <f t="shared" si="124"/>
        <v>5500</v>
      </c>
      <c r="Y24" s="16">
        <f t="shared" si="124"/>
        <v>5500</v>
      </c>
      <c r="Z24" s="16">
        <f t="shared" si="124"/>
        <v>5500</v>
      </c>
      <c r="AA24" s="16">
        <f t="shared" si="124"/>
        <v>5500</v>
      </c>
      <c r="AB24" s="16">
        <f t="shared" si="124"/>
        <v>5500</v>
      </c>
      <c r="AC24" s="16">
        <f t="shared" si="124"/>
        <v>5500</v>
      </c>
      <c r="AE24" s="16">
        <f t="shared" ref="AE24:AP24" si="125">+AE110</f>
        <v>5500</v>
      </c>
      <c r="AF24" s="16">
        <f t="shared" si="125"/>
        <v>5500</v>
      </c>
      <c r="AG24" s="16">
        <f t="shared" si="125"/>
        <v>5500</v>
      </c>
      <c r="AH24" s="16">
        <f t="shared" si="125"/>
        <v>5500</v>
      </c>
      <c r="AI24" s="16">
        <f t="shared" si="125"/>
        <v>5500</v>
      </c>
      <c r="AJ24" s="16">
        <f t="shared" si="125"/>
        <v>5500</v>
      </c>
      <c r="AK24" s="16">
        <f t="shared" si="125"/>
        <v>5500</v>
      </c>
      <c r="AL24" s="16">
        <f t="shared" si="125"/>
        <v>5500</v>
      </c>
      <c r="AM24" s="16">
        <f t="shared" si="125"/>
        <v>5500</v>
      </c>
      <c r="AN24" s="16">
        <f t="shared" si="125"/>
        <v>5500</v>
      </c>
      <c r="AO24" s="16">
        <f t="shared" si="125"/>
        <v>5500</v>
      </c>
      <c r="AP24" s="16">
        <f t="shared" si="125"/>
        <v>5500</v>
      </c>
      <c r="AR24" s="16">
        <f t="shared" si="105"/>
        <v>93000</v>
      </c>
      <c r="AS24" s="16">
        <f t="shared" si="106"/>
        <v>30749</v>
      </c>
      <c r="AT24" s="16">
        <f t="shared" si="107"/>
        <v>35251</v>
      </c>
      <c r="AU24" s="16">
        <f t="shared" si="108"/>
        <v>13000</v>
      </c>
      <c r="AV24" s="16">
        <f t="shared" si="109"/>
        <v>14000</v>
      </c>
      <c r="AX24" s="16">
        <f t="shared" si="110"/>
        <v>77500</v>
      </c>
      <c r="AY24" s="16">
        <f t="shared" si="111"/>
        <v>14000</v>
      </c>
      <c r="AZ24" s="16">
        <f t="shared" si="112"/>
        <v>30500</v>
      </c>
      <c r="BA24" s="16">
        <f t="shared" si="113"/>
        <v>16500</v>
      </c>
      <c r="BB24" s="16">
        <f t="shared" si="114"/>
        <v>16500</v>
      </c>
      <c r="BD24" s="16">
        <f t="shared" si="115"/>
        <v>66000</v>
      </c>
      <c r="BE24" s="16">
        <f t="shared" si="116"/>
        <v>16500</v>
      </c>
      <c r="BF24" s="16">
        <f t="shared" si="117"/>
        <v>16500</v>
      </c>
      <c r="BG24" s="16">
        <f t="shared" si="118"/>
        <v>16500</v>
      </c>
      <c r="BH24" s="16">
        <f t="shared" si="119"/>
        <v>16500</v>
      </c>
    </row>
    <row r="25" spans="2:60" s="16" customFormat="1" x14ac:dyDescent="0.25"/>
    <row r="26" spans="2:60" s="16" customFormat="1" x14ac:dyDescent="0.25">
      <c r="B26" s="16" t="s">
        <v>29</v>
      </c>
      <c r="E26" s="17">
        <f>SUBTOTAL(9,E20:E25)</f>
        <v>27433</v>
      </c>
      <c r="F26" s="17">
        <f t="shared" ref="F26:P26" si="126">SUBTOTAL(9,F20:F25)</f>
        <v>9833</v>
      </c>
      <c r="G26" s="17">
        <f t="shared" si="126"/>
        <v>9833</v>
      </c>
      <c r="H26" s="17">
        <f t="shared" si="126"/>
        <v>27083</v>
      </c>
      <c r="I26" s="17">
        <f t="shared" si="126"/>
        <v>12833</v>
      </c>
      <c r="J26" s="17">
        <f t="shared" si="126"/>
        <v>12835</v>
      </c>
      <c r="K26" s="17">
        <f t="shared" si="126"/>
        <v>5000</v>
      </c>
      <c r="L26" s="17">
        <f t="shared" si="126"/>
        <v>3750</v>
      </c>
      <c r="M26" s="17">
        <f t="shared" si="126"/>
        <v>4250</v>
      </c>
      <c r="N26" s="17">
        <f t="shared" si="126"/>
        <v>5500</v>
      </c>
      <c r="O26" s="17">
        <f t="shared" si="126"/>
        <v>4250</v>
      </c>
      <c r="P26" s="17">
        <f t="shared" si="126"/>
        <v>4250</v>
      </c>
      <c r="R26" s="17">
        <f>SUBTOTAL(9,R20:R25)</f>
        <v>21850</v>
      </c>
      <c r="S26" s="17">
        <f t="shared" ref="S26" si="127">SUBTOTAL(9,S20:S25)</f>
        <v>4250</v>
      </c>
      <c r="T26" s="17">
        <f t="shared" ref="T26" si="128">SUBTOTAL(9,T20:T25)</f>
        <v>4250</v>
      </c>
      <c r="U26" s="17">
        <f t="shared" ref="U26" si="129">SUBTOTAL(9,U20:U25)</f>
        <v>5500</v>
      </c>
      <c r="V26" s="17">
        <f t="shared" ref="V26" si="130">SUBTOTAL(9,V20:V25)</f>
        <v>12500</v>
      </c>
      <c r="W26" s="17">
        <f t="shared" ref="W26" si="131">SUBTOTAL(9,W20:W25)</f>
        <v>12500</v>
      </c>
      <c r="X26" s="17">
        <f t="shared" ref="X26" si="132">SUBTOTAL(9,X20:X25)</f>
        <v>5500</v>
      </c>
      <c r="Y26" s="17">
        <f t="shared" ref="Y26" si="133">SUBTOTAL(9,Y20:Y25)</f>
        <v>5500</v>
      </c>
      <c r="Z26" s="17">
        <f t="shared" ref="Z26" si="134">SUBTOTAL(9,Z20:Z25)</f>
        <v>5500</v>
      </c>
      <c r="AA26" s="17">
        <f t="shared" ref="AA26" si="135">SUBTOTAL(9,AA20:AA25)</f>
        <v>5500</v>
      </c>
      <c r="AB26" s="17">
        <f t="shared" ref="AB26" si="136">SUBTOTAL(9,AB20:AB25)</f>
        <v>5500</v>
      </c>
      <c r="AC26" s="17">
        <f t="shared" ref="AC26:AP26" si="137">SUBTOTAL(9,AC20:AC25)</f>
        <v>5500</v>
      </c>
      <c r="AE26" s="17">
        <f t="shared" si="137"/>
        <v>21850</v>
      </c>
      <c r="AF26" s="17">
        <f t="shared" si="137"/>
        <v>5500</v>
      </c>
      <c r="AG26" s="17">
        <f t="shared" si="137"/>
        <v>5500</v>
      </c>
      <c r="AH26" s="17">
        <f t="shared" si="137"/>
        <v>5500</v>
      </c>
      <c r="AI26" s="17">
        <f t="shared" si="137"/>
        <v>5500</v>
      </c>
      <c r="AJ26" s="17">
        <f t="shared" si="137"/>
        <v>5500</v>
      </c>
      <c r="AK26" s="17">
        <f t="shared" si="137"/>
        <v>5500</v>
      </c>
      <c r="AL26" s="17">
        <f t="shared" si="137"/>
        <v>5500</v>
      </c>
      <c r="AM26" s="17">
        <f t="shared" si="137"/>
        <v>5500</v>
      </c>
      <c r="AN26" s="17">
        <f t="shared" si="137"/>
        <v>5500</v>
      </c>
      <c r="AO26" s="17">
        <f t="shared" si="137"/>
        <v>5500</v>
      </c>
      <c r="AP26" s="17">
        <f t="shared" si="137"/>
        <v>5500</v>
      </c>
      <c r="AR26" s="17">
        <f t="shared" ref="AR26:AV26" si="138">SUBTOTAL(9,AR20:AR25)</f>
        <v>126850</v>
      </c>
      <c r="AS26" s="17">
        <f t="shared" si="138"/>
        <v>47099</v>
      </c>
      <c r="AT26" s="17">
        <f t="shared" si="138"/>
        <v>52751</v>
      </c>
      <c r="AU26" s="17">
        <f t="shared" si="138"/>
        <v>13000</v>
      </c>
      <c r="AV26" s="17">
        <f t="shared" si="138"/>
        <v>14000</v>
      </c>
      <c r="AX26" s="17">
        <f t="shared" ref="AX26:BB26" si="139">SUBTOTAL(9,AX20:AX25)</f>
        <v>93850</v>
      </c>
      <c r="AY26" s="17">
        <f t="shared" si="139"/>
        <v>30350</v>
      </c>
      <c r="AZ26" s="17">
        <f t="shared" si="139"/>
        <v>30500</v>
      </c>
      <c r="BA26" s="17">
        <f t="shared" si="139"/>
        <v>16500</v>
      </c>
      <c r="BB26" s="17">
        <f t="shared" si="139"/>
        <v>16500</v>
      </c>
      <c r="BD26" s="17">
        <f t="shared" ref="BD26:BH26" si="140">SUBTOTAL(9,BD20:BD25)</f>
        <v>82350</v>
      </c>
      <c r="BE26" s="17">
        <f t="shared" si="140"/>
        <v>32850</v>
      </c>
      <c r="BF26" s="17">
        <f t="shared" si="140"/>
        <v>16500</v>
      </c>
      <c r="BG26" s="17">
        <f t="shared" si="140"/>
        <v>16500</v>
      </c>
      <c r="BH26" s="17">
        <f t="shared" si="140"/>
        <v>16500</v>
      </c>
    </row>
    <row r="27" spans="2:60" s="16" customFormat="1" x14ac:dyDescent="0.25"/>
    <row r="28" spans="2:60" s="16" customFormat="1" x14ac:dyDescent="0.25">
      <c r="B28" s="16" t="s">
        <v>32</v>
      </c>
      <c r="AR28" s="16">
        <f t="shared" ref="AR28:AR32" si="141">SUM(E28:P28)</f>
        <v>0</v>
      </c>
      <c r="AS28" s="16">
        <f t="shared" ref="AS28:AS32" si="142">SUM(E28:G28)</f>
        <v>0</v>
      </c>
      <c r="AT28" s="16">
        <f t="shared" ref="AT28:AT32" si="143">SUM(H28:J28)</f>
        <v>0</v>
      </c>
      <c r="AU28" s="16">
        <f t="shared" ref="AU28:AU32" si="144">SUM(K28:M28)</f>
        <v>0</v>
      </c>
      <c r="AV28" s="16">
        <f t="shared" ref="AV28:AV32" si="145">SUM(N28:P28)</f>
        <v>0</v>
      </c>
      <c r="AX28" s="16">
        <f t="shared" ref="AX28:AX32" si="146">SUM(R28:AC28)</f>
        <v>0</v>
      </c>
      <c r="AY28" s="16">
        <f t="shared" ref="AY28:AY32" si="147">SUM(R28:T28)</f>
        <v>0</v>
      </c>
      <c r="AZ28" s="16">
        <f t="shared" ref="AZ28:AZ32" si="148">SUM(U28:W28)</f>
        <v>0</v>
      </c>
      <c r="BA28" s="16">
        <f t="shared" ref="BA28:BA32" si="149">SUM(X28:Z28)</f>
        <v>0</v>
      </c>
      <c r="BB28" s="16">
        <f t="shared" ref="BB28:BB32" si="150">SUM(AA28:AC28)</f>
        <v>0</v>
      </c>
      <c r="BD28" s="16">
        <f t="shared" ref="BD28:BD32" si="151">SUM(AE28:AP28)</f>
        <v>0</v>
      </c>
      <c r="BE28" s="16">
        <f t="shared" ref="BE28:BE32" si="152">SUM(AE28:AG28)</f>
        <v>0</v>
      </c>
      <c r="BF28" s="16">
        <f t="shared" ref="BF28:BF32" si="153">SUM(AH28:AJ28)</f>
        <v>0</v>
      </c>
      <c r="BG28" s="16">
        <f t="shared" ref="BG28:BG32" si="154">SUM(AK28:AM28)</f>
        <v>0</v>
      </c>
      <c r="BH28" s="16">
        <f t="shared" ref="BH28:BH32" si="155">SUM(AN28:AP28)</f>
        <v>0</v>
      </c>
    </row>
    <row r="29" spans="2:60" s="16" customFormat="1" x14ac:dyDescent="0.25">
      <c r="B29" s="16" t="s">
        <v>31</v>
      </c>
      <c r="AR29" s="16">
        <f t="shared" si="141"/>
        <v>0</v>
      </c>
      <c r="AS29" s="16">
        <f t="shared" si="142"/>
        <v>0</v>
      </c>
      <c r="AT29" s="16">
        <f t="shared" si="143"/>
        <v>0</v>
      </c>
      <c r="AU29" s="16">
        <f t="shared" si="144"/>
        <v>0</v>
      </c>
      <c r="AV29" s="16">
        <f t="shared" si="145"/>
        <v>0</v>
      </c>
      <c r="AX29" s="16">
        <f t="shared" si="146"/>
        <v>0</v>
      </c>
      <c r="AY29" s="16">
        <f t="shared" si="147"/>
        <v>0</v>
      </c>
      <c r="AZ29" s="16">
        <f t="shared" si="148"/>
        <v>0</v>
      </c>
      <c r="BA29" s="16">
        <f t="shared" si="149"/>
        <v>0</v>
      </c>
      <c r="BB29" s="16">
        <f t="shared" si="150"/>
        <v>0</v>
      </c>
      <c r="BD29" s="16">
        <f t="shared" si="151"/>
        <v>0</v>
      </c>
      <c r="BE29" s="16">
        <f t="shared" si="152"/>
        <v>0</v>
      </c>
      <c r="BF29" s="16">
        <f t="shared" si="153"/>
        <v>0</v>
      </c>
      <c r="BG29" s="16">
        <f t="shared" si="154"/>
        <v>0</v>
      </c>
      <c r="BH29" s="16">
        <f t="shared" si="155"/>
        <v>0</v>
      </c>
    </row>
    <row r="30" spans="2:60" s="16" customFormat="1" x14ac:dyDescent="0.25">
      <c r="B30" s="16" t="s">
        <v>33</v>
      </c>
      <c r="AR30" s="16">
        <f t="shared" si="141"/>
        <v>0</v>
      </c>
      <c r="AS30" s="16">
        <f t="shared" si="142"/>
        <v>0</v>
      </c>
      <c r="AT30" s="16">
        <f t="shared" si="143"/>
        <v>0</v>
      </c>
      <c r="AU30" s="16">
        <f t="shared" si="144"/>
        <v>0</v>
      </c>
      <c r="AV30" s="16">
        <f t="shared" si="145"/>
        <v>0</v>
      </c>
      <c r="AX30" s="16">
        <f t="shared" si="146"/>
        <v>0</v>
      </c>
      <c r="AY30" s="16">
        <f t="shared" si="147"/>
        <v>0</v>
      </c>
      <c r="AZ30" s="16">
        <f t="shared" si="148"/>
        <v>0</v>
      </c>
      <c r="BA30" s="16">
        <f t="shared" si="149"/>
        <v>0</v>
      </c>
      <c r="BB30" s="16">
        <f t="shared" si="150"/>
        <v>0</v>
      </c>
      <c r="BD30" s="16">
        <f t="shared" si="151"/>
        <v>0</v>
      </c>
      <c r="BE30" s="16">
        <f t="shared" si="152"/>
        <v>0</v>
      </c>
      <c r="BF30" s="16">
        <f t="shared" si="153"/>
        <v>0</v>
      </c>
      <c r="BG30" s="16">
        <f t="shared" si="154"/>
        <v>0</v>
      </c>
      <c r="BH30" s="16">
        <f t="shared" si="155"/>
        <v>0</v>
      </c>
    </row>
    <row r="31" spans="2:60" s="16" customFormat="1" x14ac:dyDescent="0.25">
      <c r="B31" s="16" t="s">
        <v>30</v>
      </c>
      <c r="AR31" s="16">
        <f t="shared" si="141"/>
        <v>0</v>
      </c>
      <c r="AS31" s="16">
        <f t="shared" si="142"/>
        <v>0</v>
      </c>
      <c r="AT31" s="16">
        <f t="shared" si="143"/>
        <v>0</v>
      </c>
      <c r="AU31" s="16">
        <f t="shared" si="144"/>
        <v>0</v>
      </c>
      <c r="AV31" s="16">
        <f t="shared" si="145"/>
        <v>0</v>
      </c>
      <c r="AX31" s="16">
        <f t="shared" si="146"/>
        <v>0</v>
      </c>
      <c r="AY31" s="16">
        <f t="shared" si="147"/>
        <v>0</v>
      </c>
      <c r="AZ31" s="16">
        <f t="shared" si="148"/>
        <v>0</v>
      </c>
      <c r="BA31" s="16">
        <f t="shared" si="149"/>
        <v>0</v>
      </c>
      <c r="BB31" s="16">
        <f t="shared" si="150"/>
        <v>0</v>
      </c>
      <c r="BD31" s="16">
        <f t="shared" si="151"/>
        <v>0</v>
      </c>
      <c r="BE31" s="16">
        <f t="shared" si="152"/>
        <v>0</v>
      </c>
      <c r="BF31" s="16">
        <f t="shared" si="153"/>
        <v>0</v>
      </c>
      <c r="BG31" s="16">
        <f t="shared" si="154"/>
        <v>0</v>
      </c>
      <c r="BH31" s="16">
        <f t="shared" si="155"/>
        <v>0</v>
      </c>
    </row>
    <row r="32" spans="2:60" s="16" customFormat="1" x14ac:dyDescent="0.25">
      <c r="B32" s="16" t="s">
        <v>34</v>
      </c>
      <c r="AR32" s="16">
        <f t="shared" si="141"/>
        <v>0</v>
      </c>
      <c r="AS32" s="16">
        <f t="shared" si="142"/>
        <v>0</v>
      </c>
      <c r="AT32" s="16">
        <f t="shared" si="143"/>
        <v>0</v>
      </c>
      <c r="AU32" s="16">
        <f t="shared" si="144"/>
        <v>0</v>
      </c>
      <c r="AV32" s="16">
        <f t="shared" si="145"/>
        <v>0</v>
      </c>
      <c r="AX32" s="16">
        <f t="shared" si="146"/>
        <v>0</v>
      </c>
      <c r="AY32" s="16">
        <f t="shared" si="147"/>
        <v>0</v>
      </c>
      <c r="AZ32" s="16">
        <f t="shared" si="148"/>
        <v>0</v>
      </c>
      <c r="BA32" s="16">
        <f t="shared" si="149"/>
        <v>0</v>
      </c>
      <c r="BB32" s="16">
        <f t="shared" si="150"/>
        <v>0</v>
      </c>
      <c r="BD32" s="16">
        <f t="shared" si="151"/>
        <v>0</v>
      </c>
      <c r="BE32" s="16">
        <f t="shared" si="152"/>
        <v>0</v>
      </c>
      <c r="BF32" s="16">
        <f t="shared" si="153"/>
        <v>0</v>
      </c>
      <c r="BG32" s="16">
        <f t="shared" si="154"/>
        <v>0</v>
      </c>
      <c r="BH32" s="16">
        <f t="shared" si="155"/>
        <v>0</v>
      </c>
    </row>
    <row r="33" spans="2:60" s="16" customFormat="1" x14ac:dyDescent="0.25"/>
    <row r="34" spans="2:60" s="16" customFormat="1" x14ac:dyDescent="0.25">
      <c r="B34" s="16" t="s">
        <v>35</v>
      </c>
      <c r="E34" s="17">
        <f>SUBTOTAL(9,E28:E33)</f>
        <v>0</v>
      </c>
      <c r="F34" s="17">
        <f t="shared" ref="F34:P34" si="156">SUBTOTAL(9,F28:F33)</f>
        <v>0</v>
      </c>
      <c r="G34" s="17">
        <f t="shared" si="156"/>
        <v>0</v>
      </c>
      <c r="H34" s="17">
        <f t="shared" si="156"/>
        <v>0</v>
      </c>
      <c r="I34" s="17">
        <f t="shared" si="156"/>
        <v>0</v>
      </c>
      <c r="J34" s="17">
        <f t="shared" si="156"/>
        <v>0</v>
      </c>
      <c r="K34" s="17">
        <f t="shared" si="156"/>
        <v>0</v>
      </c>
      <c r="L34" s="17">
        <f t="shared" si="156"/>
        <v>0</v>
      </c>
      <c r="M34" s="17">
        <f t="shared" si="156"/>
        <v>0</v>
      </c>
      <c r="N34" s="17">
        <f t="shared" si="156"/>
        <v>0</v>
      </c>
      <c r="O34" s="17">
        <f t="shared" si="156"/>
        <v>0</v>
      </c>
      <c r="P34" s="17">
        <f t="shared" si="156"/>
        <v>0</v>
      </c>
      <c r="R34" s="17">
        <f>SUBTOTAL(9,R28:R33)</f>
        <v>0</v>
      </c>
      <c r="S34" s="17">
        <f t="shared" ref="S34" si="157">SUBTOTAL(9,S28:S33)</f>
        <v>0</v>
      </c>
      <c r="T34" s="17">
        <f t="shared" ref="T34" si="158">SUBTOTAL(9,T28:T33)</f>
        <v>0</v>
      </c>
      <c r="U34" s="17">
        <f t="shared" ref="U34" si="159">SUBTOTAL(9,U28:U33)</f>
        <v>0</v>
      </c>
      <c r="V34" s="17">
        <f t="shared" ref="V34" si="160">SUBTOTAL(9,V28:V33)</f>
        <v>0</v>
      </c>
      <c r="W34" s="17">
        <f t="shared" ref="W34" si="161">SUBTOTAL(9,W28:W33)</f>
        <v>0</v>
      </c>
      <c r="X34" s="17">
        <f t="shared" ref="X34" si="162">SUBTOTAL(9,X28:X33)</f>
        <v>0</v>
      </c>
      <c r="Y34" s="17">
        <f t="shared" ref="Y34" si="163">SUBTOTAL(9,Y28:Y33)</f>
        <v>0</v>
      </c>
      <c r="Z34" s="17">
        <f t="shared" ref="Z34" si="164">SUBTOTAL(9,Z28:Z33)</f>
        <v>0</v>
      </c>
      <c r="AA34" s="17">
        <f t="shared" ref="AA34" si="165">SUBTOTAL(9,AA28:AA33)</f>
        <v>0</v>
      </c>
      <c r="AB34" s="17">
        <f t="shared" ref="AB34" si="166">SUBTOTAL(9,AB28:AB33)</f>
        <v>0</v>
      </c>
      <c r="AC34" s="17">
        <f t="shared" ref="AC34:AP34" si="167">SUBTOTAL(9,AC28:AC33)</f>
        <v>0</v>
      </c>
      <c r="AE34" s="17">
        <f t="shared" si="167"/>
        <v>0</v>
      </c>
      <c r="AF34" s="17">
        <f t="shared" si="167"/>
        <v>0</v>
      </c>
      <c r="AG34" s="17">
        <f t="shared" si="167"/>
        <v>0</v>
      </c>
      <c r="AH34" s="17">
        <f t="shared" si="167"/>
        <v>0</v>
      </c>
      <c r="AI34" s="17">
        <f t="shared" si="167"/>
        <v>0</v>
      </c>
      <c r="AJ34" s="17">
        <f t="shared" si="167"/>
        <v>0</v>
      </c>
      <c r="AK34" s="17">
        <f t="shared" si="167"/>
        <v>0</v>
      </c>
      <c r="AL34" s="17">
        <f t="shared" si="167"/>
        <v>0</v>
      </c>
      <c r="AM34" s="17">
        <f t="shared" si="167"/>
        <v>0</v>
      </c>
      <c r="AN34" s="17">
        <f t="shared" si="167"/>
        <v>0</v>
      </c>
      <c r="AO34" s="17">
        <f t="shared" si="167"/>
        <v>0</v>
      </c>
      <c r="AP34" s="17">
        <f t="shared" si="167"/>
        <v>0</v>
      </c>
      <c r="AR34" s="17">
        <f t="shared" ref="AR34:AV34" si="168">SUBTOTAL(9,AR28:AR33)</f>
        <v>0</v>
      </c>
      <c r="AS34" s="17">
        <f t="shared" si="168"/>
        <v>0</v>
      </c>
      <c r="AT34" s="17">
        <f t="shared" si="168"/>
        <v>0</v>
      </c>
      <c r="AU34" s="17">
        <f t="shared" si="168"/>
        <v>0</v>
      </c>
      <c r="AV34" s="17">
        <f t="shared" si="168"/>
        <v>0</v>
      </c>
      <c r="AX34" s="17">
        <f t="shared" ref="AX34:BB34" si="169">SUBTOTAL(9,AX28:AX33)</f>
        <v>0</v>
      </c>
      <c r="AY34" s="17">
        <f t="shared" si="169"/>
        <v>0</v>
      </c>
      <c r="AZ34" s="17">
        <f t="shared" si="169"/>
        <v>0</v>
      </c>
      <c r="BA34" s="17">
        <f t="shared" si="169"/>
        <v>0</v>
      </c>
      <c r="BB34" s="17">
        <f t="shared" si="169"/>
        <v>0</v>
      </c>
      <c r="BD34" s="17">
        <f t="shared" ref="BD34:BH34" si="170">SUBTOTAL(9,BD28:BD33)</f>
        <v>0</v>
      </c>
      <c r="BE34" s="17">
        <f t="shared" si="170"/>
        <v>0</v>
      </c>
      <c r="BF34" s="17">
        <f t="shared" si="170"/>
        <v>0</v>
      </c>
      <c r="BG34" s="17">
        <f t="shared" si="170"/>
        <v>0</v>
      </c>
      <c r="BH34" s="17">
        <f t="shared" si="170"/>
        <v>0</v>
      </c>
    </row>
    <row r="35" spans="2:60" s="16" customFormat="1" x14ac:dyDescent="0.25">
      <c r="E35" s="22"/>
      <c r="F35" s="22"/>
      <c r="G35" s="22"/>
      <c r="H35" s="22"/>
      <c r="I35" s="22"/>
      <c r="J35" s="22"/>
      <c r="K35" s="22"/>
      <c r="L35" s="22"/>
      <c r="M35" s="22"/>
      <c r="N35" s="22"/>
      <c r="O35" s="22"/>
      <c r="P35" s="22"/>
      <c r="R35" s="22"/>
      <c r="S35" s="22"/>
      <c r="T35" s="22"/>
      <c r="U35" s="22"/>
      <c r="V35" s="22"/>
      <c r="W35" s="22"/>
      <c r="X35" s="22"/>
      <c r="Y35" s="22"/>
      <c r="Z35" s="22"/>
      <c r="AA35" s="22"/>
      <c r="AB35" s="22"/>
      <c r="AC35" s="22"/>
    </row>
    <row r="36" spans="2:60" s="16" customFormat="1" x14ac:dyDescent="0.25">
      <c r="B36" s="16" t="s">
        <v>203</v>
      </c>
      <c r="AR36" s="16">
        <f t="shared" ref="AR36:AR39" si="171">SUM(E36:P36)</f>
        <v>0</v>
      </c>
      <c r="AS36" s="16">
        <f t="shared" ref="AS36:AS39" si="172">SUM(E36:G36)</f>
        <v>0</v>
      </c>
      <c r="AT36" s="16">
        <f t="shared" ref="AT36:AT39" si="173">SUM(H36:J36)</f>
        <v>0</v>
      </c>
      <c r="AU36" s="16">
        <f t="shared" ref="AU36:AU39" si="174">SUM(K36:M36)</f>
        <v>0</v>
      </c>
      <c r="AV36" s="16">
        <f t="shared" ref="AV36:AV39" si="175">SUM(N36:P36)</f>
        <v>0</v>
      </c>
      <c r="AX36" s="16">
        <f t="shared" ref="AX36:AX39" si="176">SUM(R36:AC36)</f>
        <v>0</v>
      </c>
      <c r="AY36" s="16">
        <f t="shared" ref="AY36:AY39" si="177">SUM(R36:T36)</f>
        <v>0</v>
      </c>
      <c r="AZ36" s="16">
        <f t="shared" ref="AZ36:AZ39" si="178">SUM(U36:W36)</f>
        <v>0</v>
      </c>
      <c r="BA36" s="16">
        <f t="shared" ref="BA36:BA39" si="179">SUM(X36:Z36)</f>
        <v>0</v>
      </c>
      <c r="BB36" s="16">
        <f t="shared" ref="BB36:BB39" si="180">SUM(AA36:AC36)</f>
        <v>0</v>
      </c>
      <c r="BD36" s="16">
        <f t="shared" ref="BD36:BD39" si="181">SUM(AE36:AP36)</f>
        <v>0</v>
      </c>
      <c r="BE36" s="16">
        <f t="shared" ref="BE36:BE39" si="182">SUM(AE36:AG36)</f>
        <v>0</v>
      </c>
      <c r="BF36" s="16">
        <f t="shared" ref="BF36:BF39" si="183">SUM(AH36:AJ36)</f>
        <v>0</v>
      </c>
      <c r="BG36" s="16">
        <f t="shared" ref="BG36:BG39" si="184">SUM(AK36:AM36)</f>
        <v>0</v>
      </c>
      <c r="BH36" s="16">
        <f t="shared" ref="BH36:BH39" si="185">SUM(AN36:AP36)</f>
        <v>0</v>
      </c>
    </row>
    <row r="37" spans="2:60" s="16" customFormat="1" x14ac:dyDescent="0.25">
      <c r="B37" s="16" t="s">
        <v>204</v>
      </c>
      <c r="AR37" s="16">
        <f t="shared" si="171"/>
        <v>0</v>
      </c>
      <c r="AS37" s="16">
        <f t="shared" si="172"/>
        <v>0</v>
      </c>
      <c r="AT37" s="16">
        <f t="shared" si="173"/>
        <v>0</v>
      </c>
      <c r="AU37" s="16">
        <f t="shared" si="174"/>
        <v>0</v>
      </c>
      <c r="AV37" s="16">
        <f t="shared" si="175"/>
        <v>0</v>
      </c>
      <c r="AX37" s="16">
        <f t="shared" si="176"/>
        <v>0</v>
      </c>
      <c r="AY37" s="16">
        <f t="shared" si="177"/>
        <v>0</v>
      </c>
      <c r="AZ37" s="16">
        <f t="shared" si="178"/>
        <v>0</v>
      </c>
      <c r="BA37" s="16">
        <f t="shared" si="179"/>
        <v>0</v>
      </c>
      <c r="BB37" s="16">
        <f t="shared" si="180"/>
        <v>0</v>
      </c>
      <c r="BD37" s="16">
        <f t="shared" si="181"/>
        <v>0</v>
      </c>
      <c r="BE37" s="16">
        <f t="shared" si="182"/>
        <v>0</v>
      </c>
      <c r="BF37" s="16">
        <f t="shared" si="183"/>
        <v>0</v>
      </c>
      <c r="BG37" s="16">
        <f t="shared" si="184"/>
        <v>0</v>
      </c>
      <c r="BH37" s="16">
        <f t="shared" si="185"/>
        <v>0</v>
      </c>
    </row>
    <row r="38" spans="2:60" s="16" customFormat="1" x14ac:dyDescent="0.25">
      <c r="B38" s="16" t="s">
        <v>205</v>
      </c>
      <c r="AR38" s="16">
        <f t="shared" si="171"/>
        <v>0</v>
      </c>
      <c r="AS38" s="16">
        <f t="shared" si="172"/>
        <v>0</v>
      </c>
      <c r="AT38" s="16">
        <f t="shared" si="173"/>
        <v>0</v>
      </c>
      <c r="AU38" s="16">
        <f t="shared" si="174"/>
        <v>0</v>
      </c>
      <c r="AV38" s="16">
        <f t="shared" si="175"/>
        <v>0</v>
      </c>
      <c r="AX38" s="16">
        <f t="shared" si="176"/>
        <v>0</v>
      </c>
      <c r="AY38" s="16">
        <f t="shared" si="177"/>
        <v>0</v>
      </c>
      <c r="AZ38" s="16">
        <f t="shared" si="178"/>
        <v>0</v>
      </c>
      <c r="BA38" s="16">
        <f t="shared" si="179"/>
        <v>0</v>
      </c>
      <c r="BB38" s="16">
        <f t="shared" si="180"/>
        <v>0</v>
      </c>
      <c r="BD38" s="16">
        <f t="shared" si="181"/>
        <v>0</v>
      </c>
      <c r="BE38" s="16">
        <f t="shared" si="182"/>
        <v>0</v>
      </c>
      <c r="BF38" s="16">
        <f t="shared" si="183"/>
        <v>0</v>
      </c>
      <c r="BG38" s="16">
        <f t="shared" si="184"/>
        <v>0</v>
      </c>
      <c r="BH38" s="16">
        <f t="shared" si="185"/>
        <v>0</v>
      </c>
    </row>
    <row r="39" spans="2:60" s="16" customFormat="1" x14ac:dyDescent="0.25">
      <c r="B39" s="16" t="s">
        <v>174</v>
      </c>
      <c r="M39" s="16">
        <v>10800</v>
      </c>
      <c r="P39" s="16">
        <v>50400</v>
      </c>
      <c r="AR39" s="16">
        <f t="shared" si="171"/>
        <v>61200</v>
      </c>
      <c r="AS39" s="16">
        <f t="shared" si="172"/>
        <v>0</v>
      </c>
      <c r="AT39" s="16">
        <f t="shared" si="173"/>
        <v>0</v>
      </c>
      <c r="AU39" s="16">
        <f t="shared" si="174"/>
        <v>10800</v>
      </c>
      <c r="AV39" s="16">
        <f t="shared" si="175"/>
        <v>50400</v>
      </c>
      <c r="AX39" s="16">
        <f t="shared" si="176"/>
        <v>0</v>
      </c>
      <c r="AY39" s="16">
        <f t="shared" si="177"/>
        <v>0</v>
      </c>
      <c r="AZ39" s="16">
        <f t="shared" si="178"/>
        <v>0</v>
      </c>
      <c r="BA39" s="16">
        <f t="shared" si="179"/>
        <v>0</v>
      </c>
      <c r="BB39" s="16">
        <f t="shared" si="180"/>
        <v>0</v>
      </c>
      <c r="BD39" s="16">
        <f t="shared" si="181"/>
        <v>0</v>
      </c>
      <c r="BE39" s="16">
        <f t="shared" si="182"/>
        <v>0</v>
      </c>
      <c r="BF39" s="16">
        <f t="shared" si="183"/>
        <v>0</v>
      </c>
      <c r="BG39" s="16">
        <f t="shared" si="184"/>
        <v>0</v>
      </c>
      <c r="BH39" s="16">
        <f t="shared" si="185"/>
        <v>0</v>
      </c>
    </row>
    <row r="40" spans="2:60" s="16" customFormat="1" x14ac:dyDescent="0.25">
      <c r="E40" s="22"/>
      <c r="F40" s="22"/>
      <c r="G40" s="22"/>
      <c r="H40" s="22"/>
      <c r="I40" s="22"/>
      <c r="J40" s="22"/>
      <c r="K40" s="22"/>
      <c r="L40" s="22"/>
      <c r="M40" s="22"/>
      <c r="N40" s="22"/>
      <c r="O40" s="22"/>
      <c r="P40" s="22"/>
      <c r="R40" s="22"/>
      <c r="S40" s="22"/>
      <c r="T40" s="22"/>
      <c r="U40" s="22"/>
      <c r="V40" s="22"/>
      <c r="W40" s="22"/>
      <c r="X40" s="22"/>
      <c r="Y40" s="22"/>
      <c r="Z40" s="22"/>
      <c r="AA40" s="22"/>
      <c r="AB40" s="22"/>
      <c r="AC40" s="22"/>
    </row>
    <row r="41" spans="2:60" s="16" customFormat="1" x14ac:dyDescent="0.25">
      <c r="B41" s="16" t="s">
        <v>175</v>
      </c>
      <c r="E41" s="17">
        <f t="shared" ref="E41:P41" si="186">SUBTOTAL(9,E36:E40)</f>
        <v>0</v>
      </c>
      <c r="F41" s="17">
        <f t="shared" si="186"/>
        <v>0</v>
      </c>
      <c r="G41" s="17">
        <f t="shared" si="186"/>
        <v>0</v>
      </c>
      <c r="H41" s="17">
        <f t="shared" si="186"/>
        <v>0</v>
      </c>
      <c r="I41" s="17">
        <f t="shared" si="186"/>
        <v>0</v>
      </c>
      <c r="J41" s="17">
        <f t="shared" si="186"/>
        <v>0</v>
      </c>
      <c r="K41" s="17">
        <f t="shared" si="186"/>
        <v>0</v>
      </c>
      <c r="L41" s="17">
        <f t="shared" si="186"/>
        <v>0</v>
      </c>
      <c r="M41" s="17">
        <f t="shared" si="186"/>
        <v>10800</v>
      </c>
      <c r="N41" s="17">
        <f t="shared" si="186"/>
        <v>0</v>
      </c>
      <c r="O41" s="17">
        <f t="shared" si="186"/>
        <v>0</v>
      </c>
      <c r="P41" s="17">
        <f t="shared" si="186"/>
        <v>50400</v>
      </c>
      <c r="R41" s="17">
        <f t="shared" ref="R41:AC41" si="187">SUBTOTAL(9,R36:R40)</f>
        <v>0</v>
      </c>
      <c r="S41" s="17">
        <f t="shared" si="187"/>
        <v>0</v>
      </c>
      <c r="T41" s="17">
        <f t="shared" si="187"/>
        <v>0</v>
      </c>
      <c r="U41" s="17">
        <f t="shared" si="187"/>
        <v>0</v>
      </c>
      <c r="V41" s="17">
        <f t="shared" si="187"/>
        <v>0</v>
      </c>
      <c r="W41" s="17">
        <f t="shared" si="187"/>
        <v>0</v>
      </c>
      <c r="X41" s="17">
        <f t="shared" si="187"/>
        <v>0</v>
      </c>
      <c r="Y41" s="17">
        <f t="shared" si="187"/>
        <v>0</v>
      </c>
      <c r="Z41" s="17">
        <f t="shared" si="187"/>
        <v>0</v>
      </c>
      <c r="AA41" s="17">
        <f t="shared" si="187"/>
        <v>0</v>
      </c>
      <c r="AB41" s="17">
        <f t="shared" si="187"/>
        <v>0</v>
      </c>
      <c r="AC41" s="17">
        <f t="shared" si="187"/>
        <v>0</v>
      </c>
      <c r="AE41" s="17">
        <f t="shared" ref="AE41:AP41" si="188">SUBTOTAL(9,AE36:AE40)</f>
        <v>0</v>
      </c>
      <c r="AF41" s="17">
        <f t="shared" si="188"/>
        <v>0</v>
      </c>
      <c r="AG41" s="17">
        <f t="shared" si="188"/>
        <v>0</v>
      </c>
      <c r="AH41" s="17">
        <f t="shared" si="188"/>
        <v>0</v>
      </c>
      <c r="AI41" s="17">
        <f t="shared" si="188"/>
        <v>0</v>
      </c>
      <c r="AJ41" s="17">
        <f t="shared" si="188"/>
        <v>0</v>
      </c>
      <c r="AK41" s="17">
        <f t="shared" si="188"/>
        <v>0</v>
      </c>
      <c r="AL41" s="17">
        <f t="shared" si="188"/>
        <v>0</v>
      </c>
      <c r="AM41" s="17">
        <f t="shared" si="188"/>
        <v>0</v>
      </c>
      <c r="AN41" s="17">
        <f t="shared" si="188"/>
        <v>0</v>
      </c>
      <c r="AO41" s="17">
        <f t="shared" si="188"/>
        <v>0</v>
      </c>
      <c r="AP41" s="17">
        <f t="shared" si="188"/>
        <v>0</v>
      </c>
      <c r="AR41" s="17">
        <f t="shared" ref="AR41:AV41" si="189">SUBTOTAL(9,AR36:AR40)</f>
        <v>61200</v>
      </c>
      <c r="AS41" s="17">
        <f t="shared" si="189"/>
        <v>0</v>
      </c>
      <c r="AT41" s="17">
        <f t="shared" si="189"/>
        <v>0</v>
      </c>
      <c r="AU41" s="17">
        <f t="shared" si="189"/>
        <v>10800</v>
      </c>
      <c r="AV41" s="17">
        <f t="shared" si="189"/>
        <v>50400</v>
      </c>
      <c r="AX41" s="17">
        <f t="shared" ref="AX41:BB41" si="190">SUBTOTAL(9,AX36:AX40)</f>
        <v>0</v>
      </c>
      <c r="AY41" s="17">
        <f t="shared" si="190"/>
        <v>0</v>
      </c>
      <c r="AZ41" s="17">
        <f t="shared" si="190"/>
        <v>0</v>
      </c>
      <c r="BA41" s="17">
        <f t="shared" si="190"/>
        <v>0</v>
      </c>
      <c r="BB41" s="17">
        <f t="shared" si="190"/>
        <v>0</v>
      </c>
      <c r="BD41" s="17">
        <f t="shared" ref="BD41:BH41" si="191">SUBTOTAL(9,BD36:BD40)</f>
        <v>0</v>
      </c>
      <c r="BE41" s="17">
        <f t="shared" si="191"/>
        <v>0</v>
      </c>
      <c r="BF41" s="17">
        <f t="shared" si="191"/>
        <v>0</v>
      </c>
      <c r="BG41" s="17">
        <f t="shared" si="191"/>
        <v>0</v>
      </c>
      <c r="BH41" s="17">
        <f t="shared" si="191"/>
        <v>0</v>
      </c>
    </row>
    <row r="42" spans="2:60" s="16" customFormat="1" x14ac:dyDescent="0.25"/>
    <row r="43" spans="2:60" s="16" customFormat="1" x14ac:dyDescent="0.25">
      <c r="B43" s="16" t="s">
        <v>233</v>
      </c>
      <c r="E43" s="16">
        <f>+E131</f>
        <v>4480</v>
      </c>
      <c r="F43" s="16">
        <f t="shared" ref="F43:P43" si="192">+F131</f>
        <v>980</v>
      </c>
      <c r="G43" s="16">
        <f t="shared" si="192"/>
        <v>980</v>
      </c>
      <c r="H43" s="16">
        <f t="shared" si="192"/>
        <v>3480</v>
      </c>
      <c r="I43" s="16">
        <f t="shared" si="192"/>
        <v>980</v>
      </c>
      <c r="J43" s="16">
        <f t="shared" si="192"/>
        <v>980</v>
      </c>
      <c r="K43" s="16">
        <f t="shared" si="192"/>
        <v>3780</v>
      </c>
      <c r="L43" s="16">
        <f t="shared" si="192"/>
        <v>980</v>
      </c>
      <c r="M43" s="16">
        <f t="shared" si="192"/>
        <v>980</v>
      </c>
      <c r="N43" s="16">
        <f t="shared" si="192"/>
        <v>3480</v>
      </c>
      <c r="O43" s="16">
        <f t="shared" si="192"/>
        <v>980</v>
      </c>
      <c r="P43" s="16">
        <f t="shared" si="192"/>
        <v>980</v>
      </c>
      <c r="R43" s="16">
        <f t="shared" ref="R43:AC43" si="193">+R131</f>
        <v>4780</v>
      </c>
      <c r="S43" s="16">
        <f t="shared" si="193"/>
        <v>980</v>
      </c>
      <c r="T43" s="16">
        <f t="shared" si="193"/>
        <v>980</v>
      </c>
      <c r="U43" s="16">
        <f t="shared" si="193"/>
        <v>3480</v>
      </c>
      <c r="V43" s="16">
        <f t="shared" si="193"/>
        <v>980</v>
      </c>
      <c r="W43" s="16">
        <f t="shared" si="193"/>
        <v>980</v>
      </c>
      <c r="X43" s="16">
        <f t="shared" si="193"/>
        <v>3780</v>
      </c>
      <c r="Y43" s="16">
        <f t="shared" si="193"/>
        <v>980</v>
      </c>
      <c r="Z43" s="16">
        <f t="shared" si="193"/>
        <v>980</v>
      </c>
      <c r="AA43" s="16">
        <f t="shared" si="193"/>
        <v>3480</v>
      </c>
      <c r="AB43" s="16">
        <f t="shared" si="193"/>
        <v>980</v>
      </c>
      <c r="AC43" s="16">
        <f t="shared" si="193"/>
        <v>980</v>
      </c>
      <c r="AE43" s="16">
        <f t="shared" ref="AE43:AP43" si="194">+AE131</f>
        <v>3780</v>
      </c>
      <c r="AF43" s="16">
        <f t="shared" si="194"/>
        <v>980</v>
      </c>
      <c r="AG43" s="16">
        <f t="shared" si="194"/>
        <v>980</v>
      </c>
      <c r="AH43" s="16">
        <f t="shared" si="194"/>
        <v>480</v>
      </c>
      <c r="AI43" s="16">
        <f t="shared" si="194"/>
        <v>480</v>
      </c>
      <c r="AJ43" s="16">
        <f t="shared" si="194"/>
        <v>780</v>
      </c>
      <c r="AK43" s="16">
        <f t="shared" si="194"/>
        <v>480</v>
      </c>
      <c r="AL43" s="16">
        <f t="shared" si="194"/>
        <v>480</v>
      </c>
      <c r="AM43" s="16">
        <f t="shared" si="194"/>
        <v>480</v>
      </c>
      <c r="AN43" s="16">
        <f t="shared" si="194"/>
        <v>480</v>
      </c>
      <c r="AO43" s="16">
        <f t="shared" si="194"/>
        <v>480</v>
      </c>
      <c r="AP43" s="16">
        <f t="shared" si="194"/>
        <v>480</v>
      </c>
      <c r="AR43" s="16">
        <f t="shared" ref="AR43:AR52" si="195">SUM(E43:P43)</f>
        <v>23060</v>
      </c>
      <c r="AS43" s="16">
        <f t="shared" ref="AS43:AS52" si="196">SUM(E43:G43)</f>
        <v>6440</v>
      </c>
      <c r="AT43" s="16">
        <f t="shared" ref="AT43:AT52" si="197">SUM(H43:J43)</f>
        <v>5440</v>
      </c>
      <c r="AU43" s="16">
        <f t="shared" ref="AU43:AU52" si="198">SUM(K43:M43)</f>
        <v>5740</v>
      </c>
      <c r="AV43" s="16">
        <f t="shared" ref="AV43:AV52" si="199">SUM(N43:P43)</f>
        <v>5440</v>
      </c>
      <c r="AX43" s="16">
        <f t="shared" ref="AX43:AX52" si="200">SUM(R43:AC43)</f>
        <v>23360</v>
      </c>
      <c r="AY43" s="16">
        <f t="shared" ref="AY43:AY52" si="201">SUM(R43:T43)</f>
        <v>6740</v>
      </c>
      <c r="AZ43" s="16">
        <f t="shared" ref="AZ43:AZ52" si="202">SUM(U43:W43)</f>
        <v>5440</v>
      </c>
      <c r="BA43" s="16">
        <f t="shared" ref="BA43:BA52" si="203">SUM(X43:Z43)</f>
        <v>5740</v>
      </c>
      <c r="BB43" s="16">
        <f t="shared" ref="BB43:BB52" si="204">SUM(AA43:AC43)</f>
        <v>5440</v>
      </c>
      <c r="BD43" s="16">
        <f t="shared" ref="BD43:BD52" si="205">SUM(AE43:AP43)</f>
        <v>10360</v>
      </c>
      <c r="BE43" s="16">
        <f t="shared" ref="BE43:BE52" si="206">SUM(AE43:AG43)</f>
        <v>5740</v>
      </c>
      <c r="BF43" s="16">
        <f t="shared" ref="BF43:BF52" si="207">SUM(AH43:AJ43)</f>
        <v>1740</v>
      </c>
      <c r="BG43" s="16">
        <f t="shared" ref="BG43:BG52" si="208">SUM(AK43:AM43)</f>
        <v>1440</v>
      </c>
      <c r="BH43" s="16">
        <f t="shared" ref="BH43:BH52" si="209">SUM(AN43:AP43)</f>
        <v>1440</v>
      </c>
    </row>
    <row r="44" spans="2:60" s="16" customFormat="1" x14ac:dyDescent="0.25">
      <c r="B44" s="16" t="s">
        <v>232</v>
      </c>
      <c r="E44" s="16">
        <f>+E143</f>
        <v>15000</v>
      </c>
      <c r="F44" s="16">
        <f t="shared" ref="F44:P44" si="210">+F143</f>
        <v>0</v>
      </c>
      <c r="G44" s="16">
        <f t="shared" si="210"/>
        <v>0</v>
      </c>
      <c r="H44" s="16">
        <f t="shared" si="210"/>
        <v>0</v>
      </c>
      <c r="I44" s="16">
        <f t="shared" si="210"/>
        <v>0</v>
      </c>
      <c r="J44" s="16">
        <f t="shared" si="210"/>
        <v>15000</v>
      </c>
      <c r="K44" s="16">
        <f t="shared" si="210"/>
        <v>0</v>
      </c>
      <c r="L44" s="16">
        <f t="shared" si="210"/>
        <v>66092.5</v>
      </c>
      <c r="M44" s="16">
        <f t="shared" si="210"/>
        <v>0</v>
      </c>
      <c r="N44" s="16">
        <f t="shared" si="210"/>
        <v>0</v>
      </c>
      <c r="O44" s="16">
        <f t="shared" si="210"/>
        <v>50000</v>
      </c>
      <c r="P44" s="16">
        <f t="shared" si="210"/>
        <v>0</v>
      </c>
      <c r="R44" s="16">
        <f t="shared" ref="R44:AC44" si="211">+R143</f>
        <v>0</v>
      </c>
      <c r="S44" s="16">
        <f t="shared" si="211"/>
        <v>0</v>
      </c>
      <c r="T44" s="16">
        <f t="shared" si="211"/>
        <v>0</v>
      </c>
      <c r="U44" s="16">
        <f t="shared" si="211"/>
        <v>0</v>
      </c>
      <c r="V44" s="16">
        <f t="shared" si="211"/>
        <v>0</v>
      </c>
      <c r="W44" s="16">
        <f t="shared" si="211"/>
        <v>0</v>
      </c>
      <c r="X44" s="16">
        <f t="shared" si="211"/>
        <v>0</v>
      </c>
      <c r="Y44" s="16">
        <f t="shared" si="211"/>
        <v>0</v>
      </c>
      <c r="Z44" s="16">
        <f t="shared" si="211"/>
        <v>0</v>
      </c>
      <c r="AA44" s="16">
        <f t="shared" si="211"/>
        <v>0</v>
      </c>
      <c r="AB44" s="16">
        <f t="shared" si="211"/>
        <v>0</v>
      </c>
      <c r="AC44" s="16">
        <f t="shared" si="211"/>
        <v>0</v>
      </c>
      <c r="AE44" s="16">
        <f t="shared" ref="AE44:AP44" si="212">+AE143</f>
        <v>0</v>
      </c>
      <c r="AF44" s="16">
        <f t="shared" si="212"/>
        <v>0</v>
      </c>
      <c r="AG44" s="16">
        <f t="shared" si="212"/>
        <v>0</v>
      </c>
      <c r="AH44" s="16">
        <f t="shared" si="212"/>
        <v>0</v>
      </c>
      <c r="AI44" s="16">
        <f t="shared" si="212"/>
        <v>0</v>
      </c>
      <c r="AJ44" s="16">
        <f t="shared" si="212"/>
        <v>0</v>
      </c>
      <c r="AK44" s="16">
        <f t="shared" si="212"/>
        <v>0</v>
      </c>
      <c r="AL44" s="16">
        <f t="shared" si="212"/>
        <v>0</v>
      </c>
      <c r="AM44" s="16">
        <f t="shared" si="212"/>
        <v>0</v>
      </c>
      <c r="AN44" s="16">
        <f t="shared" si="212"/>
        <v>0</v>
      </c>
      <c r="AO44" s="16">
        <f t="shared" si="212"/>
        <v>0</v>
      </c>
      <c r="AP44" s="16">
        <f t="shared" si="212"/>
        <v>0</v>
      </c>
      <c r="AR44" s="16">
        <f t="shared" si="195"/>
        <v>146092.5</v>
      </c>
      <c r="AS44" s="16">
        <f t="shared" si="196"/>
        <v>15000</v>
      </c>
      <c r="AT44" s="16">
        <f t="shared" si="197"/>
        <v>15000</v>
      </c>
      <c r="AU44" s="16">
        <f t="shared" si="198"/>
        <v>66092.5</v>
      </c>
      <c r="AV44" s="16">
        <f t="shared" si="199"/>
        <v>50000</v>
      </c>
      <c r="AX44" s="16">
        <f t="shared" si="200"/>
        <v>0</v>
      </c>
      <c r="AY44" s="16">
        <f t="shared" si="201"/>
        <v>0</v>
      </c>
      <c r="AZ44" s="16">
        <f t="shared" si="202"/>
        <v>0</v>
      </c>
      <c r="BA44" s="16">
        <f t="shared" si="203"/>
        <v>0</v>
      </c>
      <c r="BB44" s="16">
        <f t="shared" si="204"/>
        <v>0</v>
      </c>
      <c r="BD44" s="16">
        <f t="shared" si="205"/>
        <v>0</v>
      </c>
      <c r="BE44" s="16">
        <f t="shared" si="206"/>
        <v>0</v>
      </c>
      <c r="BF44" s="16">
        <f t="shared" si="207"/>
        <v>0</v>
      </c>
      <c r="BG44" s="16">
        <f t="shared" si="208"/>
        <v>0</v>
      </c>
      <c r="BH44" s="16">
        <f t="shared" si="209"/>
        <v>0</v>
      </c>
    </row>
    <row r="45" spans="2:60" s="16" customFormat="1" x14ac:dyDescent="0.25">
      <c r="B45" s="16" t="s">
        <v>234</v>
      </c>
      <c r="E45" s="16">
        <f>+E172</f>
        <v>72815</v>
      </c>
      <c r="F45" s="16">
        <f t="shared" ref="F45:P45" si="213">+F172</f>
        <v>2600</v>
      </c>
      <c r="G45" s="16">
        <f t="shared" si="213"/>
        <v>2600</v>
      </c>
      <c r="H45" s="16">
        <f t="shared" si="213"/>
        <v>13278</v>
      </c>
      <c r="I45" s="16">
        <f t="shared" si="213"/>
        <v>2600</v>
      </c>
      <c r="J45" s="16">
        <f t="shared" si="213"/>
        <v>2600</v>
      </c>
      <c r="K45" s="16">
        <f t="shared" si="213"/>
        <v>52600</v>
      </c>
      <c r="L45" s="16">
        <f t="shared" si="213"/>
        <v>2600</v>
      </c>
      <c r="M45" s="16">
        <f t="shared" si="213"/>
        <v>28800</v>
      </c>
      <c r="N45" s="16">
        <f t="shared" si="213"/>
        <v>2600</v>
      </c>
      <c r="O45" s="16">
        <f t="shared" si="213"/>
        <v>2600</v>
      </c>
      <c r="P45" s="16">
        <f t="shared" si="213"/>
        <v>3600</v>
      </c>
      <c r="R45" s="16">
        <f t="shared" ref="R45:AC45" si="214">+R172</f>
        <v>2600</v>
      </c>
      <c r="S45" s="16">
        <f t="shared" si="214"/>
        <v>2600</v>
      </c>
      <c r="T45" s="16">
        <f t="shared" si="214"/>
        <v>2600</v>
      </c>
      <c r="U45" s="16">
        <f t="shared" si="214"/>
        <v>2600</v>
      </c>
      <c r="V45" s="16">
        <f t="shared" si="214"/>
        <v>2600</v>
      </c>
      <c r="W45" s="16">
        <f t="shared" si="214"/>
        <v>2600</v>
      </c>
      <c r="X45" s="16">
        <f t="shared" si="214"/>
        <v>2600</v>
      </c>
      <c r="Y45" s="16">
        <f t="shared" si="214"/>
        <v>2600</v>
      </c>
      <c r="Z45" s="16">
        <f t="shared" si="214"/>
        <v>2600</v>
      </c>
      <c r="AA45" s="16">
        <f t="shared" si="214"/>
        <v>1800</v>
      </c>
      <c r="AB45" s="16">
        <f t="shared" si="214"/>
        <v>1800</v>
      </c>
      <c r="AC45" s="16">
        <f t="shared" si="214"/>
        <v>1800</v>
      </c>
      <c r="AE45" s="16">
        <f t="shared" ref="AE45:AP45" si="215">+AE172</f>
        <v>1800</v>
      </c>
      <c r="AF45" s="16">
        <f t="shared" si="215"/>
        <v>1800</v>
      </c>
      <c r="AG45" s="16">
        <f t="shared" si="215"/>
        <v>1800</v>
      </c>
      <c r="AH45" s="16">
        <f t="shared" si="215"/>
        <v>0</v>
      </c>
      <c r="AI45" s="16">
        <f t="shared" si="215"/>
        <v>0</v>
      </c>
      <c r="AJ45" s="16">
        <f t="shared" si="215"/>
        <v>0</v>
      </c>
      <c r="AK45" s="16">
        <f t="shared" si="215"/>
        <v>0</v>
      </c>
      <c r="AL45" s="16">
        <f t="shared" si="215"/>
        <v>0</v>
      </c>
      <c r="AM45" s="16">
        <f t="shared" si="215"/>
        <v>0</v>
      </c>
      <c r="AN45" s="16">
        <f t="shared" si="215"/>
        <v>0</v>
      </c>
      <c r="AO45" s="16">
        <f t="shared" si="215"/>
        <v>0</v>
      </c>
      <c r="AP45" s="16">
        <f t="shared" si="215"/>
        <v>0</v>
      </c>
      <c r="AR45" s="16">
        <f t="shared" si="195"/>
        <v>189293</v>
      </c>
      <c r="AS45" s="16">
        <f t="shared" si="196"/>
        <v>78015</v>
      </c>
      <c r="AT45" s="16">
        <f t="shared" si="197"/>
        <v>18478</v>
      </c>
      <c r="AU45" s="16">
        <f t="shared" si="198"/>
        <v>84000</v>
      </c>
      <c r="AV45" s="16">
        <f t="shared" si="199"/>
        <v>8800</v>
      </c>
      <c r="AX45" s="16">
        <f t="shared" si="200"/>
        <v>28800</v>
      </c>
      <c r="AY45" s="16">
        <f t="shared" si="201"/>
        <v>7800</v>
      </c>
      <c r="AZ45" s="16">
        <f t="shared" si="202"/>
        <v>7800</v>
      </c>
      <c r="BA45" s="16">
        <f t="shared" si="203"/>
        <v>7800</v>
      </c>
      <c r="BB45" s="16">
        <f t="shared" si="204"/>
        <v>5400</v>
      </c>
      <c r="BD45" s="16">
        <f t="shared" si="205"/>
        <v>5400</v>
      </c>
      <c r="BE45" s="16">
        <f t="shared" si="206"/>
        <v>5400</v>
      </c>
      <c r="BF45" s="16">
        <f t="shared" si="207"/>
        <v>0</v>
      </c>
      <c r="BG45" s="16">
        <f t="shared" si="208"/>
        <v>0</v>
      </c>
      <c r="BH45" s="16">
        <f t="shared" si="209"/>
        <v>0</v>
      </c>
    </row>
    <row r="46" spans="2:60" s="16" customFormat="1" x14ac:dyDescent="0.25">
      <c r="B46" s="16" t="s">
        <v>37</v>
      </c>
      <c r="M46" s="16">
        <v>38200</v>
      </c>
      <c r="AR46" s="16">
        <f t="shared" si="195"/>
        <v>38200</v>
      </c>
      <c r="AS46" s="16">
        <f t="shared" si="196"/>
        <v>0</v>
      </c>
      <c r="AT46" s="16">
        <f t="shared" si="197"/>
        <v>0</v>
      </c>
      <c r="AU46" s="16">
        <f t="shared" si="198"/>
        <v>38200</v>
      </c>
      <c r="AV46" s="16">
        <f t="shared" si="199"/>
        <v>0</v>
      </c>
      <c r="AX46" s="16">
        <f t="shared" si="200"/>
        <v>0</v>
      </c>
      <c r="AY46" s="16">
        <f t="shared" si="201"/>
        <v>0</v>
      </c>
      <c r="AZ46" s="16">
        <f t="shared" si="202"/>
        <v>0</v>
      </c>
      <c r="BA46" s="16">
        <f t="shared" si="203"/>
        <v>0</v>
      </c>
      <c r="BB46" s="16">
        <f t="shared" si="204"/>
        <v>0</v>
      </c>
      <c r="BD46" s="16">
        <f t="shared" si="205"/>
        <v>0</v>
      </c>
      <c r="BE46" s="16">
        <f t="shared" si="206"/>
        <v>0</v>
      </c>
      <c r="BF46" s="16">
        <f t="shared" si="207"/>
        <v>0</v>
      </c>
      <c r="BG46" s="16">
        <f t="shared" si="208"/>
        <v>0</v>
      </c>
      <c r="BH46" s="16">
        <f t="shared" si="209"/>
        <v>0</v>
      </c>
    </row>
    <row r="47" spans="2:60" s="16" customFormat="1" x14ac:dyDescent="0.25">
      <c r="B47" s="16" t="s">
        <v>137</v>
      </c>
      <c r="C47" s="16" t="s">
        <v>138</v>
      </c>
      <c r="T47" s="16">
        <v>3000</v>
      </c>
      <c r="X47" s="16">
        <v>3000</v>
      </c>
      <c r="AR47" s="16">
        <f t="shared" si="195"/>
        <v>0</v>
      </c>
      <c r="AS47" s="16">
        <f t="shared" si="196"/>
        <v>0</v>
      </c>
      <c r="AT47" s="16">
        <f t="shared" si="197"/>
        <v>0</v>
      </c>
      <c r="AU47" s="16">
        <f t="shared" si="198"/>
        <v>0</v>
      </c>
      <c r="AV47" s="16">
        <f t="shared" si="199"/>
        <v>0</v>
      </c>
      <c r="AX47" s="16">
        <f t="shared" si="200"/>
        <v>6000</v>
      </c>
      <c r="AY47" s="16">
        <f t="shared" si="201"/>
        <v>3000</v>
      </c>
      <c r="AZ47" s="16">
        <f t="shared" si="202"/>
        <v>0</v>
      </c>
      <c r="BA47" s="16">
        <f t="shared" si="203"/>
        <v>3000</v>
      </c>
      <c r="BB47" s="16">
        <f t="shared" si="204"/>
        <v>0</v>
      </c>
      <c r="BD47" s="16">
        <f t="shared" si="205"/>
        <v>0</v>
      </c>
      <c r="BE47" s="16">
        <f t="shared" si="206"/>
        <v>0</v>
      </c>
      <c r="BF47" s="16">
        <f t="shared" si="207"/>
        <v>0</v>
      </c>
      <c r="BG47" s="16">
        <f t="shared" si="208"/>
        <v>0</v>
      </c>
      <c r="BH47" s="16">
        <f t="shared" si="209"/>
        <v>0</v>
      </c>
    </row>
    <row r="48" spans="2:60" s="16" customFormat="1" x14ac:dyDescent="0.25">
      <c r="B48" s="16" t="s">
        <v>38</v>
      </c>
      <c r="E48" s="16">
        <f>+E189</f>
        <v>5826</v>
      </c>
      <c r="F48" s="16">
        <f t="shared" ref="F48:P48" si="216">+F189</f>
        <v>0</v>
      </c>
      <c r="G48" s="16">
        <f t="shared" si="216"/>
        <v>0</v>
      </c>
      <c r="H48" s="16">
        <f t="shared" si="216"/>
        <v>0</v>
      </c>
      <c r="I48" s="16">
        <f t="shared" si="216"/>
        <v>0</v>
      </c>
      <c r="J48" s="16">
        <f t="shared" si="216"/>
        <v>0</v>
      </c>
      <c r="K48" s="16">
        <f t="shared" si="216"/>
        <v>0</v>
      </c>
      <c r="L48" s="16">
        <f t="shared" si="216"/>
        <v>0</v>
      </c>
      <c r="M48" s="16">
        <f t="shared" si="216"/>
        <v>0</v>
      </c>
      <c r="N48" s="16">
        <f t="shared" si="216"/>
        <v>0</v>
      </c>
      <c r="O48" s="16">
        <f t="shared" si="216"/>
        <v>0</v>
      </c>
      <c r="P48" s="16">
        <f t="shared" si="216"/>
        <v>0</v>
      </c>
      <c r="R48" s="16">
        <f>+R189</f>
        <v>1200</v>
      </c>
      <c r="S48" s="16">
        <f t="shared" ref="S48:AC48" si="217">+S189</f>
        <v>0</v>
      </c>
      <c r="T48" s="16">
        <f t="shared" si="217"/>
        <v>0</v>
      </c>
      <c r="U48" s="16">
        <f t="shared" si="217"/>
        <v>0</v>
      </c>
      <c r="V48" s="16">
        <f t="shared" si="217"/>
        <v>0</v>
      </c>
      <c r="W48" s="16">
        <f t="shared" si="217"/>
        <v>0</v>
      </c>
      <c r="X48" s="16">
        <f t="shared" si="217"/>
        <v>0</v>
      </c>
      <c r="Y48" s="16">
        <f t="shared" si="217"/>
        <v>0</v>
      </c>
      <c r="Z48" s="16">
        <f t="shared" si="217"/>
        <v>0</v>
      </c>
      <c r="AA48" s="16">
        <f t="shared" si="217"/>
        <v>0</v>
      </c>
      <c r="AB48" s="16">
        <f t="shared" si="217"/>
        <v>0</v>
      </c>
      <c r="AC48" s="16">
        <f t="shared" si="217"/>
        <v>0</v>
      </c>
      <c r="AE48" s="16">
        <f>+AE189</f>
        <v>0</v>
      </c>
      <c r="AF48" s="16">
        <f t="shared" ref="AF48:AP48" si="218">+AF189</f>
        <v>0</v>
      </c>
      <c r="AG48" s="16">
        <f t="shared" si="218"/>
        <v>0</v>
      </c>
      <c r="AH48" s="16">
        <f t="shared" si="218"/>
        <v>0</v>
      </c>
      <c r="AI48" s="16">
        <f t="shared" si="218"/>
        <v>0</v>
      </c>
      <c r="AJ48" s="16">
        <f t="shared" si="218"/>
        <v>0</v>
      </c>
      <c r="AK48" s="16">
        <f t="shared" si="218"/>
        <v>0</v>
      </c>
      <c r="AL48" s="16">
        <f t="shared" si="218"/>
        <v>0</v>
      </c>
      <c r="AM48" s="16">
        <f t="shared" si="218"/>
        <v>0</v>
      </c>
      <c r="AN48" s="16">
        <f t="shared" si="218"/>
        <v>0</v>
      </c>
      <c r="AO48" s="16">
        <f t="shared" si="218"/>
        <v>0</v>
      </c>
      <c r="AP48" s="16">
        <f t="shared" si="218"/>
        <v>0</v>
      </c>
      <c r="AR48" s="16">
        <f t="shared" si="195"/>
        <v>5826</v>
      </c>
      <c r="AS48" s="16">
        <f t="shared" si="196"/>
        <v>5826</v>
      </c>
      <c r="AT48" s="16">
        <f t="shared" si="197"/>
        <v>0</v>
      </c>
      <c r="AU48" s="16">
        <f t="shared" si="198"/>
        <v>0</v>
      </c>
      <c r="AV48" s="16">
        <f t="shared" si="199"/>
        <v>0</v>
      </c>
      <c r="AX48" s="16">
        <f t="shared" si="200"/>
        <v>1200</v>
      </c>
      <c r="AY48" s="16">
        <f t="shared" si="201"/>
        <v>1200</v>
      </c>
      <c r="AZ48" s="16">
        <f t="shared" si="202"/>
        <v>0</v>
      </c>
      <c r="BA48" s="16">
        <f t="shared" si="203"/>
        <v>0</v>
      </c>
      <c r="BB48" s="16">
        <f t="shared" si="204"/>
        <v>0</v>
      </c>
      <c r="BD48" s="16">
        <f t="shared" si="205"/>
        <v>0</v>
      </c>
      <c r="BE48" s="16">
        <f t="shared" si="206"/>
        <v>0</v>
      </c>
      <c r="BF48" s="16">
        <f t="shared" si="207"/>
        <v>0</v>
      </c>
      <c r="BG48" s="16">
        <f t="shared" si="208"/>
        <v>0</v>
      </c>
      <c r="BH48" s="16">
        <f t="shared" si="209"/>
        <v>0</v>
      </c>
    </row>
    <row r="49" spans="2:60" s="16" customFormat="1" x14ac:dyDescent="0.25">
      <c r="B49" s="16" t="s">
        <v>39</v>
      </c>
      <c r="AR49" s="16">
        <f t="shared" si="195"/>
        <v>0</v>
      </c>
      <c r="AS49" s="16">
        <f t="shared" si="196"/>
        <v>0</v>
      </c>
      <c r="AT49" s="16">
        <f t="shared" si="197"/>
        <v>0</v>
      </c>
      <c r="AU49" s="16">
        <f t="shared" si="198"/>
        <v>0</v>
      </c>
      <c r="AV49" s="16">
        <f t="shared" si="199"/>
        <v>0</v>
      </c>
      <c r="AX49" s="16">
        <f t="shared" si="200"/>
        <v>0</v>
      </c>
      <c r="AY49" s="16">
        <f t="shared" si="201"/>
        <v>0</v>
      </c>
      <c r="AZ49" s="16">
        <f t="shared" si="202"/>
        <v>0</v>
      </c>
      <c r="BA49" s="16">
        <f t="shared" si="203"/>
        <v>0</v>
      </c>
      <c r="BB49" s="16">
        <f t="shared" si="204"/>
        <v>0</v>
      </c>
      <c r="BD49" s="16">
        <f t="shared" si="205"/>
        <v>0</v>
      </c>
      <c r="BE49" s="16">
        <f t="shared" si="206"/>
        <v>0</v>
      </c>
      <c r="BF49" s="16">
        <f t="shared" si="207"/>
        <v>0</v>
      </c>
      <c r="BG49" s="16">
        <f t="shared" si="208"/>
        <v>0</v>
      </c>
      <c r="BH49" s="16">
        <f t="shared" si="209"/>
        <v>0</v>
      </c>
    </row>
    <row r="50" spans="2:60" s="16" customFormat="1" x14ac:dyDescent="0.25">
      <c r="B50" s="16" t="s">
        <v>40</v>
      </c>
      <c r="AR50" s="16">
        <f t="shared" si="195"/>
        <v>0</v>
      </c>
      <c r="AS50" s="16">
        <f t="shared" si="196"/>
        <v>0</v>
      </c>
      <c r="AT50" s="16">
        <f t="shared" si="197"/>
        <v>0</v>
      </c>
      <c r="AU50" s="16">
        <f t="shared" si="198"/>
        <v>0</v>
      </c>
      <c r="AV50" s="16">
        <f t="shared" si="199"/>
        <v>0</v>
      </c>
      <c r="AX50" s="16">
        <f t="shared" si="200"/>
        <v>0</v>
      </c>
      <c r="AY50" s="16">
        <f t="shared" si="201"/>
        <v>0</v>
      </c>
      <c r="AZ50" s="16">
        <f t="shared" si="202"/>
        <v>0</v>
      </c>
      <c r="BA50" s="16">
        <f t="shared" si="203"/>
        <v>0</v>
      </c>
      <c r="BB50" s="16">
        <f t="shared" si="204"/>
        <v>0</v>
      </c>
      <c r="BD50" s="16">
        <f t="shared" si="205"/>
        <v>0</v>
      </c>
      <c r="BE50" s="16">
        <f t="shared" si="206"/>
        <v>0</v>
      </c>
      <c r="BF50" s="16">
        <f t="shared" si="207"/>
        <v>0</v>
      </c>
      <c r="BG50" s="16">
        <f t="shared" si="208"/>
        <v>0</v>
      </c>
      <c r="BH50" s="16">
        <f t="shared" si="209"/>
        <v>0</v>
      </c>
    </row>
    <row r="51" spans="2:60" s="16" customFormat="1" x14ac:dyDescent="0.25">
      <c r="B51" s="16" t="s">
        <v>126</v>
      </c>
      <c r="E51" s="16">
        <f>+E178</f>
        <v>0</v>
      </c>
      <c r="F51" s="16">
        <f t="shared" ref="F51:P51" si="219">+F178</f>
        <v>0</v>
      </c>
      <c r="G51" s="16">
        <f t="shared" si="219"/>
        <v>0</v>
      </c>
      <c r="H51" s="16">
        <f t="shared" si="219"/>
        <v>0</v>
      </c>
      <c r="I51" s="16">
        <f t="shared" si="219"/>
        <v>0</v>
      </c>
      <c r="J51" s="16">
        <f t="shared" si="219"/>
        <v>0</v>
      </c>
      <c r="K51" s="16">
        <f t="shared" si="219"/>
        <v>0</v>
      </c>
      <c r="L51" s="16">
        <f t="shared" si="219"/>
        <v>0</v>
      </c>
      <c r="M51" s="16">
        <f t="shared" si="219"/>
        <v>0</v>
      </c>
      <c r="N51" s="16">
        <f t="shared" si="219"/>
        <v>0</v>
      </c>
      <c r="O51" s="16">
        <f t="shared" si="219"/>
        <v>0</v>
      </c>
      <c r="P51" s="16">
        <f t="shared" si="219"/>
        <v>0</v>
      </c>
      <c r="R51" s="16">
        <f>+R178</f>
        <v>0</v>
      </c>
      <c r="S51" s="16">
        <f t="shared" ref="S51:AC51" si="220">+S178</f>
        <v>0</v>
      </c>
      <c r="T51" s="16">
        <f t="shared" si="220"/>
        <v>0</v>
      </c>
      <c r="U51" s="16">
        <f t="shared" si="220"/>
        <v>0</v>
      </c>
      <c r="V51" s="16">
        <f t="shared" si="220"/>
        <v>0</v>
      </c>
      <c r="W51" s="16">
        <f t="shared" si="220"/>
        <v>0</v>
      </c>
      <c r="X51" s="16">
        <f t="shared" si="220"/>
        <v>0</v>
      </c>
      <c r="Y51" s="16">
        <f t="shared" si="220"/>
        <v>0</v>
      </c>
      <c r="Z51" s="16">
        <f t="shared" si="220"/>
        <v>0</v>
      </c>
      <c r="AA51" s="16">
        <f t="shared" si="220"/>
        <v>0</v>
      </c>
      <c r="AB51" s="16">
        <f t="shared" si="220"/>
        <v>0</v>
      </c>
      <c r="AC51" s="16">
        <f t="shared" si="220"/>
        <v>0</v>
      </c>
      <c r="AE51" s="16">
        <f>+AE178</f>
        <v>0</v>
      </c>
      <c r="AF51" s="16">
        <f t="shared" ref="AF51:AP51" si="221">+AF178</f>
        <v>0</v>
      </c>
      <c r="AG51" s="16">
        <f t="shared" si="221"/>
        <v>0</v>
      </c>
      <c r="AH51" s="16">
        <f t="shared" si="221"/>
        <v>0</v>
      </c>
      <c r="AI51" s="16">
        <f t="shared" si="221"/>
        <v>0</v>
      </c>
      <c r="AJ51" s="16">
        <f t="shared" si="221"/>
        <v>0</v>
      </c>
      <c r="AK51" s="16">
        <f t="shared" si="221"/>
        <v>0</v>
      </c>
      <c r="AL51" s="16">
        <f t="shared" si="221"/>
        <v>0</v>
      </c>
      <c r="AM51" s="16">
        <f t="shared" si="221"/>
        <v>0</v>
      </c>
      <c r="AN51" s="16">
        <f t="shared" si="221"/>
        <v>0</v>
      </c>
      <c r="AO51" s="16">
        <f t="shared" si="221"/>
        <v>0</v>
      </c>
      <c r="AP51" s="16">
        <f t="shared" si="221"/>
        <v>0</v>
      </c>
      <c r="AR51" s="16">
        <f t="shared" si="195"/>
        <v>0</v>
      </c>
      <c r="AS51" s="16">
        <f t="shared" si="196"/>
        <v>0</v>
      </c>
      <c r="AT51" s="16">
        <f t="shared" si="197"/>
        <v>0</v>
      </c>
      <c r="AU51" s="16">
        <f t="shared" si="198"/>
        <v>0</v>
      </c>
      <c r="AV51" s="16">
        <f t="shared" si="199"/>
        <v>0</v>
      </c>
      <c r="AX51" s="16">
        <f t="shared" si="200"/>
        <v>0</v>
      </c>
      <c r="AY51" s="16">
        <f t="shared" si="201"/>
        <v>0</v>
      </c>
      <c r="AZ51" s="16">
        <f t="shared" si="202"/>
        <v>0</v>
      </c>
      <c r="BA51" s="16">
        <f t="shared" si="203"/>
        <v>0</v>
      </c>
      <c r="BB51" s="16">
        <f t="shared" si="204"/>
        <v>0</v>
      </c>
      <c r="BD51" s="16">
        <f t="shared" si="205"/>
        <v>0</v>
      </c>
      <c r="BE51" s="16">
        <f t="shared" si="206"/>
        <v>0</v>
      </c>
      <c r="BF51" s="16">
        <f t="shared" si="207"/>
        <v>0</v>
      </c>
      <c r="BG51" s="16">
        <f t="shared" si="208"/>
        <v>0</v>
      </c>
      <c r="BH51" s="16">
        <f t="shared" si="209"/>
        <v>0</v>
      </c>
    </row>
    <row r="52" spans="2:60" s="16" customFormat="1" x14ac:dyDescent="0.25">
      <c r="B52" s="16" t="s">
        <v>41</v>
      </c>
      <c r="AR52" s="16">
        <f t="shared" si="195"/>
        <v>0</v>
      </c>
      <c r="AS52" s="16">
        <f t="shared" si="196"/>
        <v>0</v>
      </c>
      <c r="AT52" s="16">
        <f t="shared" si="197"/>
        <v>0</v>
      </c>
      <c r="AU52" s="16">
        <f t="shared" si="198"/>
        <v>0</v>
      </c>
      <c r="AV52" s="16">
        <f t="shared" si="199"/>
        <v>0</v>
      </c>
      <c r="AX52" s="16">
        <f t="shared" si="200"/>
        <v>0</v>
      </c>
      <c r="AY52" s="16">
        <f t="shared" si="201"/>
        <v>0</v>
      </c>
      <c r="AZ52" s="16">
        <f t="shared" si="202"/>
        <v>0</v>
      </c>
      <c r="BA52" s="16">
        <f t="shared" si="203"/>
        <v>0</v>
      </c>
      <c r="BB52" s="16">
        <f t="shared" si="204"/>
        <v>0</v>
      </c>
      <c r="BD52" s="16">
        <f t="shared" si="205"/>
        <v>0</v>
      </c>
      <c r="BE52" s="16">
        <f t="shared" si="206"/>
        <v>0</v>
      </c>
      <c r="BF52" s="16">
        <f t="shared" si="207"/>
        <v>0</v>
      </c>
      <c r="BG52" s="16">
        <f t="shared" si="208"/>
        <v>0</v>
      </c>
      <c r="BH52" s="16">
        <f t="shared" si="209"/>
        <v>0</v>
      </c>
    </row>
    <row r="53" spans="2:60" s="16" customFormat="1" x14ac:dyDescent="0.25"/>
    <row r="54" spans="2:60" s="16" customFormat="1" x14ac:dyDescent="0.25">
      <c r="B54" s="16" t="s">
        <v>42</v>
      </c>
      <c r="E54" s="17">
        <f>SUBTOTAL(9,E43:E53)</f>
        <v>98121</v>
      </c>
      <c r="F54" s="17">
        <f t="shared" ref="F54:P54" si="222">SUBTOTAL(9,F43:F53)</f>
        <v>3580</v>
      </c>
      <c r="G54" s="17">
        <f t="shared" si="222"/>
        <v>3580</v>
      </c>
      <c r="H54" s="17">
        <f t="shared" si="222"/>
        <v>16758</v>
      </c>
      <c r="I54" s="17">
        <f t="shared" si="222"/>
        <v>3580</v>
      </c>
      <c r="J54" s="17">
        <f t="shared" si="222"/>
        <v>18580</v>
      </c>
      <c r="K54" s="17">
        <f t="shared" si="222"/>
        <v>56380</v>
      </c>
      <c r="L54" s="17">
        <f t="shared" si="222"/>
        <v>69672.5</v>
      </c>
      <c r="M54" s="17">
        <f t="shared" si="222"/>
        <v>67980</v>
      </c>
      <c r="N54" s="17">
        <f t="shared" si="222"/>
        <v>6080</v>
      </c>
      <c r="O54" s="17">
        <f t="shared" si="222"/>
        <v>53580</v>
      </c>
      <c r="P54" s="17">
        <f t="shared" si="222"/>
        <v>4580</v>
      </c>
      <c r="R54" s="17">
        <f>SUBTOTAL(9,R43:R53)</f>
        <v>8580</v>
      </c>
      <c r="S54" s="17">
        <f t="shared" ref="S54" si="223">SUBTOTAL(9,S43:S53)</f>
        <v>3580</v>
      </c>
      <c r="T54" s="17">
        <f t="shared" ref="T54" si="224">SUBTOTAL(9,T43:T53)</f>
        <v>6580</v>
      </c>
      <c r="U54" s="17">
        <f t="shared" ref="U54" si="225">SUBTOTAL(9,U43:U53)</f>
        <v>6080</v>
      </c>
      <c r="V54" s="17">
        <f t="shared" ref="V54" si="226">SUBTOTAL(9,V43:V53)</f>
        <v>3580</v>
      </c>
      <c r="W54" s="17">
        <f t="shared" ref="W54" si="227">SUBTOTAL(9,W43:W53)</f>
        <v>3580</v>
      </c>
      <c r="X54" s="17">
        <f t="shared" ref="X54" si="228">SUBTOTAL(9,X43:X53)</f>
        <v>9380</v>
      </c>
      <c r="Y54" s="17">
        <f t="shared" ref="Y54" si="229">SUBTOTAL(9,Y43:Y53)</f>
        <v>3580</v>
      </c>
      <c r="Z54" s="17">
        <f t="shared" ref="Z54" si="230">SUBTOTAL(9,Z43:Z53)</f>
        <v>3580</v>
      </c>
      <c r="AA54" s="17">
        <f t="shared" ref="AA54" si="231">SUBTOTAL(9,AA43:AA53)</f>
        <v>5280</v>
      </c>
      <c r="AB54" s="17">
        <f t="shared" ref="AB54" si="232">SUBTOTAL(9,AB43:AB53)</f>
        <v>2780</v>
      </c>
      <c r="AC54" s="17">
        <f t="shared" ref="AC54:AP54" si="233">SUBTOTAL(9,AC43:AC53)</f>
        <v>2780</v>
      </c>
      <c r="AE54" s="17">
        <f t="shared" si="233"/>
        <v>5580</v>
      </c>
      <c r="AF54" s="17">
        <f t="shared" si="233"/>
        <v>2780</v>
      </c>
      <c r="AG54" s="17">
        <f t="shared" si="233"/>
        <v>2780</v>
      </c>
      <c r="AH54" s="17">
        <f t="shared" si="233"/>
        <v>480</v>
      </c>
      <c r="AI54" s="17">
        <f t="shared" si="233"/>
        <v>480</v>
      </c>
      <c r="AJ54" s="17">
        <f t="shared" si="233"/>
        <v>780</v>
      </c>
      <c r="AK54" s="17">
        <f t="shared" si="233"/>
        <v>480</v>
      </c>
      <c r="AL54" s="17">
        <f t="shared" si="233"/>
        <v>480</v>
      </c>
      <c r="AM54" s="17">
        <f t="shared" si="233"/>
        <v>480</v>
      </c>
      <c r="AN54" s="17">
        <f t="shared" si="233"/>
        <v>480</v>
      </c>
      <c r="AO54" s="17">
        <f t="shared" si="233"/>
        <v>480</v>
      </c>
      <c r="AP54" s="17">
        <f t="shared" si="233"/>
        <v>480</v>
      </c>
      <c r="AR54" s="17">
        <f t="shared" ref="AR54:AV54" si="234">SUBTOTAL(9,AR43:AR53)</f>
        <v>402471.5</v>
      </c>
      <c r="AS54" s="17">
        <f t="shared" si="234"/>
        <v>105281</v>
      </c>
      <c r="AT54" s="17">
        <f t="shared" si="234"/>
        <v>38918</v>
      </c>
      <c r="AU54" s="17">
        <f t="shared" si="234"/>
        <v>194032.5</v>
      </c>
      <c r="AV54" s="17">
        <f t="shared" si="234"/>
        <v>64240</v>
      </c>
      <c r="AX54" s="17">
        <f t="shared" ref="AX54:BB54" si="235">SUBTOTAL(9,AX43:AX53)</f>
        <v>59360</v>
      </c>
      <c r="AY54" s="17">
        <f t="shared" si="235"/>
        <v>18740</v>
      </c>
      <c r="AZ54" s="17">
        <f t="shared" si="235"/>
        <v>13240</v>
      </c>
      <c r="BA54" s="17">
        <f t="shared" si="235"/>
        <v>16540</v>
      </c>
      <c r="BB54" s="17">
        <f t="shared" si="235"/>
        <v>10840</v>
      </c>
      <c r="BD54" s="17">
        <f t="shared" ref="BD54:BH54" si="236">SUBTOTAL(9,BD43:BD53)</f>
        <v>15760</v>
      </c>
      <c r="BE54" s="17">
        <f t="shared" si="236"/>
        <v>11140</v>
      </c>
      <c r="BF54" s="17">
        <f t="shared" si="236"/>
        <v>1740</v>
      </c>
      <c r="BG54" s="17">
        <f t="shared" si="236"/>
        <v>1440</v>
      </c>
      <c r="BH54" s="17">
        <f t="shared" si="236"/>
        <v>1440</v>
      </c>
    </row>
    <row r="55" spans="2:60" s="16" customFormat="1" x14ac:dyDescent="0.25"/>
    <row r="56" spans="2:60" s="16" customFormat="1" x14ac:dyDescent="0.25">
      <c r="B56" s="16" t="s">
        <v>43</v>
      </c>
      <c r="AR56" s="16">
        <f t="shared" ref="AR56" si="237">SUM(E56:P56)</f>
        <v>0</v>
      </c>
      <c r="AS56" s="16">
        <f t="shared" ref="AS56" si="238">SUM(E56:G56)</f>
        <v>0</v>
      </c>
      <c r="AT56" s="16">
        <f t="shared" ref="AT56" si="239">SUM(H56:J56)</f>
        <v>0</v>
      </c>
      <c r="AU56" s="16">
        <f t="shared" ref="AU56" si="240">SUM(K56:M56)</f>
        <v>0</v>
      </c>
      <c r="AV56" s="16">
        <f t="shared" ref="AV56" si="241">SUM(N56:P56)</f>
        <v>0</v>
      </c>
      <c r="AX56" s="16">
        <f t="shared" ref="AX56" si="242">SUM(R56:AC56)</f>
        <v>0</v>
      </c>
      <c r="AY56" s="16">
        <f t="shared" ref="AY56" si="243">SUM(R56:T56)</f>
        <v>0</v>
      </c>
      <c r="AZ56" s="16">
        <f t="shared" ref="AZ56" si="244">SUM(U56:W56)</f>
        <v>0</v>
      </c>
      <c r="BA56" s="16">
        <f t="shared" ref="BA56" si="245">SUM(X56:Z56)</f>
        <v>0</v>
      </c>
      <c r="BB56" s="16">
        <f t="shared" ref="BB56" si="246">SUM(AA56:AC56)</f>
        <v>0</v>
      </c>
      <c r="BD56" s="16">
        <f t="shared" ref="BD56" si="247">SUM(AE56:AP56)</f>
        <v>0</v>
      </c>
      <c r="BE56" s="16">
        <f t="shared" ref="BE56" si="248">SUM(AE56:AG56)</f>
        <v>0</v>
      </c>
      <c r="BF56" s="16">
        <f t="shared" ref="BF56" si="249">SUM(AH56:AJ56)</f>
        <v>0</v>
      </c>
      <c r="BG56" s="16">
        <f t="shared" ref="BG56" si="250">SUM(AK56:AM56)</f>
        <v>0</v>
      </c>
      <c r="BH56" s="16">
        <f t="shared" ref="BH56" si="251">SUM(AN56:AP56)</f>
        <v>0</v>
      </c>
    </row>
    <row r="57" spans="2:60" s="16" customFormat="1" x14ac:dyDescent="0.25">
      <c r="B57" s="16" t="s">
        <v>92</v>
      </c>
      <c r="E57" s="16">
        <v>180</v>
      </c>
      <c r="H57" s="16">
        <v>210</v>
      </c>
      <c r="K57" s="16">
        <v>210</v>
      </c>
      <c r="N57" s="16">
        <v>210</v>
      </c>
      <c r="R57" s="16">
        <v>210</v>
      </c>
      <c r="U57" s="16">
        <v>210</v>
      </c>
      <c r="X57" s="16">
        <v>210</v>
      </c>
      <c r="AA57" s="16">
        <v>210</v>
      </c>
      <c r="AE57" s="16">
        <v>210</v>
      </c>
      <c r="AH57" s="16">
        <v>210</v>
      </c>
      <c r="AK57" s="16">
        <v>210</v>
      </c>
      <c r="AN57" s="16">
        <v>210</v>
      </c>
      <c r="AR57" s="16">
        <f t="shared" ref="AR57:AR63" si="252">SUM(E57:P57)</f>
        <v>810</v>
      </c>
      <c r="AS57" s="16">
        <f t="shared" ref="AS57:AS63" si="253">SUM(E57:G57)</f>
        <v>180</v>
      </c>
      <c r="AT57" s="16">
        <f t="shared" ref="AT57:AT63" si="254">SUM(H57:J57)</f>
        <v>210</v>
      </c>
      <c r="AU57" s="16">
        <f t="shared" ref="AU57:AU63" si="255">SUM(K57:M57)</f>
        <v>210</v>
      </c>
      <c r="AV57" s="16">
        <f t="shared" ref="AV57:AV63" si="256">SUM(N57:P57)</f>
        <v>210</v>
      </c>
      <c r="AX57" s="16">
        <f t="shared" ref="AX57:AX63" si="257">SUM(R57:AC57)</f>
        <v>840</v>
      </c>
      <c r="AY57" s="16">
        <f t="shared" ref="AY57:AY63" si="258">SUM(R57:T57)</f>
        <v>210</v>
      </c>
      <c r="AZ57" s="16">
        <f t="shared" ref="AZ57:AZ63" si="259">SUM(U57:W57)</f>
        <v>210</v>
      </c>
      <c r="BA57" s="16">
        <f t="shared" ref="BA57:BA63" si="260">SUM(X57:Z57)</f>
        <v>210</v>
      </c>
      <c r="BB57" s="16">
        <f t="shared" ref="BB57:BB63" si="261">SUM(AA57:AC57)</f>
        <v>210</v>
      </c>
      <c r="BD57" s="16">
        <f t="shared" ref="BD57:BD63" si="262">SUM(AE57:AP57)</f>
        <v>840</v>
      </c>
      <c r="BE57" s="16">
        <f t="shared" ref="BE57:BE63" si="263">SUM(AE57:AG57)</f>
        <v>210</v>
      </c>
      <c r="BF57" s="16">
        <f t="shared" ref="BF57:BF63" si="264">SUM(AH57:AJ57)</f>
        <v>210</v>
      </c>
      <c r="BG57" s="16">
        <f t="shared" ref="BG57:BG63" si="265">SUM(AK57:AM57)</f>
        <v>210</v>
      </c>
      <c r="BH57" s="16">
        <f t="shared" ref="BH57:BH63" si="266">SUM(AN57:AP57)</f>
        <v>210</v>
      </c>
    </row>
    <row r="58" spans="2:60" s="16" customFormat="1" x14ac:dyDescent="0.25">
      <c r="B58" s="16" t="s">
        <v>44</v>
      </c>
      <c r="AR58" s="16">
        <f t="shared" si="252"/>
        <v>0</v>
      </c>
      <c r="AS58" s="16">
        <f t="shared" si="253"/>
        <v>0</v>
      </c>
      <c r="AT58" s="16">
        <f t="shared" si="254"/>
        <v>0</v>
      </c>
      <c r="AU58" s="16">
        <f t="shared" si="255"/>
        <v>0</v>
      </c>
      <c r="AV58" s="16">
        <f t="shared" si="256"/>
        <v>0</v>
      </c>
      <c r="AX58" s="16">
        <f t="shared" si="257"/>
        <v>0</v>
      </c>
      <c r="AY58" s="16">
        <f t="shared" si="258"/>
        <v>0</v>
      </c>
      <c r="AZ58" s="16">
        <f t="shared" si="259"/>
        <v>0</v>
      </c>
      <c r="BA58" s="16">
        <f t="shared" si="260"/>
        <v>0</v>
      </c>
      <c r="BB58" s="16">
        <f t="shared" si="261"/>
        <v>0</v>
      </c>
      <c r="BD58" s="16">
        <f t="shared" si="262"/>
        <v>0</v>
      </c>
      <c r="BE58" s="16">
        <f t="shared" si="263"/>
        <v>0</v>
      </c>
      <c r="BF58" s="16">
        <f t="shared" si="264"/>
        <v>0</v>
      </c>
      <c r="BG58" s="16">
        <f t="shared" si="265"/>
        <v>0</v>
      </c>
      <c r="BH58" s="16">
        <f t="shared" si="266"/>
        <v>0</v>
      </c>
    </row>
    <row r="59" spans="2:60" s="16" customFormat="1" x14ac:dyDescent="0.25">
      <c r="B59" s="16" t="s">
        <v>45</v>
      </c>
      <c r="AR59" s="16">
        <f t="shared" si="252"/>
        <v>0</v>
      </c>
      <c r="AS59" s="16">
        <f t="shared" si="253"/>
        <v>0</v>
      </c>
      <c r="AT59" s="16">
        <f t="shared" si="254"/>
        <v>0</v>
      </c>
      <c r="AU59" s="16">
        <f t="shared" si="255"/>
        <v>0</v>
      </c>
      <c r="AV59" s="16">
        <f t="shared" si="256"/>
        <v>0</v>
      </c>
      <c r="AX59" s="16">
        <f t="shared" si="257"/>
        <v>0</v>
      </c>
      <c r="AY59" s="16">
        <f t="shared" si="258"/>
        <v>0</v>
      </c>
      <c r="AZ59" s="16">
        <f t="shared" si="259"/>
        <v>0</v>
      </c>
      <c r="BA59" s="16">
        <f t="shared" si="260"/>
        <v>0</v>
      </c>
      <c r="BB59" s="16">
        <f t="shared" si="261"/>
        <v>0</v>
      </c>
      <c r="BD59" s="16">
        <f t="shared" si="262"/>
        <v>0</v>
      </c>
      <c r="BE59" s="16">
        <f t="shared" si="263"/>
        <v>0</v>
      </c>
      <c r="BF59" s="16">
        <f t="shared" si="264"/>
        <v>0</v>
      </c>
      <c r="BG59" s="16">
        <f t="shared" si="265"/>
        <v>0</v>
      </c>
      <c r="BH59" s="16">
        <f t="shared" si="266"/>
        <v>0</v>
      </c>
    </row>
    <row r="60" spans="2:60" s="16" customFormat="1" x14ac:dyDescent="0.25">
      <c r="B60" s="16" t="s">
        <v>48</v>
      </c>
      <c r="AR60" s="16">
        <f t="shared" si="252"/>
        <v>0</v>
      </c>
      <c r="AS60" s="16">
        <f t="shared" si="253"/>
        <v>0</v>
      </c>
      <c r="AT60" s="16">
        <f t="shared" si="254"/>
        <v>0</v>
      </c>
      <c r="AU60" s="16">
        <f t="shared" si="255"/>
        <v>0</v>
      </c>
      <c r="AV60" s="16">
        <f t="shared" si="256"/>
        <v>0</v>
      </c>
      <c r="AX60" s="16">
        <f t="shared" si="257"/>
        <v>0</v>
      </c>
      <c r="AY60" s="16">
        <f t="shared" si="258"/>
        <v>0</v>
      </c>
      <c r="AZ60" s="16">
        <f t="shared" si="259"/>
        <v>0</v>
      </c>
      <c r="BA60" s="16">
        <f t="shared" si="260"/>
        <v>0</v>
      </c>
      <c r="BB60" s="16">
        <f t="shared" si="261"/>
        <v>0</v>
      </c>
      <c r="BD60" s="16">
        <f t="shared" si="262"/>
        <v>0</v>
      </c>
      <c r="BE60" s="16">
        <f t="shared" si="263"/>
        <v>0</v>
      </c>
      <c r="BF60" s="16">
        <f t="shared" si="264"/>
        <v>0</v>
      </c>
      <c r="BG60" s="16">
        <f t="shared" si="265"/>
        <v>0</v>
      </c>
      <c r="BH60" s="16">
        <f t="shared" si="266"/>
        <v>0</v>
      </c>
    </row>
    <row r="61" spans="2:60" s="16" customFormat="1" x14ac:dyDescent="0.25">
      <c r="B61" s="16" t="s">
        <v>47</v>
      </c>
      <c r="AR61" s="16">
        <f t="shared" si="252"/>
        <v>0</v>
      </c>
      <c r="AS61" s="16">
        <f t="shared" si="253"/>
        <v>0</v>
      </c>
      <c r="AT61" s="16">
        <f t="shared" si="254"/>
        <v>0</v>
      </c>
      <c r="AU61" s="16">
        <f t="shared" si="255"/>
        <v>0</v>
      </c>
      <c r="AV61" s="16">
        <f t="shared" si="256"/>
        <v>0</v>
      </c>
      <c r="AX61" s="16">
        <f t="shared" si="257"/>
        <v>0</v>
      </c>
      <c r="AY61" s="16">
        <f t="shared" si="258"/>
        <v>0</v>
      </c>
      <c r="AZ61" s="16">
        <f t="shared" si="259"/>
        <v>0</v>
      </c>
      <c r="BA61" s="16">
        <f t="shared" si="260"/>
        <v>0</v>
      </c>
      <c r="BB61" s="16">
        <f t="shared" si="261"/>
        <v>0</v>
      </c>
      <c r="BD61" s="16">
        <f t="shared" si="262"/>
        <v>0</v>
      </c>
      <c r="BE61" s="16">
        <f t="shared" si="263"/>
        <v>0</v>
      </c>
      <c r="BF61" s="16">
        <f t="shared" si="264"/>
        <v>0</v>
      </c>
      <c r="BG61" s="16">
        <f t="shared" si="265"/>
        <v>0</v>
      </c>
      <c r="BH61" s="16">
        <f t="shared" si="266"/>
        <v>0</v>
      </c>
    </row>
    <row r="62" spans="2:60" s="16" customFormat="1" x14ac:dyDescent="0.25">
      <c r="B62" s="16" t="s">
        <v>46</v>
      </c>
      <c r="AR62" s="16">
        <f t="shared" si="252"/>
        <v>0</v>
      </c>
      <c r="AS62" s="16">
        <f t="shared" si="253"/>
        <v>0</v>
      </c>
      <c r="AT62" s="16">
        <f t="shared" si="254"/>
        <v>0</v>
      </c>
      <c r="AU62" s="16">
        <f t="shared" si="255"/>
        <v>0</v>
      </c>
      <c r="AV62" s="16">
        <f t="shared" si="256"/>
        <v>0</v>
      </c>
      <c r="AX62" s="16">
        <f t="shared" si="257"/>
        <v>0</v>
      </c>
      <c r="AY62" s="16">
        <f t="shared" si="258"/>
        <v>0</v>
      </c>
      <c r="AZ62" s="16">
        <f t="shared" si="259"/>
        <v>0</v>
      </c>
      <c r="BA62" s="16">
        <f t="shared" si="260"/>
        <v>0</v>
      </c>
      <c r="BB62" s="16">
        <f t="shared" si="261"/>
        <v>0</v>
      </c>
      <c r="BD62" s="16">
        <f t="shared" si="262"/>
        <v>0</v>
      </c>
      <c r="BE62" s="16">
        <f t="shared" si="263"/>
        <v>0</v>
      </c>
      <c r="BF62" s="16">
        <f t="shared" si="264"/>
        <v>0</v>
      </c>
      <c r="BG62" s="16">
        <f t="shared" si="265"/>
        <v>0</v>
      </c>
      <c r="BH62" s="16">
        <f t="shared" si="266"/>
        <v>0</v>
      </c>
    </row>
    <row r="63" spans="2:60" s="16" customFormat="1" x14ac:dyDescent="0.25">
      <c r="B63" s="16" t="s">
        <v>93</v>
      </c>
      <c r="AR63" s="16">
        <f t="shared" si="252"/>
        <v>0</v>
      </c>
      <c r="AS63" s="16">
        <f t="shared" si="253"/>
        <v>0</v>
      </c>
      <c r="AT63" s="16">
        <f t="shared" si="254"/>
        <v>0</v>
      </c>
      <c r="AU63" s="16">
        <f t="shared" si="255"/>
        <v>0</v>
      </c>
      <c r="AV63" s="16">
        <f t="shared" si="256"/>
        <v>0</v>
      </c>
      <c r="AX63" s="16">
        <f t="shared" si="257"/>
        <v>0</v>
      </c>
      <c r="AY63" s="16">
        <f t="shared" si="258"/>
        <v>0</v>
      </c>
      <c r="AZ63" s="16">
        <f t="shared" si="259"/>
        <v>0</v>
      </c>
      <c r="BA63" s="16">
        <f t="shared" si="260"/>
        <v>0</v>
      </c>
      <c r="BB63" s="16">
        <f t="shared" si="261"/>
        <v>0</v>
      </c>
      <c r="BD63" s="16">
        <f t="shared" si="262"/>
        <v>0</v>
      </c>
      <c r="BE63" s="16">
        <f t="shared" si="263"/>
        <v>0</v>
      </c>
      <c r="BF63" s="16">
        <f t="shared" si="264"/>
        <v>0</v>
      </c>
      <c r="BG63" s="16">
        <f t="shared" si="265"/>
        <v>0</v>
      </c>
      <c r="BH63" s="16">
        <f t="shared" si="266"/>
        <v>0</v>
      </c>
    </row>
    <row r="64" spans="2:60" s="16" customFormat="1" x14ac:dyDescent="0.25"/>
    <row r="65" spans="1:60" s="16" customFormat="1" x14ac:dyDescent="0.25">
      <c r="B65" s="16" t="s">
        <v>49</v>
      </c>
      <c r="E65" s="17">
        <f>SUBTOTAL(9,E57:E64)</f>
        <v>180</v>
      </c>
      <c r="F65" s="17">
        <f t="shared" ref="F65:P65" si="267">SUBTOTAL(9,F57:F64)</f>
        <v>0</v>
      </c>
      <c r="G65" s="17">
        <f t="shared" si="267"/>
        <v>0</v>
      </c>
      <c r="H65" s="17">
        <f t="shared" si="267"/>
        <v>210</v>
      </c>
      <c r="I65" s="17">
        <f t="shared" si="267"/>
        <v>0</v>
      </c>
      <c r="J65" s="17">
        <f t="shared" si="267"/>
        <v>0</v>
      </c>
      <c r="K65" s="17">
        <f t="shared" si="267"/>
        <v>210</v>
      </c>
      <c r="L65" s="17">
        <f t="shared" si="267"/>
        <v>0</v>
      </c>
      <c r="M65" s="17">
        <f t="shared" si="267"/>
        <v>0</v>
      </c>
      <c r="N65" s="17">
        <f t="shared" si="267"/>
        <v>210</v>
      </c>
      <c r="O65" s="17">
        <f t="shared" si="267"/>
        <v>0</v>
      </c>
      <c r="P65" s="17">
        <f t="shared" si="267"/>
        <v>0</v>
      </c>
      <c r="R65" s="17">
        <f>SUBTOTAL(9,R57:R64)</f>
        <v>210</v>
      </c>
      <c r="S65" s="17">
        <f t="shared" ref="S65" si="268">SUBTOTAL(9,S57:S64)</f>
        <v>0</v>
      </c>
      <c r="T65" s="17">
        <f t="shared" ref="T65" si="269">SUBTOTAL(9,T57:T64)</f>
        <v>0</v>
      </c>
      <c r="U65" s="17">
        <f t="shared" ref="U65" si="270">SUBTOTAL(9,U57:U64)</f>
        <v>210</v>
      </c>
      <c r="V65" s="17">
        <f t="shared" ref="V65" si="271">SUBTOTAL(9,V57:V64)</f>
        <v>0</v>
      </c>
      <c r="W65" s="17">
        <f t="shared" ref="W65" si="272">SUBTOTAL(9,W57:W64)</f>
        <v>0</v>
      </c>
      <c r="X65" s="17">
        <f t="shared" ref="X65" si="273">SUBTOTAL(9,X57:X64)</f>
        <v>210</v>
      </c>
      <c r="Y65" s="17">
        <f t="shared" ref="Y65" si="274">SUBTOTAL(9,Y57:Y64)</f>
        <v>0</v>
      </c>
      <c r="Z65" s="17">
        <f t="shared" ref="Z65" si="275">SUBTOTAL(9,Z57:Z64)</f>
        <v>0</v>
      </c>
      <c r="AA65" s="17">
        <f t="shared" ref="AA65" si="276">SUBTOTAL(9,AA57:AA64)</f>
        <v>210</v>
      </c>
      <c r="AB65" s="17">
        <f t="shared" ref="AB65" si="277">SUBTOTAL(9,AB57:AB64)</f>
        <v>0</v>
      </c>
      <c r="AC65" s="17">
        <f t="shared" ref="AC65:AP65" si="278">SUBTOTAL(9,AC57:AC64)</f>
        <v>0</v>
      </c>
      <c r="AE65" s="17">
        <f t="shared" si="278"/>
        <v>210</v>
      </c>
      <c r="AF65" s="17">
        <f t="shared" si="278"/>
        <v>0</v>
      </c>
      <c r="AG65" s="17">
        <f t="shared" si="278"/>
        <v>0</v>
      </c>
      <c r="AH65" s="17">
        <f t="shared" si="278"/>
        <v>210</v>
      </c>
      <c r="AI65" s="17">
        <f t="shared" si="278"/>
        <v>0</v>
      </c>
      <c r="AJ65" s="17">
        <f t="shared" si="278"/>
        <v>0</v>
      </c>
      <c r="AK65" s="17">
        <f t="shared" si="278"/>
        <v>210</v>
      </c>
      <c r="AL65" s="17">
        <f t="shared" si="278"/>
        <v>0</v>
      </c>
      <c r="AM65" s="17">
        <f t="shared" si="278"/>
        <v>0</v>
      </c>
      <c r="AN65" s="17">
        <f t="shared" si="278"/>
        <v>210</v>
      </c>
      <c r="AO65" s="17">
        <f t="shared" si="278"/>
        <v>0</v>
      </c>
      <c r="AP65" s="17">
        <f t="shared" si="278"/>
        <v>0</v>
      </c>
      <c r="AR65" s="17">
        <f t="shared" ref="AR65:AV65" si="279">SUBTOTAL(9,AR57:AR64)</f>
        <v>810</v>
      </c>
      <c r="AS65" s="17">
        <f t="shared" si="279"/>
        <v>180</v>
      </c>
      <c r="AT65" s="17">
        <f t="shared" si="279"/>
        <v>210</v>
      </c>
      <c r="AU65" s="17">
        <f t="shared" si="279"/>
        <v>210</v>
      </c>
      <c r="AV65" s="17">
        <f t="shared" si="279"/>
        <v>210</v>
      </c>
      <c r="AX65" s="17">
        <f t="shared" ref="AX65:BB65" si="280">SUBTOTAL(9,AX57:AX64)</f>
        <v>840</v>
      </c>
      <c r="AY65" s="17">
        <f t="shared" si="280"/>
        <v>210</v>
      </c>
      <c r="AZ65" s="17">
        <f t="shared" si="280"/>
        <v>210</v>
      </c>
      <c r="BA65" s="17">
        <f t="shared" si="280"/>
        <v>210</v>
      </c>
      <c r="BB65" s="17">
        <f t="shared" si="280"/>
        <v>210</v>
      </c>
      <c r="BD65" s="17">
        <f t="shared" ref="BD65:BH65" si="281">SUBTOTAL(9,BD57:BD64)</f>
        <v>840</v>
      </c>
      <c r="BE65" s="17">
        <f t="shared" si="281"/>
        <v>210</v>
      </c>
      <c r="BF65" s="17">
        <f t="shared" si="281"/>
        <v>210</v>
      </c>
      <c r="BG65" s="17">
        <f t="shared" si="281"/>
        <v>210</v>
      </c>
      <c r="BH65" s="17">
        <f t="shared" si="281"/>
        <v>210</v>
      </c>
    </row>
    <row r="66" spans="1:60" s="16" customFormat="1" x14ac:dyDescent="0.25"/>
    <row r="67" spans="1:60" s="16" customFormat="1" x14ac:dyDescent="0.25">
      <c r="B67" s="16" t="s">
        <v>50</v>
      </c>
      <c r="AR67" s="16">
        <f t="shared" ref="AR67:AR71" si="282">SUM(E67:P67)</f>
        <v>0</v>
      </c>
      <c r="AS67" s="16">
        <f t="shared" ref="AS67:AS71" si="283">SUM(E67:G67)</f>
        <v>0</v>
      </c>
      <c r="AT67" s="16">
        <f t="shared" ref="AT67:AT71" si="284">SUM(H67:J67)</f>
        <v>0</v>
      </c>
      <c r="AU67" s="16">
        <f t="shared" ref="AU67:AU71" si="285">SUM(K67:M67)</f>
        <v>0</v>
      </c>
      <c r="AV67" s="16">
        <f t="shared" ref="AV67:AV71" si="286">SUM(N67:P67)</f>
        <v>0</v>
      </c>
      <c r="AX67" s="16">
        <f t="shared" ref="AX67:AX71" si="287">SUM(R67:AC67)</f>
        <v>0</v>
      </c>
      <c r="AY67" s="16">
        <f t="shared" ref="AY67:AY71" si="288">SUM(R67:T67)</f>
        <v>0</v>
      </c>
      <c r="AZ67" s="16">
        <f t="shared" ref="AZ67:AZ71" si="289">SUM(U67:W67)</f>
        <v>0</v>
      </c>
      <c r="BA67" s="16">
        <f t="shared" ref="BA67:BA71" si="290">SUM(X67:Z67)</f>
        <v>0</v>
      </c>
      <c r="BB67" s="16">
        <f t="shared" ref="BB67:BB71" si="291">SUM(AA67:AC67)</f>
        <v>0</v>
      </c>
      <c r="BD67" s="16">
        <f t="shared" ref="BD67:BD71" si="292">SUM(AE67:AP67)</f>
        <v>0</v>
      </c>
      <c r="BE67" s="16">
        <f t="shared" ref="BE67:BE71" si="293">SUM(AE67:AG67)</f>
        <v>0</v>
      </c>
      <c r="BF67" s="16">
        <f t="shared" ref="BF67:BF71" si="294">SUM(AH67:AJ67)</f>
        <v>0</v>
      </c>
      <c r="BG67" s="16">
        <f t="shared" ref="BG67:BG71" si="295">SUM(AK67:AM67)</f>
        <v>0</v>
      </c>
      <c r="BH67" s="16">
        <f t="shared" ref="BH67:BH71" si="296">SUM(AN67:AP67)</f>
        <v>0</v>
      </c>
    </row>
    <row r="68" spans="1:60" s="16" customFormat="1" x14ac:dyDescent="0.25">
      <c r="B68" s="16" t="s">
        <v>51</v>
      </c>
      <c r="AR68" s="16">
        <f t="shared" si="282"/>
        <v>0</v>
      </c>
      <c r="AS68" s="16">
        <f t="shared" si="283"/>
        <v>0</v>
      </c>
      <c r="AT68" s="16">
        <f t="shared" si="284"/>
        <v>0</v>
      </c>
      <c r="AU68" s="16">
        <f t="shared" si="285"/>
        <v>0</v>
      </c>
      <c r="AV68" s="16">
        <f t="shared" si="286"/>
        <v>0</v>
      </c>
      <c r="AX68" s="16">
        <f t="shared" si="287"/>
        <v>0</v>
      </c>
      <c r="AY68" s="16">
        <f t="shared" si="288"/>
        <v>0</v>
      </c>
      <c r="AZ68" s="16">
        <f t="shared" si="289"/>
        <v>0</v>
      </c>
      <c r="BA68" s="16">
        <f t="shared" si="290"/>
        <v>0</v>
      </c>
      <c r="BB68" s="16">
        <f t="shared" si="291"/>
        <v>0</v>
      </c>
      <c r="BD68" s="16">
        <f t="shared" si="292"/>
        <v>0</v>
      </c>
      <c r="BE68" s="16">
        <f t="shared" si="293"/>
        <v>0</v>
      </c>
      <c r="BF68" s="16">
        <f t="shared" si="294"/>
        <v>0</v>
      </c>
      <c r="BG68" s="16">
        <f t="shared" si="295"/>
        <v>0</v>
      </c>
      <c r="BH68" s="16">
        <f t="shared" si="296"/>
        <v>0</v>
      </c>
    </row>
    <row r="69" spans="1:60" s="16" customFormat="1" x14ac:dyDescent="0.25">
      <c r="B69" s="16" t="s">
        <v>52</v>
      </c>
      <c r="AR69" s="16">
        <f t="shared" si="282"/>
        <v>0</v>
      </c>
      <c r="AS69" s="16">
        <f t="shared" si="283"/>
        <v>0</v>
      </c>
      <c r="AT69" s="16">
        <f t="shared" si="284"/>
        <v>0</v>
      </c>
      <c r="AU69" s="16">
        <f t="shared" si="285"/>
        <v>0</v>
      </c>
      <c r="AV69" s="16">
        <f t="shared" si="286"/>
        <v>0</v>
      </c>
      <c r="AX69" s="16">
        <f t="shared" si="287"/>
        <v>0</v>
      </c>
      <c r="AY69" s="16">
        <f t="shared" si="288"/>
        <v>0</v>
      </c>
      <c r="AZ69" s="16">
        <f t="shared" si="289"/>
        <v>0</v>
      </c>
      <c r="BA69" s="16">
        <f t="shared" si="290"/>
        <v>0</v>
      </c>
      <c r="BB69" s="16">
        <f t="shared" si="291"/>
        <v>0</v>
      </c>
      <c r="BD69" s="16">
        <f t="shared" si="292"/>
        <v>0</v>
      </c>
      <c r="BE69" s="16">
        <f t="shared" si="293"/>
        <v>0</v>
      </c>
      <c r="BF69" s="16">
        <f t="shared" si="294"/>
        <v>0</v>
      </c>
      <c r="BG69" s="16">
        <f t="shared" si="295"/>
        <v>0</v>
      </c>
      <c r="BH69" s="16">
        <f t="shared" si="296"/>
        <v>0</v>
      </c>
    </row>
    <row r="70" spans="1:60" s="16" customFormat="1" x14ac:dyDescent="0.25">
      <c r="B70" s="16" t="s">
        <v>94</v>
      </c>
      <c r="E70" s="16">
        <v>1500</v>
      </c>
      <c r="F70" s="16">
        <f>+E70</f>
        <v>1500</v>
      </c>
      <c r="G70" s="16">
        <f t="shared" ref="G70:P70" si="297">+F70</f>
        <v>1500</v>
      </c>
      <c r="H70" s="16">
        <f t="shared" si="297"/>
        <v>1500</v>
      </c>
      <c r="I70" s="16">
        <f t="shared" si="297"/>
        <v>1500</v>
      </c>
      <c r="J70" s="16">
        <f t="shared" si="297"/>
        <v>1500</v>
      </c>
      <c r="K70" s="16">
        <f t="shared" si="297"/>
        <v>1500</v>
      </c>
      <c r="L70" s="16">
        <f t="shared" si="297"/>
        <v>1500</v>
      </c>
      <c r="M70" s="16">
        <f t="shared" si="297"/>
        <v>1500</v>
      </c>
      <c r="N70" s="16">
        <f t="shared" si="297"/>
        <v>1500</v>
      </c>
      <c r="O70" s="16">
        <f t="shared" si="297"/>
        <v>1500</v>
      </c>
      <c r="P70" s="16">
        <f t="shared" si="297"/>
        <v>1500</v>
      </c>
      <c r="R70" s="16">
        <f>+P70</f>
        <v>1500</v>
      </c>
      <c r="S70" s="16">
        <f t="shared" ref="S70:AC70" si="298">+R70</f>
        <v>1500</v>
      </c>
      <c r="T70" s="16">
        <f t="shared" si="298"/>
        <v>1500</v>
      </c>
      <c r="U70" s="16">
        <f t="shared" si="298"/>
        <v>1500</v>
      </c>
      <c r="V70" s="16">
        <f t="shared" si="298"/>
        <v>1500</v>
      </c>
      <c r="W70" s="16">
        <f t="shared" si="298"/>
        <v>1500</v>
      </c>
      <c r="X70" s="16">
        <f t="shared" si="298"/>
        <v>1500</v>
      </c>
      <c r="Y70" s="16">
        <f t="shared" si="298"/>
        <v>1500</v>
      </c>
      <c r="Z70" s="16">
        <f t="shared" si="298"/>
        <v>1500</v>
      </c>
      <c r="AA70" s="16">
        <f t="shared" si="298"/>
        <v>1500</v>
      </c>
      <c r="AB70" s="16">
        <f t="shared" si="298"/>
        <v>1500</v>
      </c>
      <c r="AC70" s="16">
        <f t="shared" si="298"/>
        <v>1500</v>
      </c>
      <c r="AE70" s="16">
        <f>+AC70</f>
        <v>1500</v>
      </c>
      <c r="AF70" s="16">
        <f t="shared" ref="AF70" si="299">+AE70</f>
        <v>1500</v>
      </c>
      <c r="AG70" s="16">
        <f t="shared" ref="AG70" si="300">+AF70</f>
        <v>1500</v>
      </c>
      <c r="AR70" s="16">
        <f t="shared" si="282"/>
        <v>18000</v>
      </c>
      <c r="AS70" s="16">
        <f t="shared" si="283"/>
        <v>4500</v>
      </c>
      <c r="AT70" s="16">
        <f t="shared" si="284"/>
        <v>4500</v>
      </c>
      <c r="AU70" s="16">
        <f t="shared" si="285"/>
        <v>4500</v>
      </c>
      <c r="AV70" s="16">
        <f t="shared" si="286"/>
        <v>4500</v>
      </c>
      <c r="AX70" s="16">
        <f t="shared" si="287"/>
        <v>18000</v>
      </c>
      <c r="AY70" s="16">
        <f t="shared" si="288"/>
        <v>4500</v>
      </c>
      <c r="AZ70" s="16">
        <f t="shared" si="289"/>
        <v>4500</v>
      </c>
      <c r="BA70" s="16">
        <f t="shared" si="290"/>
        <v>4500</v>
      </c>
      <c r="BB70" s="16">
        <f t="shared" si="291"/>
        <v>4500</v>
      </c>
      <c r="BD70" s="16">
        <f t="shared" si="292"/>
        <v>4500</v>
      </c>
      <c r="BE70" s="16">
        <f t="shared" si="293"/>
        <v>4500</v>
      </c>
      <c r="BF70" s="16">
        <f t="shared" si="294"/>
        <v>0</v>
      </c>
      <c r="BG70" s="16">
        <f t="shared" si="295"/>
        <v>0</v>
      </c>
      <c r="BH70" s="16">
        <f t="shared" si="296"/>
        <v>0</v>
      </c>
    </row>
    <row r="71" spans="1:60" s="16" customFormat="1" x14ac:dyDescent="0.25">
      <c r="B71" s="16" t="s">
        <v>53</v>
      </c>
      <c r="E71" s="16">
        <f>SUM(CAPEX!E65:E68)</f>
        <v>2331.5</v>
      </c>
      <c r="F71" s="16">
        <f>SUM(CAPEX!F65:F68)</f>
        <v>2331.5</v>
      </c>
      <c r="G71" s="16">
        <f>SUM(CAPEX!G65:G68)</f>
        <v>2331.5</v>
      </c>
      <c r="H71" s="16">
        <f>SUM(CAPEX!H65:H68)</f>
        <v>2690.0858585858587</v>
      </c>
      <c r="I71" s="16">
        <f>SUM(CAPEX!I65:I68)</f>
        <v>2690.0858585858587</v>
      </c>
      <c r="J71" s="16">
        <f>SUM(CAPEX!J65:J68)</f>
        <v>2690.0858585858587</v>
      </c>
      <c r="K71" s="16">
        <f>SUM(CAPEX!K65:K68)</f>
        <v>2690.0858585858587</v>
      </c>
      <c r="L71" s="16">
        <f>SUM(CAPEX!L65:L68)</f>
        <v>2690.0858585858587</v>
      </c>
      <c r="M71" s="16">
        <f>SUM(CAPEX!M65:M68)</f>
        <v>2690.0858585858587</v>
      </c>
      <c r="N71" s="16">
        <f>SUM(CAPEX!N65:N68)</f>
        <v>2690.0858585858587</v>
      </c>
      <c r="O71" s="16">
        <f>SUM(CAPEX!O65:O68)</f>
        <v>2690.0858585858587</v>
      </c>
      <c r="P71" s="16">
        <f>SUM(CAPEX!P65:P68)</f>
        <v>2690.0858585858587</v>
      </c>
      <c r="R71" s="16">
        <f>SUM(CAPEX!R65:R68)</f>
        <v>2801.19696969697</v>
      </c>
      <c r="S71" s="16">
        <f>SUM(CAPEX!S65:S68)</f>
        <v>2801.19696969697</v>
      </c>
      <c r="T71" s="16">
        <f>SUM(CAPEX!T65:T68)</f>
        <v>2801.19696969697</v>
      </c>
      <c r="U71" s="16">
        <f>SUM(CAPEX!U65:U68)</f>
        <v>2801.19696969697</v>
      </c>
      <c r="V71" s="16">
        <f>SUM(CAPEX!V65:V68)</f>
        <v>2801.19696969697</v>
      </c>
      <c r="W71" s="16">
        <f>SUM(CAPEX!W65:W68)</f>
        <v>2801.19696969697</v>
      </c>
      <c r="X71" s="16">
        <f>SUM(CAPEX!X65:X68)</f>
        <v>2801.19696969697</v>
      </c>
      <c r="Y71" s="16">
        <f>SUM(CAPEX!Y65:Y68)</f>
        <v>2801.19696969697</v>
      </c>
      <c r="Z71" s="16">
        <f>SUM(CAPEX!Z65:Z68)</f>
        <v>2801.19696969697</v>
      </c>
      <c r="AA71" s="16">
        <f>SUM(CAPEX!AA65:AA68)</f>
        <v>2801.19696969697</v>
      </c>
      <c r="AB71" s="16">
        <f>SUM(CAPEX!AB65:AB68)</f>
        <v>2801.19696969697</v>
      </c>
      <c r="AC71" s="16">
        <f>SUM(CAPEX!AC65:AC68)</f>
        <v>2801.19696969697</v>
      </c>
      <c r="AE71" s="16">
        <f>SUM(CAPEX!AE65:AE68)</f>
        <v>2801.19696969697</v>
      </c>
      <c r="AF71" s="16">
        <f>SUM(CAPEX!AF65:AF68)</f>
        <v>2801.19696969697</v>
      </c>
      <c r="AG71" s="16">
        <f>SUM(CAPEX!AG65:AG68)</f>
        <v>2801.19696969697</v>
      </c>
      <c r="AH71" s="16">
        <f>SUM(CAPEX!AH65:AH68)</f>
        <v>2801.19696969697</v>
      </c>
      <c r="AI71" s="16">
        <f>SUM(CAPEX!AI65:AI68)</f>
        <v>2801.19696969697</v>
      </c>
      <c r="AJ71" s="16">
        <f>SUM(CAPEX!AJ65:AJ68)</f>
        <v>2801.19696969697</v>
      </c>
      <c r="AK71" s="16">
        <f>SUM(CAPEX!AK65:AK68)</f>
        <v>2801.19696969697</v>
      </c>
      <c r="AL71" s="16">
        <f>SUM(CAPEX!AL65:AL68)</f>
        <v>2801.19696969697</v>
      </c>
      <c r="AM71" s="16">
        <f>SUM(CAPEX!AM65:AM68)</f>
        <v>2801.19696969697</v>
      </c>
      <c r="AN71" s="16">
        <f>SUM(CAPEX!AN65:AN68)</f>
        <v>2801.19696969697</v>
      </c>
      <c r="AO71" s="16">
        <f>SUM(CAPEX!AO65:AO68)</f>
        <v>2801.19696969697</v>
      </c>
      <c r="AP71" s="16">
        <f>SUM(CAPEX!AP65:AP68)</f>
        <v>2801.19696969697</v>
      </c>
      <c r="AR71" s="16">
        <f t="shared" si="282"/>
        <v>31205.272727272728</v>
      </c>
      <c r="AS71" s="16">
        <f t="shared" si="283"/>
        <v>6994.5</v>
      </c>
      <c r="AT71" s="16">
        <f t="shared" si="284"/>
        <v>8070.257575757576</v>
      </c>
      <c r="AU71" s="16">
        <f t="shared" si="285"/>
        <v>8070.257575757576</v>
      </c>
      <c r="AV71" s="16">
        <f t="shared" si="286"/>
        <v>8070.257575757576</v>
      </c>
      <c r="AX71" s="16">
        <f t="shared" si="287"/>
        <v>33614.363636363632</v>
      </c>
      <c r="AY71" s="16">
        <f t="shared" si="288"/>
        <v>8403.5909090909099</v>
      </c>
      <c r="AZ71" s="16">
        <f t="shared" si="289"/>
        <v>8403.5909090909099</v>
      </c>
      <c r="BA71" s="16">
        <f t="shared" si="290"/>
        <v>8403.5909090909099</v>
      </c>
      <c r="BB71" s="16">
        <f t="shared" si="291"/>
        <v>8403.5909090909099</v>
      </c>
      <c r="BD71" s="16">
        <f t="shared" si="292"/>
        <v>33614.363636363632</v>
      </c>
      <c r="BE71" s="16">
        <f t="shared" si="293"/>
        <v>8403.5909090909099</v>
      </c>
      <c r="BF71" s="16">
        <f t="shared" si="294"/>
        <v>8403.5909090909099</v>
      </c>
      <c r="BG71" s="16">
        <f t="shared" si="295"/>
        <v>8403.5909090909099</v>
      </c>
      <c r="BH71" s="16">
        <f t="shared" si="296"/>
        <v>8403.5909090909099</v>
      </c>
    </row>
    <row r="72" spans="1:60" s="16" customFormat="1" x14ac:dyDescent="0.25"/>
    <row r="73" spans="1:60" s="16" customFormat="1" x14ac:dyDescent="0.25">
      <c r="B73" s="16" t="s">
        <v>54</v>
      </c>
      <c r="E73" s="17">
        <f>SUBTOTAL(9,E67:E72)</f>
        <v>3831.5</v>
      </c>
      <c r="F73" s="17">
        <f t="shared" ref="F73:P73" si="301">SUBTOTAL(9,F67:F72)</f>
        <v>3831.5</v>
      </c>
      <c r="G73" s="17">
        <f t="shared" si="301"/>
        <v>3831.5</v>
      </c>
      <c r="H73" s="17">
        <f t="shared" si="301"/>
        <v>4190.0858585858587</v>
      </c>
      <c r="I73" s="17">
        <f t="shared" si="301"/>
        <v>4190.0858585858587</v>
      </c>
      <c r="J73" s="17">
        <f t="shared" si="301"/>
        <v>4190.0858585858587</v>
      </c>
      <c r="K73" s="17">
        <f t="shared" si="301"/>
        <v>4190.0858585858587</v>
      </c>
      <c r="L73" s="17">
        <f t="shared" si="301"/>
        <v>4190.0858585858587</v>
      </c>
      <c r="M73" s="17">
        <f t="shared" si="301"/>
        <v>4190.0858585858587</v>
      </c>
      <c r="N73" s="17">
        <f t="shared" si="301"/>
        <v>4190.0858585858587</v>
      </c>
      <c r="O73" s="17">
        <f t="shared" si="301"/>
        <v>4190.0858585858587</v>
      </c>
      <c r="P73" s="17">
        <f t="shared" si="301"/>
        <v>4190.0858585858587</v>
      </c>
      <c r="R73" s="17">
        <f>SUBTOTAL(9,R67:R72)</f>
        <v>4301.19696969697</v>
      </c>
      <c r="S73" s="17">
        <f t="shared" ref="S73" si="302">SUBTOTAL(9,S67:S72)</f>
        <v>4301.19696969697</v>
      </c>
      <c r="T73" s="17">
        <f t="shared" ref="T73" si="303">SUBTOTAL(9,T67:T72)</f>
        <v>4301.19696969697</v>
      </c>
      <c r="U73" s="17">
        <f t="shared" ref="U73" si="304">SUBTOTAL(9,U67:U72)</f>
        <v>4301.19696969697</v>
      </c>
      <c r="V73" s="17">
        <f t="shared" ref="V73" si="305">SUBTOTAL(9,V67:V72)</f>
        <v>4301.19696969697</v>
      </c>
      <c r="W73" s="17">
        <f t="shared" ref="W73" si="306">SUBTOTAL(9,W67:W72)</f>
        <v>4301.19696969697</v>
      </c>
      <c r="X73" s="17">
        <f t="shared" ref="X73" si="307">SUBTOTAL(9,X67:X72)</f>
        <v>4301.19696969697</v>
      </c>
      <c r="Y73" s="17">
        <f t="shared" ref="Y73" si="308">SUBTOTAL(9,Y67:Y72)</f>
        <v>4301.19696969697</v>
      </c>
      <c r="Z73" s="17">
        <f t="shared" ref="Z73" si="309">SUBTOTAL(9,Z67:Z72)</f>
        <v>4301.19696969697</v>
      </c>
      <c r="AA73" s="17">
        <f t="shared" ref="AA73" si="310">SUBTOTAL(9,AA67:AA72)</f>
        <v>4301.19696969697</v>
      </c>
      <c r="AB73" s="17">
        <f t="shared" ref="AB73" si="311">SUBTOTAL(9,AB67:AB72)</f>
        <v>4301.19696969697</v>
      </c>
      <c r="AC73" s="17">
        <f t="shared" ref="AC73:AP73" si="312">SUBTOTAL(9,AC67:AC72)</f>
        <v>4301.19696969697</v>
      </c>
      <c r="AE73" s="17">
        <f t="shared" si="312"/>
        <v>4301.19696969697</v>
      </c>
      <c r="AF73" s="17">
        <f t="shared" si="312"/>
        <v>4301.19696969697</v>
      </c>
      <c r="AG73" s="17">
        <f t="shared" si="312"/>
        <v>4301.19696969697</v>
      </c>
      <c r="AH73" s="17">
        <f t="shared" si="312"/>
        <v>2801.19696969697</v>
      </c>
      <c r="AI73" s="17">
        <f t="shared" si="312"/>
        <v>2801.19696969697</v>
      </c>
      <c r="AJ73" s="17">
        <f t="shared" si="312"/>
        <v>2801.19696969697</v>
      </c>
      <c r="AK73" s="17">
        <f t="shared" si="312"/>
        <v>2801.19696969697</v>
      </c>
      <c r="AL73" s="17">
        <f t="shared" si="312"/>
        <v>2801.19696969697</v>
      </c>
      <c r="AM73" s="17">
        <f t="shared" si="312"/>
        <v>2801.19696969697</v>
      </c>
      <c r="AN73" s="17">
        <f t="shared" si="312"/>
        <v>2801.19696969697</v>
      </c>
      <c r="AO73" s="17">
        <f t="shared" si="312"/>
        <v>2801.19696969697</v>
      </c>
      <c r="AP73" s="17">
        <f t="shared" si="312"/>
        <v>2801.19696969697</v>
      </c>
      <c r="AR73" s="17">
        <f t="shared" ref="AR73:AV73" si="313">SUBTOTAL(9,AR67:AR72)</f>
        <v>49205.272727272728</v>
      </c>
      <c r="AS73" s="17">
        <f t="shared" si="313"/>
        <v>11494.5</v>
      </c>
      <c r="AT73" s="17">
        <f t="shared" si="313"/>
        <v>12570.257575757576</v>
      </c>
      <c r="AU73" s="17">
        <f t="shared" si="313"/>
        <v>12570.257575757576</v>
      </c>
      <c r="AV73" s="17">
        <f t="shared" si="313"/>
        <v>12570.257575757576</v>
      </c>
      <c r="AX73" s="17">
        <f t="shared" ref="AX73:BB73" si="314">SUBTOTAL(9,AX67:AX72)</f>
        <v>51614.363636363632</v>
      </c>
      <c r="AY73" s="17">
        <f t="shared" si="314"/>
        <v>12903.59090909091</v>
      </c>
      <c r="AZ73" s="17">
        <f t="shared" si="314"/>
        <v>12903.59090909091</v>
      </c>
      <c r="BA73" s="17">
        <f t="shared" si="314"/>
        <v>12903.59090909091</v>
      </c>
      <c r="BB73" s="17">
        <f t="shared" si="314"/>
        <v>12903.59090909091</v>
      </c>
      <c r="BD73" s="17">
        <f t="shared" ref="BD73:BH73" si="315">SUBTOTAL(9,BD67:BD72)</f>
        <v>38114.363636363632</v>
      </c>
      <c r="BE73" s="17">
        <f t="shared" si="315"/>
        <v>12903.59090909091</v>
      </c>
      <c r="BF73" s="17">
        <f t="shared" si="315"/>
        <v>8403.5909090909099</v>
      </c>
      <c r="BG73" s="17">
        <f t="shared" si="315"/>
        <v>8403.5909090909099</v>
      </c>
      <c r="BH73" s="17">
        <f t="shared" si="315"/>
        <v>8403.5909090909099</v>
      </c>
    </row>
    <row r="74" spans="1:60" s="16" customFormat="1" x14ac:dyDescent="0.25"/>
    <row r="75" spans="1:60" s="16" customFormat="1" x14ac:dyDescent="0.25">
      <c r="B75" s="16" t="s">
        <v>55</v>
      </c>
      <c r="E75" s="17">
        <f>SUBTOTAL(9,E5:E74)</f>
        <v>171468.41666666669</v>
      </c>
      <c r="F75" s="17">
        <f t="shared" ref="F75:P75" si="316">SUBTOTAL(9,F5:F74)</f>
        <v>59147.416666666672</v>
      </c>
      <c r="G75" s="17">
        <f t="shared" si="316"/>
        <v>59147.416666666672</v>
      </c>
      <c r="H75" s="17">
        <f t="shared" si="316"/>
        <v>97569.835858585866</v>
      </c>
      <c r="I75" s="17">
        <f t="shared" si="316"/>
        <v>69931.835858585866</v>
      </c>
      <c r="J75" s="17">
        <f t="shared" si="316"/>
        <v>84933.835858585866</v>
      </c>
      <c r="K75" s="17">
        <f t="shared" si="316"/>
        <v>119882.58585858587</v>
      </c>
      <c r="L75" s="17">
        <f t="shared" si="316"/>
        <v>131715.08585858587</v>
      </c>
      <c r="M75" s="17">
        <f t="shared" si="316"/>
        <v>141322.58585858587</v>
      </c>
      <c r="N75" s="17">
        <f t="shared" si="316"/>
        <v>70082.585858585866</v>
      </c>
      <c r="O75" s="17">
        <f t="shared" si="316"/>
        <v>116122.58585858587</v>
      </c>
      <c r="P75" s="17">
        <f t="shared" si="316"/>
        <v>117522.58585858587</v>
      </c>
      <c r="R75" s="17">
        <f>SUBTOTAL(9,R5:R74)</f>
        <v>89043.696969696975</v>
      </c>
      <c r="S75" s="17">
        <f t="shared" ref="S75" si="317">SUBTOTAL(9,S5:S74)</f>
        <v>66233.696969696975</v>
      </c>
      <c r="T75" s="17">
        <f t="shared" ref="T75" si="318">SUBTOTAL(9,T5:T74)</f>
        <v>69233.696969696975</v>
      </c>
      <c r="U75" s="17">
        <f t="shared" ref="U75" si="319">SUBTOTAL(9,U5:U74)</f>
        <v>70193.696969696975</v>
      </c>
      <c r="V75" s="17">
        <f t="shared" ref="V75" si="320">SUBTOTAL(9,V5:V74)</f>
        <v>74483.696969696975</v>
      </c>
      <c r="W75" s="17">
        <f t="shared" ref="W75" si="321">SUBTOTAL(9,W5:W74)</f>
        <v>74483.696969696975</v>
      </c>
      <c r="X75" s="17">
        <f t="shared" ref="X75" si="322">SUBTOTAL(9,X5:X74)</f>
        <v>73493.696969696975</v>
      </c>
      <c r="Y75" s="17">
        <f t="shared" ref="Y75" si="323">SUBTOTAL(9,Y5:Y74)</f>
        <v>67483.696969696975</v>
      </c>
      <c r="Z75" s="17">
        <f t="shared" ref="Z75" si="324">SUBTOTAL(9,Z5:Z74)</f>
        <v>67483.696969696975</v>
      </c>
      <c r="AA75" s="17">
        <f t="shared" ref="AA75" si="325">SUBTOTAL(9,AA5:AA74)</f>
        <v>69393.696969696975</v>
      </c>
      <c r="AB75" s="17">
        <f t="shared" ref="AB75" si="326">SUBTOTAL(9,AB5:AB74)</f>
        <v>66683.696969696975</v>
      </c>
      <c r="AC75" s="17">
        <f t="shared" ref="AC75:AP75" si="327">SUBTOTAL(9,AC5:AC74)</f>
        <v>66683.696969696975</v>
      </c>
      <c r="AE75" s="17">
        <f t="shared" si="327"/>
        <v>86043.696969696975</v>
      </c>
      <c r="AF75" s="17">
        <f t="shared" si="327"/>
        <v>66683.696969696975</v>
      </c>
      <c r="AG75" s="17">
        <f t="shared" si="327"/>
        <v>66683.696969696975</v>
      </c>
      <c r="AH75" s="17">
        <f t="shared" si="327"/>
        <v>63093.696969696975</v>
      </c>
      <c r="AI75" s="17">
        <f t="shared" si="327"/>
        <v>62883.696969696975</v>
      </c>
      <c r="AJ75" s="17">
        <f t="shared" si="327"/>
        <v>63183.696969696975</v>
      </c>
      <c r="AK75" s="17">
        <f t="shared" si="327"/>
        <v>63093.696969696975</v>
      </c>
      <c r="AL75" s="17">
        <f t="shared" si="327"/>
        <v>62883.696969696975</v>
      </c>
      <c r="AM75" s="17">
        <f t="shared" si="327"/>
        <v>62883.696969696975</v>
      </c>
      <c r="AN75" s="17">
        <f t="shared" si="327"/>
        <v>63093.696969696975</v>
      </c>
      <c r="AO75" s="17">
        <f t="shared" si="327"/>
        <v>62883.696969696975</v>
      </c>
      <c r="AP75" s="17">
        <f t="shared" si="327"/>
        <v>62883.696969696975</v>
      </c>
      <c r="AR75" s="17">
        <f t="shared" ref="AR75:AV75" si="328">SUBTOTAL(9,AR5:AR74)</f>
        <v>1238846.7727272727</v>
      </c>
      <c r="AS75" s="17">
        <f t="shared" si="328"/>
        <v>289763.25</v>
      </c>
      <c r="AT75" s="17">
        <f t="shared" si="328"/>
        <v>252435.5075757576</v>
      </c>
      <c r="AU75" s="17">
        <f t="shared" si="328"/>
        <v>392920.25757575757</v>
      </c>
      <c r="AV75" s="17">
        <f t="shared" si="328"/>
        <v>303727.75757575757</v>
      </c>
      <c r="AX75" s="17">
        <f t="shared" ref="AX75:BB75" si="329">SUBTOTAL(9,AX5:AX74)</f>
        <v>854894.36363636376</v>
      </c>
      <c r="AY75" s="17">
        <f t="shared" si="329"/>
        <v>224511.09090909094</v>
      </c>
      <c r="AZ75" s="17">
        <f t="shared" si="329"/>
        <v>219161.09090909094</v>
      </c>
      <c r="BA75" s="17">
        <f t="shared" si="329"/>
        <v>208461.09090909094</v>
      </c>
      <c r="BB75" s="17">
        <f t="shared" si="329"/>
        <v>202761.09090909094</v>
      </c>
      <c r="BD75" s="17">
        <f t="shared" ref="BD75:BH75" si="330">SUBTOTAL(9,BD5:BD74)</f>
        <v>786294.36363636376</v>
      </c>
      <c r="BE75" s="17">
        <f t="shared" si="330"/>
        <v>219411.09090909094</v>
      </c>
      <c r="BF75" s="17">
        <f t="shared" si="330"/>
        <v>189161.09090909094</v>
      </c>
      <c r="BG75" s="17">
        <f t="shared" si="330"/>
        <v>188861.09090909094</v>
      </c>
      <c r="BH75" s="17">
        <f t="shared" si="330"/>
        <v>188861.09090909094</v>
      </c>
    </row>
    <row r="76" spans="1:60" s="16" customFormat="1" x14ac:dyDescent="0.25"/>
    <row r="77" spans="1:60" s="16" customFormat="1" x14ac:dyDescent="0.25">
      <c r="A77" s="19" t="s">
        <v>56</v>
      </c>
    </row>
    <row r="78" spans="1:60" s="16" customFormat="1" x14ac:dyDescent="0.25">
      <c r="B78" s="16" t="s">
        <v>59</v>
      </c>
      <c r="C78" s="16" t="s">
        <v>60</v>
      </c>
      <c r="D78" s="16" t="s">
        <v>61</v>
      </c>
    </row>
    <row r="79" spans="1:60" s="16" customFormat="1" x14ac:dyDescent="0.25">
      <c r="B79" s="16" t="s">
        <v>62</v>
      </c>
    </row>
    <row r="80" spans="1:60" s="16" customFormat="1" x14ac:dyDescent="0.25">
      <c r="B80" s="16" t="s">
        <v>83</v>
      </c>
      <c r="C80" s="16">
        <v>150000</v>
      </c>
      <c r="D80" s="16" t="s">
        <v>0</v>
      </c>
      <c r="E80" s="16">
        <f t="shared" ref="E80:P82" si="331">$C80/12</f>
        <v>12500</v>
      </c>
      <c r="F80" s="16">
        <f t="shared" si="331"/>
        <v>12500</v>
      </c>
      <c r="G80" s="16">
        <f t="shared" si="331"/>
        <v>12500</v>
      </c>
      <c r="H80" s="16">
        <f t="shared" si="331"/>
        <v>12500</v>
      </c>
      <c r="I80" s="16">
        <f t="shared" si="331"/>
        <v>12500</v>
      </c>
      <c r="J80" s="16">
        <f t="shared" si="331"/>
        <v>12500</v>
      </c>
      <c r="K80" s="16">
        <f t="shared" si="331"/>
        <v>12500</v>
      </c>
      <c r="L80" s="16">
        <f t="shared" si="331"/>
        <v>12500</v>
      </c>
      <c r="M80" s="16">
        <f t="shared" si="331"/>
        <v>12500</v>
      </c>
      <c r="N80" s="16">
        <f t="shared" si="331"/>
        <v>12500</v>
      </c>
      <c r="O80" s="16">
        <f t="shared" si="331"/>
        <v>12500</v>
      </c>
      <c r="P80" s="16">
        <f t="shared" si="331"/>
        <v>12500</v>
      </c>
      <c r="R80" s="16">
        <f t="shared" ref="R80:AC87" si="332">$C80/12</f>
        <v>12500</v>
      </c>
      <c r="S80" s="16">
        <f t="shared" si="332"/>
        <v>12500</v>
      </c>
      <c r="T80" s="16">
        <f t="shared" si="332"/>
        <v>12500</v>
      </c>
      <c r="U80" s="16">
        <f t="shared" si="332"/>
        <v>12500</v>
      </c>
      <c r="V80" s="16">
        <f t="shared" si="332"/>
        <v>12500</v>
      </c>
      <c r="W80" s="16">
        <f t="shared" si="332"/>
        <v>12500</v>
      </c>
      <c r="X80" s="16">
        <f t="shared" si="332"/>
        <v>12500</v>
      </c>
      <c r="Y80" s="16">
        <f t="shared" si="332"/>
        <v>12500</v>
      </c>
      <c r="Z80" s="16">
        <f t="shared" si="332"/>
        <v>12500</v>
      </c>
      <c r="AA80" s="16">
        <f t="shared" si="332"/>
        <v>12500</v>
      </c>
      <c r="AB80" s="16">
        <f t="shared" si="332"/>
        <v>12500</v>
      </c>
      <c r="AC80" s="16">
        <f t="shared" si="332"/>
        <v>12500</v>
      </c>
      <c r="AE80" s="16">
        <f t="shared" ref="AE80:AP87" si="333">$C80/12</f>
        <v>12500</v>
      </c>
      <c r="AF80" s="16">
        <f t="shared" si="333"/>
        <v>12500</v>
      </c>
      <c r="AG80" s="16">
        <f t="shared" si="333"/>
        <v>12500</v>
      </c>
      <c r="AH80" s="16">
        <f t="shared" si="333"/>
        <v>12500</v>
      </c>
      <c r="AI80" s="16">
        <f t="shared" si="333"/>
        <v>12500</v>
      </c>
      <c r="AJ80" s="16">
        <f t="shared" si="333"/>
        <v>12500</v>
      </c>
      <c r="AK80" s="16">
        <f t="shared" si="333"/>
        <v>12500</v>
      </c>
      <c r="AL80" s="16">
        <f t="shared" si="333"/>
        <v>12500</v>
      </c>
      <c r="AM80" s="16">
        <f t="shared" si="333"/>
        <v>12500</v>
      </c>
      <c r="AN80" s="16">
        <f t="shared" si="333"/>
        <v>12500</v>
      </c>
      <c r="AO80" s="16">
        <f t="shared" si="333"/>
        <v>12500</v>
      </c>
      <c r="AP80" s="16">
        <f t="shared" si="333"/>
        <v>12500</v>
      </c>
      <c r="AR80" s="16">
        <f t="shared" ref="AR80:AR87" si="334">SUM(E80:P80)</f>
        <v>150000</v>
      </c>
      <c r="AS80" s="16">
        <f t="shared" ref="AS80:AS87" si="335">SUM(E80:G80)</f>
        <v>37500</v>
      </c>
      <c r="AT80" s="16">
        <f t="shared" ref="AT80:AT87" si="336">SUM(H80:J80)</f>
        <v>37500</v>
      </c>
      <c r="AU80" s="16">
        <f t="shared" ref="AU80:AU87" si="337">SUM(K80:M80)</f>
        <v>37500</v>
      </c>
      <c r="AV80" s="16">
        <f t="shared" ref="AV80:AV87" si="338">SUM(N80:P80)</f>
        <v>37500</v>
      </c>
      <c r="AX80" s="16">
        <f t="shared" ref="AX80:AX87" si="339">SUM(R80:AC80)</f>
        <v>150000</v>
      </c>
      <c r="AY80" s="16">
        <f t="shared" ref="AY80:AY87" si="340">SUM(R80:T80)</f>
        <v>37500</v>
      </c>
      <c r="AZ80" s="16">
        <f t="shared" ref="AZ80:AZ87" si="341">SUM(U80:W80)</f>
        <v>37500</v>
      </c>
      <c r="BA80" s="16">
        <f t="shared" ref="BA80:BA87" si="342">SUM(X80:Z80)</f>
        <v>37500</v>
      </c>
      <c r="BB80" s="16">
        <f t="shared" ref="BB80:BB87" si="343">SUM(AA80:AC80)</f>
        <v>37500</v>
      </c>
      <c r="BD80" s="16">
        <f t="shared" ref="BD80:BD83" si="344">SUM(AE80:AP80)</f>
        <v>150000</v>
      </c>
      <c r="BE80" s="16">
        <f t="shared" ref="BE80:BE83" si="345">SUM(AE80:AG80)</f>
        <v>37500</v>
      </c>
      <c r="BF80" s="16">
        <f t="shared" ref="BF80:BF83" si="346">SUM(AH80:AJ80)</f>
        <v>37500</v>
      </c>
      <c r="BG80" s="16">
        <f t="shared" ref="BG80:BG83" si="347">SUM(AK80:AM80)</f>
        <v>37500</v>
      </c>
      <c r="BH80" s="16">
        <f t="shared" ref="BH80:BH83" si="348">SUM(AN80:AP80)</f>
        <v>37500</v>
      </c>
    </row>
    <row r="81" spans="1:60" s="16" customFormat="1" x14ac:dyDescent="0.25">
      <c r="B81" s="16" t="s">
        <v>1136</v>
      </c>
      <c r="C81" s="16">
        <v>100000</v>
      </c>
      <c r="D81" s="16" t="s">
        <v>0</v>
      </c>
      <c r="E81" s="16">
        <f t="shared" si="331"/>
        <v>8333.3333333333339</v>
      </c>
      <c r="F81" s="16">
        <f t="shared" si="331"/>
        <v>8333.3333333333339</v>
      </c>
      <c r="G81" s="16">
        <f t="shared" si="331"/>
        <v>8333.3333333333339</v>
      </c>
      <c r="H81" s="16">
        <f t="shared" si="331"/>
        <v>8333.3333333333339</v>
      </c>
      <c r="I81" s="16">
        <f t="shared" si="331"/>
        <v>8333.3333333333339</v>
      </c>
      <c r="J81" s="16">
        <f t="shared" si="331"/>
        <v>8333.3333333333339</v>
      </c>
      <c r="K81" s="16">
        <f t="shared" si="331"/>
        <v>8333.3333333333339</v>
      </c>
      <c r="L81" s="16">
        <f t="shared" si="331"/>
        <v>8333.3333333333339</v>
      </c>
      <c r="M81" s="16">
        <f t="shared" si="331"/>
        <v>8333.3333333333339</v>
      </c>
      <c r="N81" s="16">
        <f t="shared" si="331"/>
        <v>8333.3333333333339</v>
      </c>
      <c r="O81" s="16">
        <f t="shared" si="331"/>
        <v>8333.3333333333339</v>
      </c>
      <c r="P81" s="16">
        <f t="shared" si="331"/>
        <v>8333.3333333333339</v>
      </c>
      <c r="R81" s="16">
        <f t="shared" si="332"/>
        <v>8333.3333333333339</v>
      </c>
      <c r="S81" s="16">
        <f t="shared" si="332"/>
        <v>8333.3333333333339</v>
      </c>
      <c r="T81" s="16">
        <f t="shared" si="332"/>
        <v>8333.3333333333339</v>
      </c>
      <c r="U81" s="16">
        <f t="shared" si="332"/>
        <v>8333.3333333333339</v>
      </c>
      <c r="V81" s="16">
        <f t="shared" si="332"/>
        <v>8333.3333333333339</v>
      </c>
      <c r="W81" s="16">
        <f t="shared" si="332"/>
        <v>8333.3333333333339</v>
      </c>
      <c r="X81" s="16">
        <f t="shared" si="332"/>
        <v>8333.3333333333339</v>
      </c>
      <c r="Y81" s="16">
        <f t="shared" si="332"/>
        <v>8333.3333333333339</v>
      </c>
      <c r="Z81" s="16">
        <f t="shared" si="332"/>
        <v>8333.3333333333339</v>
      </c>
      <c r="AA81" s="16">
        <f t="shared" si="332"/>
        <v>8333.3333333333339</v>
      </c>
      <c r="AB81" s="16">
        <f t="shared" si="332"/>
        <v>8333.3333333333339</v>
      </c>
      <c r="AC81" s="16">
        <f t="shared" si="332"/>
        <v>8333.3333333333339</v>
      </c>
      <c r="AE81" s="16">
        <f t="shared" si="333"/>
        <v>8333.3333333333339</v>
      </c>
      <c r="AF81" s="16">
        <f t="shared" si="333"/>
        <v>8333.3333333333339</v>
      </c>
      <c r="AG81" s="16">
        <f t="shared" si="333"/>
        <v>8333.3333333333339</v>
      </c>
      <c r="AH81" s="16">
        <f t="shared" si="333"/>
        <v>8333.3333333333339</v>
      </c>
      <c r="AI81" s="16">
        <f t="shared" si="333"/>
        <v>8333.3333333333339</v>
      </c>
      <c r="AJ81" s="16">
        <f t="shared" si="333"/>
        <v>8333.3333333333339</v>
      </c>
      <c r="AK81" s="16">
        <f t="shared" si="333"/>
        <v>8333.3333333333339</v>
      </c>
      <c r="AL81" s="16">
        <f t="shared" si="333"/>
        <v>8333.3333333333339</v>
      </c>
      <c r="AM81" s="16">
        <f t="shared" si="333"/>
        <v>8333.3333333333339</v>
      </c>
      <c r="AN81" s="16">
        <f t="shared" si="333"/>
        <v>8333.3333333333339</v>
      </c>
      <c r="AO81" s="16">
        <f t="shared" si="333"/>
        <v>8333.3333333333339</v>
      </c>
      <c r="AP81" s="16">
        <f t="shared" si="333"/>
        <v>8333.3333333333339</v>
      </c>
      <c r="AR81" s="16">
        <f t="shared" si="334"/>
        <v>99999.999999999985</v>
      </c>
      <c r="AS81" s="16">
        <f t="shared" si="335"/>
        <v>25000</v>
      </c>
      <c r="AT81" s="16">
        <f t="shared" si="336"/>
        <v>25000</v>
      </c>
      <c r="AU81" s="16">
        <f t="shared" si="337"/>
        <v>25000</v>
      </c>
      <c r="AV81" s="16">
        <f t="shared" si="338"/>
        <v>25000</v>
      </c>
      <c r="AX81" s="16">
        <f t="shared" si="339"/>
        <v>99999.999999999985</v>
      </c>
      <c r="AY81" s="16">
        <f t="shared" si="340"/>
        <v>25000</v>
      </c>
      <c r="AZ81" s="16">
        <f t="shared" si="341"/>
        <v>25000</v>
      </c>
      <c r="BA81" s="16">
        <f t="shared" si="342"/>
        <v>25000</v>
      </c>
      <c r="BB81" s="16">
        <f t="shared" si="343"/>
        <v>25000</v>
      </c>
      <c r="BD81" s="16">
        <f t="shared" si="344"/>
        <v>99999.999999999985</v>
      </c>
      <c r="BE81" s="16">
        <f t="shared" si="345"/>
        <v>25000</v>
      </c>
      <c r="BF81" s="16">
        <f t="shared" si="346"/>
        <v>25000</v>
      </c>
      <c r="BG81" s="16">
        <f t="shared" si="347"/>
        <v>25000</v>
      </c>
      <c r="BH81" s="16">
        <f t="shared" si="348"/>
        <v>25000</v>
      </c>
    </row>
    <row r="82" spans="1:60" s="16" customFormat="1" x14ac:dyDescent="0.25">
      <c r="B82" s="16" t="s">
        <v>84</v>
      </c>
      <c r="C82" s="16">
        <v>100000</v>
      </c>
      <c r="D82" s="16" t="s">
        <v>0</v>
      </c>
      <c r="E82" s="16">
        <f t="shared" si="331"/>
        <v>8333.3333333333339</v>
      </c>
      <c r="F82" s="16">
        <f t="shared" si="331"/>
        <v>8333.3333333333339</v>
      </c>
      <c r="G82" s="16">
        <f t="shared" si="331"/>
        <v>8333.3333333333339</v>
      </c>
      <c r="H82" s="16">
        <f t="shared" si="331"/>
        <v>8333.3333333333339</v>
      </c>
      <c r="I82" s="16">
        <f t="shared" si="331"/>
        <v>8333.3333333333339</v>
      </c>
      <c r="J82" s="16">
        <f t="shared" si="331"/>
        <v>8333.3333333333339</v>
      </c>
      <c r="K82" s="16">
        <f t="shared" si="331"/>
        <v>8333.3333333333339</v>
      </c>
      <c r="L82" s="16">
        <f t="shared" si="331"/>
        <v>8333.3333333333339</v>
      </c>
      <c r="M82" s="16">
        <f t="shared" si="331"/>
        <v>8333.3333333333339</v>
      </c>
      <c r="N82" s="16">
        <f t="shared" si="331"/>
        <v>8333.3333333333339</v>
      </c>
      <c r="O82" s="16">
        <f t="shared" si="331"/>
        <v>8333.3333333333339</v>
      </c>
      <c r="P82" s="16">
        <f t="shared" si="331"/>
        <v>8333.3333333333339</v>
      </c>
      <c r="R82" s="16">
        <f t="shared" si="332"/>
        <v>8333.3333333333339</v>
      </c>
      <c r="S82" s="16">
        <f t="shared" si="332"/>
        <v>8333.3333333333339</v>
      </c>
      <c r="T82" s="16">
        <f t="shared" si="332"/>
        <v>8333.3333333333339</v>
      </c>
      <c r="U82" s="16">
        <f t="shared" si="332"/>
        <v>8333.3333333333339</v>
      </c>
      <c r="V82" s="16">
        <f t="shared" si="332"/>
        <v>8333.3333333333339</v>
      </c>
      <c r="W82" s="16">
        <f t="shared" si="332"/>
        <v>8333.3333333333339</v>
      </c>
      <c r="X82" s="16">
        <f t="shared" si="332"/>
        <v>8333.3333333333339</v>
      </c>
      <c r="Y82" s="16">
        <f t="shared" si="332"/>
        <v>8333.3333333333339</v>
      </c>
      <c r="Z82" s="16">
        <f t="shared" si="332"/>
        <v>8333.3333333333339</v>
      </c>
      <c r="AA82" s="16">
        <f t="shared" si="332"/>
        <v>8333.3333333333339</v>
      </c>
      <c r="AB82" s="16">
        <f t="shared" si="332"/>
        <v>8333.3333333333339</v>
      </c>
      <c r="AC82" s="16">
        <f t="shared" si="332"/>
        <v>8333.3333333333339</v>
      </c>
      <c r="AE82" s="16">
        <f t="shared" si="333"/>
        <v>8333.3333333333339</v>
      </c>
      <c r="AF82" s="16">
        <f t="shared" si="333"/>
        <v>8333.3333333333339</v>
      </c>
      <c r="AG82" s="16">
        <f t="shared" si="333"/>
        <v>8333.3333333333339</v>
      </c>
      <c r="AH82" s="16">
        <f t="shared" si="333"/>
        <v>8333.3333333333339</v>
      </c>
      <c r="AI82" s="16">
        <f t="shared" si="333"/>
        <v>8333.3333333333339</v>
      </c>
      <c r="AJ82" s="16">
        <f t="shared" si="333"/>
        <v>8333.3333333333339</v>
      </c>
      <c r="AK82" s="16">
        <f t="shared" si="333"/>
        <v>8333.3333333333339</v>
      </c>
      <c r="AL82" s="16">
        <f t="shared" si="333"/>
        <v>8333.3333333333339</v>
      </c>
      <c r="AM82" s="16">
        <f t="shared" si="333"/>
        <v>8333.3333333333339</v>
      </c>
      <c r="AN82" s="16">
        <f t="shared" si="333"/>
        <v>8333.3333333333339</v>
      </c>
      <c r="AO82" s="16">
        <f t="shared" si="333"/>
        <v>8333.3333333333339</v>
      </c>
      <c r="AP82" s="16">
        <f t="shared" si="333"/>
        <v>8333.3333333333339</v>
      </c>
      <c r="AR82" s="16">
        <f t="shared" si="334"/>
        <v>99999.999999999985</v>
      </c>
      <c r="AS82" s="16">
        <f t="shared" si="335"/>
        <v>25000</v>
      </c>
      <c r="AT82" s="16">
        <f t="shared" si="336"/>
        <v>25000</v>
      </c>
      <c r="AU82" s="16">
        <f t="shared" si="337"/>
        <v>25000</v>
      </c>
      <c r="AV82" s="16">
        <f t="shared" si="338"/>
        <v>25000</v>
      </c>
      <c r="AX82" s="16">
        <f t="shared" si="339"/>
        <v>99999.999999999985</v>
      </c>
      <c r="AY82" s="16">
        <f t="shared" si="340"/>
        <v>25000</v>
      </c>
      <c r="AZ82" s="16">
        <f t="shared" si="341"/>
        <v>25000</v>
      </c>
      <c r="BA82" s="16">
        <f t="shared" si="342"/>
        <v>25000</v>
      </c>
      <c r="BB82" s="16">
        <f t="shared" si="343"/>
        <v>25000</v>
      </c>
      <c r="BD82" s="16">
        <f t="shared" si="344"/>
        <v>99999.999999999985</v>
      </c>
      <c r="BE82" s="16">
        <f t="shared" si="345"/>
        <v>25000</v>
      </c>
      <c r="BF82" s="16">
        <f t="shared" si="346"/>
        <v>25000</v>
      </c>
      <c r="BG82" s="16">
        <f t="shared" si="347"/>
        <v>25000</v>
      </c>
      <c r="BH82" s="16">
        <f t="shared" si="348"/>
        <v>25000</v>
      </c>
    </row>
    <row r="83" spans="1:60" s="16" customFormat="1" x14ac:dyDescent="0.25">
      <c r="B83" s="16" t="s">
        <v>85</v>
      </c>
      <c r="C83" s="16">
        <v>70000</v>
      </c>
      <c r="D83" s="16" t="s">
        <v>3</v>
      </c>
      <c r="H83" s="16">
        <f t="shared" ref="H83:P84" si="349">$C83/12</f>
        <v>5833.333333333333</v>
      </c>
      <c r="I83" s="16">
        <f t="shared" si="349"/>
        <v>5833.333333333333</v>
      </c>
      <c r="J83" s="16">
        <f t="shared" si="349"/>
        <v>5833.333333333333</v>
      </c>
      <c r="K83" s="16">
        <f t="shared" si="349"/>
        <v>5833.333333333333</v>
      </c>
      <c r="L83" s="16">
        <f t="shared" si="349"/>
        <v>5833.333333333333</v>
      </c>
      <c r="M83" s="16">
        <f t="shared" si="349"/>
        <v>5833.333333333333</v>
      </c>
      <c r="N83" s="16">
        <f t="shared" si="349"/>
        <v>5833.333333333333</v>
      </c>
      <c r="O83" s="16">
        <f t="shared" si="349"/>
        <v>5833.333333333333</v>
      </c>
      <c r="P83" s="16">
        <f t="shared" si="349"/>
        <v>5833.333333333333</v>
      </c>
      <c r="R83" s="16">
        <f t="shared" si="332"/>
        <v>5833.333333333333</v>
      </c>
      <c r="S83" s="16">
        <f t="shared" si="332"/>
        <v>5833.333333333333</v>
      </c>
      <c r="T83" s="16">
        <f t="shared" si="332"/>
        <v>5833.333333333333</v>
      </c>
      <c r="U83" s="16">
        <f t="shared" si="332"/>
        <v>5833.333333333333</v>
      </c>
      <c r="V83" s="16">
        <f t="shared" si="332"/>
        <v>5833.333333333333</v>
      </c>
      <c r="W83" s="16">
        <f t="shared" si="332"/>
        <v>5833.333333333333</v>
      </c>
      <c r="X83" s="16">
        <f t="shared" si="332"/>
        <v>5833.333333333333</v>
      </c>
      <c r="Y83" s="16">
        <f t="shared" si="332"/>
        <v>5833.333333333333</v>
      </c>
      <c r="Z83" s="16">
        <f t="shared" si="332"/>
        <v>5833.333333333333</v>
      </c>
      <c r="AA83" s="16">
        <f t="shared" si="332"/>
        <v>5833.333333333333</v>
      </c>
      <c r="AB83" s="16">
        <f t="shared" si="332"/>
        <v>5833.333333333333</v>
      </c>
      <c r="AC83" s="16">
        <f t="shared" si="332"/>
        <v>5833.333333333333</v>
      </c>
      <c r="AE83" s="16">
        <f t="shared" si="333"/>
        <v>5833.333333333333</v>
      </c>
      <c r="AF83" s="16">
        <f t="shared" si="333"/>
        <v>5833.333333333333</v>
      </c>
      <c r="AG83" s="16">
        <f t="shared" si="333"/>
        <v>5833.333333333333</v>
      </c>
      <c r="AH83" s="16">
        <f t="shared" si="333"/>
        <v>5833.333333333333</v>
      </c>
      <c r="AI83" s="16">
        <f t="shared" si="333"/>
        <v>5833.333333333333</v>
      </c>
      <c r="AJ83" s="16">
        <f t="shared" si="333"/>
        <v>5833.333333333333</v>
      </c>
      <c r="AK83" s="16">
        <f t="shared" si="333"/>
        <v>5833.333333333333</v>
      </c>
      <c r="AL83" s="16">
        <f t="shared" si="333"/>
        <v>5833.333333333333</v>
      </c>
      <c r="AM83" s="16">
        <f t="shared" si="333"/>
        <v>5833.333333333333</v>
      </c>
      <c r="AN83" s="16">
        <f t="shared" si="333"/>
        <v>5833.333333333333</v>
      </c>
      <c r="AO83" s="16">
        <f t="shared" si="333"/>
        <v>5833.333333333333</v>
      </c>
      <c r="AP83" s="16">
        <f t="shared" si="333"/>
        <v>5833.333333333333</v>
      </c>
      <c r="AR83" s="16">
        <f t="shared" si="334"/>
        <v>52500.000000000007</v>
      </c>
      <c r="AS83" s="16">
        <f t="shared" si="335"/>
        <v>0</v>
      </c>
      <c r="AT83" s="16">
        <f t="shared" si="336"/>
        <v>17500</v>
      </c>
      <c r="AU83" s="16">
        <f t="shared" si="337"/>
        <v>17500</v>
      </c>
      <c r="AV83" s="16">
        <f t="shared" si="338"/>
        <v>17500</v>
      </c>
      <c r="AX83" s="16">
        <f t="shared" si="339"/>
        <v>70000.000000000015</v>
      </c>
      <c r="AY83" s="16">
        <f t="shared" si="340"/>
        <v>17500</v>
      </c>
      <c r="AZ83" s="16">
        <f t="shared" si="341"/>
        <v>17500</v>
      </c>
      <c r="BA83" s="16">
        <f t="shared" si="342"/>
        <v>17500</v>
      </c>
      <c r="BB83" s="16">
        <f t="shared" si="343"/>
        <v>17500</v>
      </c>
      <c r="BD83" s="16">
        <f t="shared" si="344"/>
        <v>70000.000000000015</v>
      </c>
      <c r="BE83" s="16">
        <f t="shared" si="345"/>
        <v>17500</v>
      </c>
      <c r="BF83" s="16">
        <f t="shared" si="346"/>
        <v>17500</v>
      </c>
      <c r="BG83" s="16">
        <f t="shared" si="347"/>
        <v>17500</v>
      </c>
      <c r="BH83" s="16">
        <f t="shared" si="348"/>
        <v>17500</v>
      </c>
    </row>
    <row r="84" spans="1:60" s="16" customFormat="1" x14ac:dyDescent="0.25">
      <c r="B84" s="16" t="s">
        <v>86</v>
      </c>
      <c r="C84" s="16">
        <v>45000</v>
      </c>
      <c r="D84" s="16" t="s">
        <v>0</v>
      </c>
      <c r="E84" s="16">
        <f>$C84/12</f>
        <v>3750</v>
      </c>
      <c r="F84" s="16">
        <f>$C84/12</f>
        <v>3750</v>
      </c>
      <c r="G84" s="16">
        <f>$C84/12</f>
        <v>3750</v>
      </c>
      <c r="H84" s="16">
        <f t="shared" si="349"/>
        <v>3750</v>
      </c>
      <c r="I84" s="16">
        <f t="shared" si="349"/>
        <v>3750</v>
      </c>
      <c r="J84" s="16">
        <f t="shared" si="349"/>
        <v>3750</v>
      </c>
      <c r="K84" s="16">
        <f t="shared" si="349"/>
        <v>3750</v>
      </c>
      <c r="L84" s="16">
        <f t="shared" si="349"/>
        <v>3750</v>
      </c>
      <c r="M84" s="16">
        <f t="shared" si="349"/>
        <v>3750</v>
      </c>
      <c r="N84" s="16">
        <f t="shared" si="349"/>
        <v>3750</v>
      </c>
      <c r="O84" s="16">
        <f t="shared" si="349"/>
        <v>3750</v>
      </c>
      <c r="P84" s="16">
        <f t="shared" si="349"/>
        <v>3750</v>
      </c>
      <c r="R84" s="16">
        <f t="shared" si="332"/>
        <v>3750</v>
      </c>
      <c r="S84" s="16">
        <f t="shared" si="332"/>
        <v>3750</v>
      </c>
      <c r="T84" s="16">
        <f t="shared" si="332"/>
        <v>3750</v>
      </c>
      <c r="U84" s="16">
        <f t="shared" si="332"/>
        <v>3750</v>
      </c>
      <c r="V84" s="16">
        <f t="shared" si="332"/>
        <v>3750</v>
      </c>
      <c r="W84" s="16">
        <f t="shared" si="332"/>
        <v>3750</v>
      </c>
      <c r="X84" s="16">
        <f t="shared" si="332"/>
        <v>3750</v>
      </c>
      <c r="Y84" s="16">
        <f t="shared" si="332"/>
        <v>3750</v>
      </c>
      <c r="Z84" s="16">
        <f t="shared" si="332"/>
        <v>3750</v>
      </c>
      <c r="AA84" s="16">
        <f t="shared" si="332"/>
        <v>3750</v>
      </c>
      <c r="AB84" s="16">
        <f t="shared" si="332"/>
        <v>3750</v>
      </c>
      <c r="AC84" s="16">
        <f t="shared" si="332"/>
        <v>3750</v>
      </c>
      <c r="AE84" s="16">
        <f t="shared" si="333"/>
        <v>3750</v>
      </c>
      <c r="AF84" s="16">
        <f t="shared" si="333"/>
        <v>3750</v>
      </c>
      <c r="AG84" s="16">
        <f t="shared" si="333"/>
        <v>3750</v>
      </c>
      <c r="AH84" s="16">
        <f t="shared" si="333"/>
        <v>3750</v>
      </c>
      <c r="AI84" s="16">
        <f t="shared" si="333"/>
        <v>3750</v>
      </c>
      <c r="AJ84" s="16">
        <f t="shared" si="333"/>
        <v>3750</v>
      </c>
      <c r="AK84" s="16">
        <f t="shared" si="333"/>
        <v>3750</v>
      </c>
      <c r="AL84" s="16">
        <f t="shared" si="333"/>
        <v>3750</v>
      </c>
      <c r="AM84" s="16">
        <f t="shared" si="333"/>
        <v>3750</v>
      </c>
      <c r="AN84" s="16">
        <f t="shared" si="333"/>
        <v>3750</v>
      </c>
      <c r="AO84" s="16">
        <f t="shared" si="333"/>
        <v>3750</v>
      </c>
      <c r="AP84" s="16">
        <f t="shared" si="333"/>
        <v>3750</v>
      </c>
      <c r="AR84" s="16">
        <f t="shared" si="334"/>
        <v>45000</v>
      </c>
      <c r="AS84" s="16">
        <f t="shared" si="335"/>
        <v>11250</v>
      </c>
      <c r="AT84" s="16">
        <f t="shared" si="336"/>
        <v>11250</v>
      </c>
      <c r="AU84" s="16">
        <f t="shared" si="337"/>
        <v>11250</v>
      </c>
      <c r="AV84" s="16">
        <f t="shared" si="338"/>
        <v>11250</v>
      </c>
      <c r="AX84" s="16">
        <f t="shared" si="339"/>
        <v>45000</v>
      </c>
      <c r="AY84" s="16">
        <f t="shared" si="340"/>
        <v>11250</v>
      </c>
      <c r="AZ84" s="16">
        <f t="shared" si="341"/>
        <v>11250</v>
      </c>
      <c r="BA84" s="16">
        <f t="shared" si="342"/>
        <v>11250</v>
      </c>
      <c r="BB84" s="16">
        <f t="shared" si="343"/>
        <v>11250</v>
      </c>
      <c r="BD84" s="16">
        <f t="shared" ref="BD84:BD85" si="350">SUM(AE84:AP84)</f>
        <v>45000</v>
      </c>
      <c r="BE84" s="16">
        <f t="shared" ref="BE84:BE85" si="351">SUM(AE84:AG84)</f>
        <v>11250</v>
      </c>
      <c r="BF84" s="16">
        <f t="shared" ref="BF84:BF85" si="352">SUM(AH84:AJ84)</f>
        <v>11250</v>
      </c>
      <c r="BG84" s="16">
        <f t="shared" ref="BG84:BG85" si="353">SUM(AK84:AM84)</f>
        <v>11250</v>
      </c>
      <c r="BH84" s="16">
        <f t="shared" ref="BH84:BH85" si="354">SUM(AN84:AP84)</f>
        <v>11250</v>
      </c>
    </row>
    <row r="85" spans="1:60" s="16" customFormat="1" x14ac:dyDescent="0.25">
      <c r="B85" s="16" t="s">
        <v>207</v>
      </c>
      <c r="C85" s="16">
        <v>45000</v>
      </c>
      <c r="D85" s="16" t="s">
        <v>6</v>
      </c>
      <c r="K85" s="16">
        <f t="shared" ref="K85:P87" si="355">$C85/12</f>
        <v>3750</v>
      </c>
      <c r="L85" s="16">
        <f t="shared" si="355"/>
        <v>3750</v>
      </c>
      <c r="M85" s="16">
        <f t="shared" si="355"/>
        <v>3750</v>
      </c>
      <c r="N85" s="16">
        <f t="shared" si="355"/>
        <v>3750</v>
      </c>
      <c r="O85" s="16">
        <f t="shared" si="355"/>
        <v>3750</v>
      </c>
      <c r="P85" s="16">
        <f t="shared" si="355"/>
        <v>3750</v>
      </c>
      <c r="R85" s="16">
        <f t="shared" si="332"/>
        <v>3750</v>
      </c>
      <c r="S85" s="16">
        <f t="shared" si="332"/>
        <v>3750</v>
      </c>
      <c r="T85" s="16">
        <f t="shared" si="332"/>
        <v>3750</v>
      </c>
      <c r="U85" s="16">
        <f t="shared" si="332"/>
        <v>3750</v>
      </c>
      <c r="V85" s="16">
        <f t="shared" si="332"/>
        <v>3750</v>
      </c>
      <c r="W85" s="16">
        <f t="shared" si="332"/>
        <v>3750</v>
      </c>
      <c r="X85" s="16">
        <f t="shared" si="332"/>
        <v>3750</v>
      </c>
      <c r="Y85" s="16">
        <f t="shared" si="332"/>
        <v>3750</v>
      </c>
      <c r="Z85" s="16">
        <f t="shared" si="332"/>
        <v>3750</v>
      </c>
      <c r="AA85" s="16">
        <f t="shared" si="332"/>
        <v>3750</v>
      </c>
      <c r="AB85" s="16">
        <f t="shared" si="332"/>
        <v>3750</v>
      </c>
      <c r="AC85" s="16">
        <f t="shared" si="332"/>
        <v>3750</v>
      </c>
      <c r="AE85" s="16">
        <f t="shared" si="333"/>
        <v>3750</v>
      </c>
      <c r="AF85" s="16">
        <f t="shared" si="333"/>
        <v>3750</v>
      </c>
      <c r="AG85" s="16">
        <f t="shared" si="333"/>
        <v>3750</v>
      </c>
      <c r="AH85" s="16">
        <f t="shared" si="333"/>
        <v>3750</v>
      </c>
      <c r="AI85" s="16">
        <f t="shared" si="333"/>
        <v>3750</v>
      </c>
      <c r="AJ85" s="16">
        <f t="shared" si="333"/>
        <v>3750</v>
      </c>
      <c r="AK85" s="16">
        <f t="shared" si="333"/>
        <v>3750</v>
      </c>
      <c r="AL85" s="16">
        <f t="shared" si="333"/>
        <v>3750</v>
      </c>
      <c r="AM85" s="16">
        <f t="shared" si="333"/>
        <v>3750</v>
      </c>
      <c r="AN85" s="16">
        <f t="shared" si="333"/>
        <v>3750</v>
      </c>
      <c r="AO85" s="16">
        <f t="shared" si="333"/>
        <v>3750</v>
      </c>
      <c r="AP85" s="16">
        <f t="shared" si="333"/>
        <v>3750</v>
      </c>
      <c r="AR85" s="16">
        <f t="shared" si="334"/>
        <v>22500</v>
      </c>
      <c r="AS85" s="16">
        <f t="shared" si="335"/>
        <v>0</v>
      </c>
      <c r="AT85" s="16">
        <f t="shared" si="336"/>
        <v>0</v>
      </c>
      <c r="AU85" s="16">
        <f t="shared" si="337"/>
        <v>11250</v>
      </c>
      <c r="AV85" s="16">
        <f t="shared" si="338"/>
        <v>11250</v>
      </c>
      <c r="AX85" s="16">
        <f t="shared" si="339"/>
        <v>45000</v>
      </c>
      <c r="AY85" s="16">
        <f t="shared" si="340"/>
        <v>11250</v>
      </c>
      <c r="AZ85" s="16">
        <f t="shared" si="341"/>
        <v>11250</v>
      </c>
      <c r="BA85" s="16">
        <f t="shared" si="342"/>
        <v>11250</v>
      </c>
      <c r="BB85" s="16">
        <f t="shared" si="343"/>
        <v>11250</v>
      </c>
      <c r="BD85" s="16">
        <f t="shared" si="350"/>
        <v>45000</v>
      </c>
      <c r="BE85" s="16">
        <f t="shared" si="351"/>
        <v>11250</v>
      </c>
      <c r="BF85" s="16">
        <f t="shared" si="352"/>
        <v>11250</v>
      </c>
      <c r="BG85" s="16">
        <f t="shared" si="353"/>
        <v>11250</v>
      </c>
      <c r="BH85" s="16">
        <f t="shared" si="354"/>
        <v>11250</v>
      </c>
    </row>
    <row r="86" spans="1:60" s="16" customFormat="1" x14ac:dyDescent="0.25">
      <c r="B86" s="16" t="s">
        <v>57</v>
      </c>
      <c r="E86" s="16">
        <f t="shared" ref="E86:J87" si="356">$C86/12</f>
        <v>0</v>
      </c>
      <c r="F86" s="16">
        <f t="shared" si="356"/>
        <v>0</v>
      </c>
      <c r="G86" s="16">
        <f t="shared" si="356"/>
        <v>0</v>
      </c>
      <c r="H86" s="16">
        <f t="shared" si="356"/>
        <v>0</v>
      </c>
      <c r="I86" s="16">
        <f t="shared" si="356"/>
        <v>0</v>
      </c>
      <c r="J86" s="16">
        <f t="shared" si="356"/>
        <v>0</v>
      </c>
      <c r="K86" s="16">
        <f t="shared" si="355"/>
        <v>0</v>
      </c>
      <c r="L86" s="16">
        <f t="shared" si="355"/>
        <v>0</v>
      </c>
      <c r="M86" s="16">
        <f t="shared" si="355"/>
        <v>0</v>
      </c>
      <c r="N86" s="16">
        <f t="shared" si="355"/>
        <v>0</v>
      </c>
      <c r="O86" s="16">
        <f t="shared" si="355"/>
        <v>0</v>
      </c>
      <c r="P86" s="16">
        <f t="shared" si="355"/>
        <v>0</v>
      </c>
      <c r="R86" s="16">
        <f t="shared" si="332"/>
        <v>0</v>
      </c>
      <c r="S86" s="16">
        <f t="shared" si="332"/>
        <v>0</v>
      </c>
      <c r="T86" s="16">
        <f t="shared" si="332"/>
        <v>0</v>
      </c>
      <c r="U86" s="16">
        <f t="shared" si="332"/>
        <v>0</v>
      </c>
      <c r="V86" s="16">
        <f t="shared" si="332"/>
        <v>0</v>
      </c>
      <c r="W86" s="16">
        <f t="shared" si="332"/>
        <v>0</v>
      </c>
      <c r="X86" s="16">
        <f t="shared" si="332"/>
        <v>0</v>
      </c>
      <c r="Y86" s="16">
        <f t="shared" si="332"/>
        <v>0</v>
      </c>
      <c r="Z86" s="16">
        <f t="shared" si="332"/>
        <v>0</v>
      </c>
      <c r="AA86" s="16">
        <f t="shared" si="332"/>
        <v>0</v>
      </c>
      <c r="AB86" s="16">
        <f t="shared" si="332"/>
        <v>0</v>
      </c>
      <c r="AC86" s="16">
        <f t="shared" si="332"/>
        <v>0</v>
      </c>
      <c r="AE86" s="16">
        <f t="shared" si="333"/>
        <v>0</v>
      </c>
      <c r="AF86" s="16">
        <f t="shared" si="333"/>
        <v>0</v>
      </c>
      <c r="AG86" s="16">
        <f t="shared" si="333"/>
        <v>0</v>
      </c>
      <c r="AH86" s="16">
        <f t="shared" si="333"/>
        <v>0</v>
      </c>
      <c r="AI86" s="16">
        <f t="shared" si="333"/>
        <v>0</v>
      </c>
      <c r="AJ86" s="16">
        <f t="shared" si="333"/>
        <v>0</v>
      </c>
      <c r="AK86" s="16">
        <f t="shared" si="333"/>
        <v>0</v>
      </c>
      <c r="AL86" s="16">
        <f t="shared" si="333"/>
        <v>0</v>
      </c>
      <c r="AM86" s="16">
        <f t="shared" si="333"/>
        <v>0</v>
      </c>
      <c r="AN86" s="16">
        <f t="shared" si="333"/>
        <v>0</v>
      </c>
      <c r="AO86" s="16">
        <f t="shared" si="333"/>
        <v>0</v>
      </c>
      <c r="AP86" s="16">
        <f t="shared" si="333"/>
        <v>0</v>
      </c>
      <c r="AR86" s="16">
        <f t="shared" si="334"/>
        <v>0</v>
      </c>
      <c r="AS86" s="16">
        <f t="shared" si="335"/>
        <v>0</v>
      </c>
      <c r="AT86" s="16">
        <f t="shared" si="336"/>
        <v>0</v>
      </c>
      <c r="AU86" s="16">
        <f t="shared" si="337"/>
        <v>0</v>
      </c>
      <c r="AV86" s="16">
        <f t="shared" si="338"/>
        <v>0</v>
      </c>
      <c r="AX86" s="16">
        <f t="shared" si="339"/>
        <v>0</v>
      </c>
      <c r="AY86" s="16">
        <f t="shared" si="340"/>
        <v>0</v>
      </c>
      <c r="AZ86" s="16">
        <f t="shared" si="341"/>
        <v>0</v>
      </c>
      <c r="BA86" s="16">
        <f t="shared" si="342"/>
        <v>0</v>
      </c>
      <c r="BB86" s="16">
        <f t="shared" si="343"/>
        <v>0</v>
      </c>
      <c r="BD86" s="16">
        <f t="shared" ref="BD86:BD87" si="357">SUM(AE86:AP86)</f>
        <v>0</v>
      </c>
      <c r="BE86" s="16">
        <f t="shared" ref="BE86:BE87" si="358">SUM(AE86:AG86)</f>
        <v>0</v>
      </c>
      <c r="BF86" s="16">
        <f t="shared" ref="BF86:BF87" si="359">SUM(AH86:AJ86)</f>
        <v>0</v>
      </c>
      <c r="BG86" s="16">
        <f t="shared" ref="BG86:BG87" si="360">SUM(AK86:AM86)</f>
        <v>0</v>
      </c>
      <c r="BH86" s="16">
        <f t="shared" ref="BH86:BH87" si="361">SUM(AN86:AP86)</f>
        <v>0</v>
      </c>
    </row>
    <row r="87" spans="1:60" s="16" customFormat="1" x14ac:dyDescent="0.25">
      <c r="B87" s="16" t="s">
        <v>58</v>
      </c>
      <c r="E87" s="16">
        <f t="shared" si="356"/>
        <v>0</v>
      </c>
      <c r="F87" s="16">
        <f t="shared" si="356"/>
        <v>0</v>
      </c>
      <c r="G87" s="16">
        <f t="shared" si="356"/>
        <v>0</v>
      </c>
      <c r="H87" s="16">
        <f t="shared" si="356"/>
        <v>0</v>
      </c>
      <c r="I87" s="16">
        <f t="shared" si="356"/>
        <v>0</v>
      </c>
      <c r="J87" s="16">
        <f t="shared" si="356"/>
        <v>0</v>
      </c>
      <c r="K87" s="16">
        <f t="shared" si="355"/>
        <v>0</v>
      </c>
      <c r="L87" s="16">
        <f t="shared" si="355"/>
        <v>0</v>
      </c>
      <c r="M87" s="16">
        <f t="shared" si="355"/>
        <v>0</v>
      </c>
      <c r="N87" s="16">
        <f t="shared" si="355"/>
        <v>0</v>
      </c>
      <c r="O87" s="16">
        <f t="shared" si="355"/>
        <v>0</v>
      </c>
      <c r="P87" s="16">
        <f t="shared" si="355"/>
        <v>0</v>
      </c>
      <c r="R87" s="16">
        <f t="shared" si="332"/>
        <v>0</v>
      </c>
      <c r="S87" s="16">
        <f t="shared" si="332"/>
        <v>0</v>
      </c>
      <c r="T87" s="16">
        <f t="shared" si="332"/>
        <v>0</v>
      </c>
      <c r="U87" s="16">
        <f t="shared" si="332"/>
        <v>0</v>
      </c>
      <c r="V87" s="16">
        <f t="shared" si="332"/>
        <v>0</v>
      </c>
      <c r="W87" s="16">
        <f t="shared" si="332"/>
        <v>0</v>
      </c>
      <c r="X87" s="16">
        <f t="shared" si="332"/>
        <v>0</v>
      </c>
      <c r="Y87" s="16">
        <f t="shared" si="332"/>
        <v>0</v>
      </c>
      <c r="Z87" s="16">
        <f t="shared" si="332"/>
        <v>0</v>
      </c>
      <c r="AA87" s="16">
        <f t="shared" si="332"/>
        <v>0</v>
      </c>
      <c r="AB87" s="16">
        <f t="shared" si="332"/>
        <v>0</v>
      </c>
      <c r="AC87" s="16">
        <f t="shared" si="332"/>
        <v>0</v>
      </c>
      <c r="AE87" s="16">
        <f t="shared" si="333"/>
        <v>0</v>
      </c>
      <c r="AF87" s="16">
        <f t="shared" si="333"/>
        <v>0</v>
      </c>
      <c r="AG87" s="16">
        <f t="shared" si="333"/>
        <v>0</v>
      </c>
      <c r="AH87" s="16">
        <f t="shared" si="333"/>
        <v>0</v>
      </c>
      <c r="AI87" s="16">
        <f t="shared" si="333"/>
        <v>0</v>
      </c>
      <c r="AJ87" s="16">
        <f t="shared" si="333"/>
        <v>0</v>
      </c>
      <c r="AK87" s="16">
        <f t="shared" si="333"/>
        <v>0</v>
      </c>
      <c r="AL87" s="16">
        <f t="shared" si="333"/>
        <v>0</v>
      </c>
      <c r="AM87" s="16">
        <f t="shared" si="333"/>
        <v>0</v>
      </c>
      <c r="AN87" s="16">
        <f t="shared" si="333"/>
        <v>0</v>
      </c>
      <c r="AO87" s="16">
        <f t="shared" si="333"/>
        <v>0</v>
      </c>
      <c r="AP87" s="16">
        <f t="shared" si="333"/>
        <v>0</v>
      </c>
      <c r="AR87" s="16">
        <f t="shared" si="334"/>
        <v>0</v>
      </c>
      <c r="AS87" s="16">
        <f t="shared" si="335"/>
        <v>0</v>
      </c>
      <c r="AT87" s="16">
        <f t="shared" si="336"/>
        <v>0</v>
      </c>
      <c r="AU87" s="16">
        <f t="shared" si="337"/>
        <v>0</v>
      </c>
      <c r="AV87" s="16">
        <f t="shared" si="338"/>
        <v>0</v>
      </c>
      <c r="AX87" s="16">
        <f t="shared" si="339"/>
        <v>0</v>
      </c>
      <c r="AY87" s="16">
        <f t="shared" si="340"/>
        <v>0</v>
      </c>
      <c r="AZ87" s="16">
        <f t="shared" si="341"/>
        <v>0</v>
      </c>
      <c r="BA87" s="16">
        <f t="shared" si="342"/>
        <v>0</v>
      </c>
      <c r="BB87" s="16">
        <f t="shared" si="343"/>
        <v>0</v>
      </c>
      <c r="BD87" s="16">
        <f t="shared" si="357"/>
        <v>0</v>
      </c>
      <c r="BE87" s="16">
        <f t="shared" si="358"/>
        <v>0</v>
      </c>
      <c r="BF87" s="16">
        <f t="shared" si="359"/>
        <v>0</v>
      </c>
      <c r="BG87" s="16">
        <f t="shared" si="360"/>
        <v>0</v>
      </c>
      <c r="BH87" s="16">
        <f t="shared" si="361"/>
        <v>0</v>
      </c>
    </row>
    <row r="88" spans="1:60" s="16" customFormat="1" x14ac:dyDescent="0.25">
      <c r="B88" s="16" t="s">
        <v>843</v>
      </c>
    </row>
    <row r="89" spans="1:60" s="16" customFormat="1" x14ac:dyDescent="0.25">
      <c r="B89" s="16" t="s">
        <v>844</v>
      </c>
    </row>
    <row r="90" spans="1:60" s="16" customFormat="1" x14ac:dyDescent="0.25"/>
    <row r="91" spans="1:60" s="16" customFormat="1" x14ac:dyDescent="0.25">
      <c r="B91" s="16" t="s">
        <v>80</v>
      </c>
      <c r="E91" s="17">
        <f t="shared" ref="E91:P91" si="362">SUM(E80:E90)</f>
        <v>32916.666666666672</v>
      </c>
      <c r="F91" s="17">
        <f t="shared" si="362"/>
        <v>32916.666666666672</v>
      </c>
      <c r="G91" s="17">
        <f t="shared" si="362"/>
        <v>32916.666666666672</v>
      </c>
      <c r="H91" s="17">
        <f t="shared" si="362"/>
        <v>38750.000000000007</v>
      </c>
      <c r="I91" s="17">
        <f t="shared" si="362"/>
        <v>38750.000000000007</v>
      </c>
      <c r="J91" s="17">
        <f t="shared" si="362"/>
        <v>38750.000000000007</v>
      </c>
      <c r="K91" s="17">
        <f t="shared" si="362"/>
        <v>42500.000000000007</v>
      </c>
      <c r="L91" s="17">
        <f t="shared" si="362"/>
        <v>42500.000000000007</v>
      </c>
      <c r="M91" s="17">
        <f t="shared" si="362"/>
        <v>42500.000000000007</v>
      </c>
      <c r="N91" s="17">
        <f t="shared" si="362"/>
        <v>42500.000000000007</v>
      </c>
      <c r="O91" s="17">
        <f t="shared" si="362"/>
        <v>42500.000000000007</v>
      </c>
      <c r="P91" s="17">
        <f t="shared" si="362"/>
        <v>42500.000000000007</v>
      </c>
      <c r="R91" s="17">
        <f t="shared" ref="R91:AC91" si="363">SUM(R80:R90)</f>
        <v>42500.000000000007</v>
      </c>
      <c r="S91" s="17">
        <f t="shared" si="363"/>
        <v>42500.000000000007</v>
      </c>
      <c r="T91" s="17">
        <f t="shared" si="363"/>
        <v>42500.000000000007</v>
      </c>
      <c r="U91" s="17">
        <f t="shared" si="363"/>
        <v>42500.000000000007</v>
      </c>
      <c r="V91" s="17">
        <f t="shared" si="363"/>
        <v>42500.000000000007</v>
      </c>
      <c r="W91" s="17">
        <f t="shared" si="363"/>
        <v>42500.000000000007</v>
      </c>
      <c r="X91" s="17">
        <f t="shared" si="363"/>
        <v>42500.000000000007</v>
      </c>
      <c r="Y91" s="17">
        <f t="shared" si="363"/>
        <v>42500.000000000007</v>
      </c>
      <c r="Z91" s="17">
        <f t="shared" si="363"/>
        <v>42500.000000000007</v>
      </c>
      <c r="AA91" s="17">
        <f t="shared" si="363"/>
        <v>42500.000000000007</v>
      </c>
      <c r="AB91" s="17">
        <f t="shared" si="363"/>
        <v>42500.000000000007</v>
      </c>
      <c r="AC91" s="17">
        <f t="shared" si="363"/>
        <v>42500.000000000007</v>
      </c>
      <c r="AE91" s="17">
        <f t="shared" ref="AE91:AP91" si="364">SUM(AE80:AE90)</f>
        <v>42500.000000000007</v>
      </c>
      <c r="AF91" s="17">
        <f t="shared" si="364"/>
        <v>42500.000000000007</v>
      </c>
      <c r="AG91" s="17">
        <f t="shared" si="364"/>
        <v>42500.000000000007</v>
      </c>
      <c r="AH91" s="17">
        <f t="shared" si="364"/>
        <v>42500.000000000007</v>
      </c>
      <c r="AI91" s="17">
        <f t="shared" si="364"/>
        <v>42500.000000000007</v>
      </c>
      <c r="AJ91" s="17">
        <f t="shared" si="364"/>
        <v>42500.000000000007</v>
      </c>
      <c r="AK91" s="17">
        <f t="shared" si="364"/>
        <v>42500.000000000007</v>
      </c>
      <c r="AL91" s="17">
        <f t="shared" si="364"/>
        <v>42500.000000000007</v>
      </c>
      <c r="AM91" s="17">
        <f t="shared" si="364"/>
        <v>42500.000000000007</v>
      </c>
      <c r="AN91" s="17">
        <f t="shared" si="364"/>
        <v>42500.000000000007</v>
      </c>
      <c r="AO91" s="17">
        <f t="shared" si="364"/>
        <v>42500.000000000007</v>
      </c>
      <c r="AP91" s="17">
        <f t="shared" si="364"/>
        <v>42500.000000000007</v>
      </c>
      <c r="AR91" s="17"/>
      <c r="AS91" s="17"/>
      <c r="AT91" s="17"/>
      <c r="AU91" s="17"/>
      <c r="AV91" s="17"/>
      <c r="AX91" s="17"/>
      <c r="AY91" s="17"/>
      <c r="AZ91" s="17"/>
      <c r="BA91" s="17"/>
      <c r="BB91" s="17"/>
      <c r="BD91" s="17"/>
      <c r="BE91" s="17"/>
      <c r="BF91" s="17"/>
      <c r="BG91" s="17"/>
      <c r="BH91" s="17"/>
    </row>
    <row r="92" spans="1:60" s="16" customFormat="1" x14ac:dyDescent="0.25"/>
    <row r="93" spans="1:60" s="16" customFormat="1" x14ac:dyDescent="0.25">
      <c r="A93" s="19" t="s">
        <v>63</v>
      </c>
    </row>
    <row r="94" spans="1:60" s="16" customFormat="1" x14ac:dyDescent="0.25">
      <c r="B94" s="16" t="s">
        <v>89</v>
      </c>
      <c r="M94" s="16">
        <v>500</v>
      </c>
      <c r="N94" s="16">
        <f t="shared" ref="N94:P94" si="365">+M94</f>
        <v>500</v>
      </c>
      <c r="O94" s="16">
        <f t="shared" si="365"/>
        <v>500</v>
      </c>
      <c r="P94" s="16">
        <f t="shared" si="365"/>
        <v>500</v>
      </c>
      <c r="R94" s="16">
        <f>+P94</f>
        <v>500</v>
      </c>
      <c r="S94" s="16">
        <f t="shared" ref="S94:AC94" si="366">+R94</f>
        <v>500</v>
      </c>
      <c r="T94" s="16">
        <f t="shared" si="366"/>
        <v>500</v>
      </c>
      <c r="U94" s="16">
        <f t="shared" si="366"/>
        <v>500</v>
      </c>
      <c r="V94" s="16">
        <f t="shared" si="366"/>
        <v>500</v>
      </c>
      <c r="W94" s="16">
        <f t="shared" si="366"/>
        <v>500</v>
      </c>
      <c r="X94" s="16">
        <f t="shared" si="366"/>
        <v>500</v>
      </c>
      <c r="Y94" s="16">
        <f t="shared" si="366"/>
        <v>500</v>
      </c>
      <c r="Z94" s="16">
        <f t="shared" si="366"/>
        <v>500</v>
      </c>
      <c r="AA94" s="16">
        <f t="shared" si="366"/>
        <v>500</v>
      </c>
      <c r="AB94" s="16">
        <f t="shared" si="366"/>
        <v>500</v>
      </c>
      <c r="AC94" s="16">
        <f t="shared" si="366"/>
        <v>500</v>
      </c>
      <c r="AE94" s="16">
        <f>+AC94</f>
        <v>500</v>
      </c>
      <c r="AF94" s="16">
        <f>+AE94</f>
        <v>500</v>
      </c>
      <c r="AG94" s="16">
        <f t="shared" ref="AG94:AG97" si="367">+AF94</f>
        <v>500</v>
      </c>
      <c r="AH94" s="16">
        <f t="shared" ref="AH94" si="368">+AG94</f>
        <v>500</v>
      </c>
      <c r="AI94" s="16">
        <f t="shared" ref="AI94" si="369">+AH94</f>
        <v>500</v>
      </c>
      <c r="AJ94" s="16">
        <f t="shared" ref="AJ94" si="370">+AI94</f>
        <v>500</v>
      </c>
      <c r="AK94" s="16">
        <f t="shared" ref="AK94" si="371">+AJ94</f>
        <v>500</v>
      </c>
      <c r="AL94" s="16">
        <f t="shared" ref="AL94" si="372">+AK94</f>
        <v>500</v>
      </c>
      <c r="AM94" s="16">
        <f t="shared" ref="AM94" si="373">+AL94</f>
        <v>500</v>
      </c>
      <c r="AN94" s="16">
        <f t="shared" ref="AN94" si="374">+AM94</f>
        <v>500</v>
      </c>
      <c r="AO94" s="16">
        <f t="shared" ref="AO94" si="375">+AN94</f>
        <v>500</v>
      </c>
      <c r="AP94" s="16">
        <f t="shared" ref="AP94" si="376">+AO94</f>
        <v>500</v>
      </c>
    </row>
    <row r="95" spans="1:60" s="16" customFormat="1" x14ac:dyDescent="0.25">
      <c r="B95" s="16" t="s">
        <v>90</v>
      </c>
      <c r="E95" s="16">
        <v>1500</v>
      </c>
      <c r="F95" s="16">
        <v>1500</v>
      </c>
      <c r="G95" s="16">
        <v>1500</v>
      </c>
      <c r="I95" s="16">
        <v>4500</v>
      </c>
      <c r="J95" s="16">
        <v>4500</v>
      </c>
      <c r="K95" s="16">
        <v>3750</v>
      </c>
      <c r="L95" s="16">
        <v>3750</v>
      </c>
      <c r="M95" s="16">
        <v>3750</v>
      </c>
      <c r="N95" s="16">
        <v>3750</v>
      </c>
      <c r="O95" s="16">
        <v>3750</v>
      </c>
      <c r="P95" s="16">
        <v>3750</v>
      </c>
      <c r="R95" s="16">
        <v>3750</v>
      </c>
      <c r="S95" s="16">
        <v>3750</v>
      </c>
      <c r="T95" s="16">
        <v>3750</v>
      </c>
      <c r="U95" s="16">
        <v>3750</v>
      </c>
      <c r="V95" s="16">
        <v>12000</v>
      </c>
      <c r="W95" s="16">
        <v>12000</v>
      </c>
      <c r="AE95" s="16">
        <f t="shared" ref="AE95:AE96" si="377">+AC95</f>
        <v>0</v>
      </c>
      <c r="AF95" s="16">
        <f t="shared" ref="AF95" si="378">+AE95</f>
        <v>0</v>
      </c>
      <c r="AG95" s="16">
        <f t="shared" si="367"/>
        <v>0</v>
      </c>
    </row>
    <row r="96" spans="1:60" s="16" customFormat="1" x14ac:dyDescent="0.25">
      <c r="B96" s="16" t="s">
        <v>1138</v>
      </c>
      <c r="E96" s="16">
        <v>8333</v>
      </c>
      <c r="F96" s="16">
        <f>+E96</f>
        <v>8333</v>
      </c>
      <c r="G96" s="16">
        <f t="shared" ref="G96:I96" si="379">+F96</f>
        <v>8333</v>
      </c>
      <c r="H96" s="16">
        <f t="shared" si="379"/>
        <v>8333</v>
      </c>
      <c r="I96" s="16">
        <f t="shared" si="379"/>
        <v>8333</v>
      </c>
      <c r="J96" s="16">
        <f>50000-SUM(E96:I96)</f>
        <v>8335</v>
      </c>
      <c r="AE96" s="16">
        <f t="shared" si="377"/>
        <v>0</v>
      </c>
      <c r="AF96" s="16">
        <f t="shared" ref="AF96" si="380">+AE96</f>
        <v>0</v>
      </c>
      <c r="AG96" s="16">
        <f t="shared" si="367"/>
        <v>0</v>
      </c>
    </row>
    <row r="97" spans="2:60" s="16" customFormat="1" x14ac:dyDescent="0.25">
      <c r="B97" s="16" t="s">
        <v>91</v>
      </c>
      <c r="E97" s="16">
        <v>1250</v>
      </c>
      <c r="H97" s="16">
        <v>1250</v>
      </c>
      <c r="K97" s="16">
        <v>1250</v>
      </c>
      <c r="N97" s="16">
        <v>1250</v>
      </c>
      <c r="R97" s="16">
        <v>1250</v>
      </c>
      <c r="U97" s="16">
        <v>1250</v>
      </c>
      <c r="X97" s="16">
        <v>5000</v>
      </c>
      <c r="Y97" s="16">
        <v>5000</v>
      </c>
      <c r="Z97" s="16">
        <v>5000</v>
      </c>
      <c r="AA97" s="16">
        <v>5000</v>
      </c>
      <c r="AB97" s="16">
        <v>5000</v>
      </c>
      <c r="AC97" s="16">
        <v>5000</v>
      </c>
      <c r="AE97" s="16">
        <f>+AC97</f>
        <v>5000</v>
      </c>
      <c r="AF97" s="16">
        <f>+AE97</f>
        <v>5000</v>
      </c>
      <c r="AG97" s="16">
        <f t="shared" si="367"/>
        <v>5000</v>
      </c>
      <c r="AH97" s="16">
        <f t="shared" ref="AH97" si="381">+AG97</f>
        <v>5000</v>
      </c>
      <c r="AI97" s="16">
        <f t="shared" ref="AI97" si="382">+AH97</f>
        <v>5000</v>
      </c>
      <c r="AJ97" s="16">
        <f t="shared" ref="AJ97" si="383">+AI97</f>
        <v>5000</v>
      </c>
      <c r="AK97" s="16">
        <f t="shared" ref="AK97" si="384">+AJ97</f>
        <v>5000</v>
      </c>
      <c r="AL97" s="16">
        <f t="shared" ref="AL97" si="385">+AK97</f>
        <v>5000</v>
      </c>
      <c r="AM97" s="16">
        <f t="shared" ref="AM97" si="386">+AL97</f>
        <v>5000</v>
      </c>
      <c r="AN97" s="16">
        <f t="shared" ref="AN97" si="387">+AM97</f>
        <v>5000</v>
      </c>
      <c r="AO97" s="16">
        <f t="shared" ref="AO97" si="388">+AN97</f>
        <v>5000</v>
      </c>
      <c r="AP97" s="16">
        <f t="shared" ref="AP97" si="389">+AO97</f>
        <v>5000</v>
      </c>
    </row>
    <row r="98" spans="2:60" s="16" customFormat="1" x14ac:dyDescent="0.25">
      <c r="B98" s="16" t="s">
        <v>68</v>
      </c>
    </row>
    <row r="99" spans="2:60" s="16" customFormat="1" x14ac:dyDescent="0.25">
      <c r="B99" s="16" t="s">
        <v>69</v>
      </c>
    </row>
    <row r="100" spans="2:60" s="16" customFormat="1" x14ac:dyDescent="0.25">
      <c r="B100" s="16" t="s">
        <v>70</v>
      </c>
    </row>
    <row r="101" spans="2:60" s="16" customFormat="1" x14ac:dyDescent="0.25">
      <c r="B101" s="16" t="s">
        <v>71</v>
      </c>
    </row>
    <row r="102" spans="2:60" s="16" customFormat="1" x14ac:dyDescent="0.25">
      <c r="B102" s="16" t="s">
        <v>72</v>
      </c>
    </row>
    <row r="103" spans="2:60" s="16" customFormat="1" x14ac:dyDescent="0.25">
      <c r="B103" s="16" t="s">
        <v>73</v>
      </c>
    </row>
    <row r="104" spans="2:60" s="16" customFormat="1" x14ac:dyDescent="0.25">
      <c r="B104" s="16" t="s">
        <v>74</v>
      </c>
    </row>
    <row r="105" spans="2:60" s="16" customFormat="1" x14ac:dyDescent="0.25">
      <c r="B105" s="16" t="s">
        <v>75</v>
      </c>
    </row>
    <row r="106" spans="2:60" s="16" customFormat="1" x14ac:dyDescent="0.25">
      <c r="B106" s="16" t="s">
        <v>76</v>
      </c>
    </row>
    <row r="107" spans="2:60" s="16" customFormat="1" x14ac:dyDescent="0.25">
      <c r="B107" s="16" t="s">
        <v>77</v>
      </c>
    </row>
    <row r="108" spans="2:60" s="16" customFormat="1" x14ac:dyDescent="0.25">
      <c r="B108" s="16" t="s">
        <v>78</v>
      </c>
    </row>
    <row r="109" spans="2:60" s="16" customFormat="1" x14ac:dyDescent="0.25"/>
    <row r="110" spans="2:60" s="16" customFormat="1" x14ac:dyDescent="0.25">
      <c r="B110" s="16" t="s">
        <v>79</v>
      </c>
      <c r="E110" s="17">
        <f>SUM(E94:E108)</f>
        <v>11083</v>
      </c>
      <c r="F110" s="17">
        <f t="shared" ref="F110:P110" si="390">SUM(F94:F108)</f>
        <v>9833</v>
      </c>
      <c r="G110" s="17">
        <f t="shared" si="390"/>
        <v>9833</v>
      </c>
      <c r="H110" s="17">
        <f t="shared" si="390"/>
        <v>9583</v>
      </c>
      <c r="I110" s="17">
        <f t="shared" si="390"/>
        <v>12833</v>
      </c>
      <c r="J110" s="17">
        <f t="shared" si="390"/>
        <v>12835</v>
      </c>
      <c r="K110" s="17">
        <f t="shared" si="390"/>
        <v>5000</v>
      </c>
      <c r="L110" s="17">
        <f t="shared" si="390"/>
        <v>3750</v>
      </c>
      <c r="M110" s="17">
        <f t="shared" si="390"/>
        <v>4250</v>
      </c>
      <c r="N110" s="17">
        <f t="shared" si="390"/>
        <v>5500</v>
      </c>
      <c r="O110" s="17">
        <f t="shared" si="390"/>
        <v>4250</v>
      </c>
      <c r="P110" s="17">
        <f t="shared" si="390"/>
        <v>4250</v>
      </c>
      <c r="R110" s="17">
        <f>SUM(R94:R108)</f>
        <v>5500</v>
      </c>
      <c r="S110" s="17">
        <f t="shared" ref="S110:AP110" si="391">SUM(S94:S108)</f>
        <v>4250</v>
      </c>
      <c r="T110" s="17">
        <f t="shared" si="391"/>
        <v>4250</v>
      </c>
      <c r="U110" s="17">
        <f t="shared" si="391"/>
        <v>5500</v>
      </c>
      <c r="V110" s="17">
        <f t="shared" si="391"/>
        <v>12500</v>
      </c>
      <c r="W110" s="17">
        <f t="shared" si="391"/>
        <v>12500</v>
      </c>
      <c r="X110" s="17">
        <f t="shared" si="391"/>
        <v>5500</v>
      </c>
      <c r="Y110" s="17">
        <f t="shared" si="391"/>
        <v>5500</v>
      </c>
      <c r="Z110" s="17">
        <f t="shared" si="391"/>
        <v>5500</v>
      </c>
      <c r="AA110" s="17">
        <f t="shared" si="391"/>
        <v>5500</v>
      </c>
      <c r="AB110" s="17">
        <f t="shared" si="391"/>
        <v>5500</v>
      </c>
      <c r="AC110" s="17">
        <f t="shared" si="391"/>
        <v>5500</v>
      </c>
      <c r="AE110" s="17">
        <f t="shared" si="391"/>
        <v>5500</v>
      </c>
      <c r="AF110" s="17">
        <f t="shared" si="391"/>
        <v>5500</v>
      </c>
      <c r="AG110" s="17">
        <f t="shared" si="391"/>
        <v>5500</v>
      </c>
      <c r="AH110" s="17">
        <f t="shared" si="391"/>
        <v>5500</v>
      </c>
      <c r="AI110" s="17">
        <f t="shared" si="391"/>
        <v>5500</v>
      </c>
      <c r="AJ110" s="17">
        <f t="shared" si="391"/>
        <v>5500</v>
      </c>
      <c r="AK110" s="17">
        <f t="shared" si="391"/>
        <v>5500</v>
      </c>
      <c r="AL110" s="17">
        <f t="shared" si="391"/>
        <v>5500</v>
      </c>
      <c r="AM110" s="17">
        <f t="shared" si="391"/>
        <v>5500</v>
      </c>
      <c r="AN110" s="17">
        <f t="shared" si="391"/>
        <v>5500</v>
      </c>
      <c r="AO110" s="17">
        <f t="shared" si="391"/>
        <v>5500</v>
      </c>
      <c r="AP110" s="17">
        <f t="shared" si="391"/>
        <v>5500</v>
      </c>
      <c r="AR110" s="17"/>
      <c r="AS110" s="17"/>
      <c r="AT110" s="17"/>
      <c r="AU110" s="17"/>
      <c r="AV110" s="17"/>
      <c r="AX110" s="17"/>
      <c r="AY110" s="17"/>
      <c r="AZ110" s="17"/>
      <c r="BA110" s="17"/>
      <c r="BB110" s="17"/>
      <c r="BD110" s="17"/>
      <c r="BE110" s="17"/>
      <c r="BF110" s="17"/>
      <c r="BG110" s="17"/>
      <c r="BH110" s="17"/>
    </row>
    <row r="111" spans="2:60" s="16" customFormat="1" x14ac:dyDescent="0.25"/>
    <row r="112" spans="2:60" s="16" customFormat="1" x14ac:dyDescent="0.25"/>
    <row r="113" spans="1:42" s="16" customFormat="1" x14ac:dyDescent="0.25">
      <c r="A113" s="16" t="s">
        <v>348</v>
      </c>
    </row>
    <row r="114" spans="1:42" s="16" customFormat="1" x14ac:dyDescent="0.25">
      <c r="B114" s="16" t="str">
        <f>+B83</f>
        <v>Process Engineer</v>
      </c>
      <c r="C114" s="16">
        <f>+C83</f>
        <v>70000</v>
      </c>
      <c r="H114" s="16">
        <f>+$C114*0.25</f>
        <v>17500</v>
      </c>
    </row>
    <row r="115" spans="1:42" s="16" customFormat="1" x14ac:dyDescent="0.25"/>
    <row r="116" spans="1:42" s="16" customFormat="1" x14ac:dyDescent="0.25"/>
    <row r="117" spans="1:42" s="16" customFormat="1" x14ac:dyDescent="0.25"/>
    <row r="118" spans="1:42" s="16" customFormat="1" x14ac:dyDescent="0.25"/>
    <row r="119" spans="1:42" s="16" customFormat="1" x14ac:dyDescent="0.25"/>
    <row r="120" spans="1:42" s="16" customFormat="1" x14ac:dyDescent="0.25">
      <c r="B120" s="16" t="s">
        <v>349</v>
      </c>
      <c r="E120" s="17">
        <f>SUM(E114:E119)</f>
        <v>0</v>
      </c>
      <c r="F120" s="17">
        <f t="shared" ref="F120:P120" si="392">SUM(F114:F119)</f>
        <v>0</v>
      </c>
      <c r="G120" s="17">
        <f t="shared" si="392"/>
        <v>0</v>
      </c>
      <c r="H120" s="17">
        <f t="shared" si="392"/>
        <v>17500</v>
      </c>
      <c r="I120" s="17">
        <f t="shared" si="392"/>
        <v>0</v>
      </c>
      <c r="J120" s="17">
        <f t="shared" si="392"/>
        <v>0</v>
      </c>
      <c r="K120" s="17">
        <f t="shared" si="392"/>
        <v>0</v>
      </c>
      <c r="L120" s="17">
        <f t="shared" si="392"/>
        <v>0</v>
      </c>
      <c r="M120" s="17">
        <f t="shared" si="392"/>
        <v>0</v>
      </c>
      <c r="N120" s="17">
        <f t="shared" si="392"/>
        <v>0</v>
      </c>
      <c r="O120" s="17">
        <f t="shared" si="392"/>
        <v>0</v>
      </c>
      <c r="P120" s="17">
        <f t="shared" si="392"/>
        <v>0</v>
      </c>
      <c r="R120" s="17">
        <f t="shared" ref="R120:AC120" si="393">SUM(R114:R119)</f>
        <v>0</v>
      </c>
      <c r="S120" s="17">
        <f t="shared" si="393"/>
        <v>0</v>
      </c>
      <c r="T120" s="17">
        <f t="shared" si="393"/>
        <v>0</v>
      </c>
      <c r="U120" s="17">
        <f t="shared" si="393"/>
        <v>0</v>
      </c>
      <c r="V120" s="17">
        <f t="shared" si="393"/>
        <v>0</v>
      </c>
      <c r="W120" s="17">
        <f t="shared" si="393"/>
        <v>0</v>
      </c>
      <c r="X120" s="17">
        <f t="shared" si="393"/>
        <v>0</v>
      </c>
      <c r="Y120" s="17">
        <f t="shared" si="393"/>
        <v>0</v>
      </c>
      <c r="Z120" s="17">
        <f t="shared" si="393"/>
        <v>0</v>
      </c>
      <c r="AA120" s="17">
        <f t="shared" si="393"/>
        <v>0</v>
      </c>
      <c r="AB120" s="17">
        <f t="shared" si="393"/>
        <v>0</v>
      </c>
      <c r="AC120" s="17">
        <f t="shared" si="393"/>
        <v>0</v>
      </c>
      <c r="AE120" s="17">
        <f t="shared" ref="AE120:AP120" si="394">SUM(AE114:AE119)</f>
        <v>0</v>
      </c>
      <c r="AF120" s="17">
        <f t="shared" si="394"/>
        <v>0</v>
      </c>
      <c r="AG120" s="17">
        <f t="shared" si="394"/>
        <v>0</v>
      </c>
      <c r="AH120" s="17">
        <f t="shared" si="394"/>
        <v>0</v>
      </c>
      <c r="AI120" s="17">
        <f t="shared" si="394"/>
        <v>0</v>
      </c>
      <c r="AJ120" s="17">
        <f t="shared" si="394"/>
        <v>0</v>
      </c>
      <c r="AK120" s="17">
        <f t="shared" si="394"/>
        <v>0</v>
      </c>
      <c r="AL120" s="17">
        <f t="shared" si="394"/>
        <v>0</v>
      </c>
      <c r="AM120" s="17">
        <f t="shared" si="394"/>
        <v>0</v>
      </c>
      <c r="AN120" s="17">
        <f t="shared" si="394"/>
        <v>0</v>
      </c>
      <c r="AO120" s="17">
        <f t="shared" si="394"/>
        <v>0</v>
      </c>
      <c r="AP120" s="17">
        <f t="shared" si="394"/>
        <v>0</v>
      </c>
    </row>
    <row r="121" spans="1:42" s="16" customFormat="1" x14ac:dyDescent="0.25"/>
    <row r="122" spans="1:42" s="16" customFormat="1" x14ac:dyDescent="0.25"/>
    <row r="123" spans="1:42" s="16" customFormat="1" x14ac:dyDescent="0.25">
      <c r="A123" s="19" t="s">
        <v>233</v>
      </c>
    </row>
    <row r="124" spans="1:42" s="16" customFormat="1" x14ac:dyDescent="0.25">
      <c r="B124" s="16" t="s">
        <v>139</v>
      </c>
      <c r="E124" s="16">
        <v>500</v>
      </c>
      <c r="F124" s="16">
        <v>500</v>
      </c>
      <c r="G124" s="16">
        <v>500</v>
      </c>
      <c r="H124" s="16">
        <v>500</v>
      </c>
      <c r="I124" s="16">
        <v>500</v>
      </c>
      <c r="J124" s="16">
        <v>500</v>
      </c>
      <c r="K124" s="16">
        <v>500</v>
      </c>
      <c r="L124" s="16">
        <v>500</v>
      </c>
      <c r="M124" s="16">
        <v>500</v>
      </c>
      <c r="N124" s="16">
        <v>500</v>
      </c>
      <c r="O124" s="16">
        <v>500</v>
      </c>
      <c r="P124" s="16">
        <v>500</v>
      </c>
      <c r="R124" s="16">
        <v>500</v>
      </c>
      <c r="S124" s="16">
        <v>500</v>
      </c>
      <c r="T124" s="16">
        <v>500</v>
      </c>
      <c r="U124" s="16">
        <v>500</v>
      </c>
      <c r="V124" s="16">
        <v>500</v>
      </c>
      <c r="W124" s="16">
        <v>500</v>
      </c>
      <c r="X124" s="16">
        <v>500</v>
      </c>
      <c r="Y124" s="16">
        <v>500</v>
      </c>
      <c r="Z124" s="16">
        <v>500</v>
      </c>
      <c r="AA124" s="16">
        <v>500</v>
      </c>
      <c r="AB124" s="16">
        <v>500</v>
      </c>
      <c r="AC124" s="16">
        <v>500</v>
      </c>
      <c r="AE124" s="16">
        <f>+AC124</f>
        <v>500</v>
      </c>
      <c r="AF124" s="16">
        <v>500</v>
      </c>
      <c r="AG124" s="16">
        <v>500</v>
      </c>
    </row>
    <row r="125" spans="1:42" s="16" customFormat="1" x14ac:dyDescent="0.25">
      <c r="B125" s="9" t="s">
        <v>172</v>
      </c>
      <c r="E125" s="16">
        <v>300</v>
      </c>
      <c r="K125" s="16">
        <v>300</v>
      </c>
      <c r="R125" s="16">
        <v>300</v>
      </c>
      <c r="X125" s="16">
        <v>300</v>
      </c>
      <c r="AE125" s="16">
        <v>300</v>
      </c>
      <c r="AJ125" s="16">
        <v>300</v>
      </c>
    </row>
    <row r="126" spans="1:42" s="16" customFormat="1" x14ac:dyDescent="0.25">
      <c r="B126" s="9" t="s">
        <v>1156</v>
      </c>
      <c r="E126" s="16">
        <v>120</v>
      </c>
      <c r="F126" s="16">
        <v>120</v>
      </c>
      <c r="G126" s="16">
        <v>120</v>
      </c>
      <c r="H126" s="16">
        <v>120</v>
      </c>
      <c r="I126" s="16">
        <v>120</v>
      </c>
      <c r="J126" s="16">
        <v>120</v>
      </c>
      <c r="K126" s="16">
        <v>120</v>
      </c>
      <c r="L126" s="16">
        <v>120</v>
      </c>
      <c r="M126" s="16">
        <v>120</v>
      </c>
      <c r="N126" s="16">
        <v>120</v>
      </c>
      <c r="O126" s="16">
        <v>120</v>
      </c>
      <c r="P126" s="16">
        <v>120</v>
      </c>
      <c r="R126" s="16">
        <v>120</v>
      </c>
      <c r="S126" s="16">
        <v>120</v>
      </c>
      <c r="T126" s="16">
        <v>120</v>
      </c>
      <c r="U126" s="16">
        <v>120</v>
      </c>
      <c r="V126" s="16">
        <v>120</v>
      </c>
      <c r="W126" s="16">
        <v>120</v>
      </c>
      <c r="X126" s="16">
        <v>120</v>
      </c>
      <c r="Y126" s="16">
        <v>120</v>
      </c>
      <c r="Z126" s="16">
        <v>120</v>
      </c>
      <c r="AA126" s="16">
        <v>120</v>
      </c>
      <c r="AB126" s="16">
        <v>120</v>
      </c>
      <c r="AC126" s="16">
        <v>120</v>
      </c>
      <c r="AE126" s="16">
        <v>120</v>
      </c>
      <c r="AF126" s="16">
        <v>120</v>
      </c>
      <c r="AG126" s="16">
        <v>120</v>
      </c>
      <c r="AH126" s="16">
        <v>120</v>
      </c>
      <c r="AI126" s="16">
        <v>120</v>
      </c>
      <c r="AJ126" s="16">
        <v>120</v>
      </c>
      <c r="AK126" s="16">
        <v>120</v>
      </c>
      <c r="AL126" s="16">
        <v>120</v>
      </c>
      <c r="AM126" s="16">
        <v>120</v>
      </c>
      <c r="AN126" s="16">
        <v>120</v>
      </c>
      <c r="AO126" s="16">
        <v>120</v>
      </c>
      <c r="AP126" s="16">
        <v>120</v>
      </c>
    </row>
    <row r="127" spans="1:42" s="16" customFormat="1" x14ac:dyDescent="0.25">
      <c r="B127" s="421" t="s">
        <v>1157</v>
      </c>
      <c r="E127" s="16">
        <v>360</v>
      </c>
      <c r="F127" s="16">
        <v>360</v>
      </c>
      <c r="G127" s="16">
        <v>360</v>
      </c>
      <c r="H127" s="16">
        <v>360</v>
      </c>
      <c r="I127" s="16">
        <v>360</v>
      </c>
      <c r="J127" s="16">
        <v>360</v>
      </c>
      <c r="K127" s="16">
        <v>360</v>
      </c>
      <c r="L127" s="16">
        <v>360</v>
      </c>
      <c r="M127" s="16">
        <v>360</v>
      </c>
      <c r="N127" s="16">
        <v>360</v>
      </c>
      <c r="O127" s="16">
        <v>360</v>
      </c>
      <c r="P127" s="16">
        <v>360</v>
      </c>
      <c r="R127" s="16">
        <v>360</v>
      </c>
      <c r="S127" s="16">
        <v>360</v>
      </c>
      <c r="T127" s="16">
        <v>360</v>
      </c>
      <c r="U127" s="16">
        <v>360</v>
      </c>
      <c r="V127" s="16">
        <v>360</v>
      </c>
      <c r="W127" s="16">
        <v>360</v>
      </c>
      <c r="X127" s="16">
        <v>360</v>
      </c>
      <c r="Y127" s="16">
        <v>360</v>
      </c>
      <c r="Z127" s="16">
        <v>360</v>
      </c>
      <c r="AA127" s="16">
        <v>360</v>
      </c>
      <c r="AB127" s="16">
        <v>360</v>
      </c>
      <c r="AC127" s="16">
        <v>360</v>
      </c>
      <c r="AE127" s="16">
        <v>360</v>
      </c>
      <c r="AF127" s="16">
        <v>360</v>
      </c>
      <c r="AG127" s="16">
        <v>360</v>
      </c>
      <c r="AH127" s="16">
        <v>360</v>
      </c>
      <c r="AI127" s="16">
        <v>360</v>
      </c>
      <c r="AJ127" s="16">
        <v>360</v>
      </c>
      <c r="AK127" s="16">
        <v>360</v>
      </c>
      <c r="AL127" s="16">
        <v>360</v>
      </c>
      <c r="AM127" s="16">
        <v>360</v>
      </c>
      <c r="AN127" s="16">
        <v>360</v>
      </c>
      <c r="AO127" s="16">
        <v>360</v>
      </c>
      <c r="AP127" s="16">
        <v>360</v>
      </c>
    </row>
    <row r="128" spans="1:42" s="16" customFormat="1" x14ac:dyDescent="0.25">
      <c r="B128" s="16" t="s">
        <v>173</v>
      </c>
      <c r="E128" s="16">
        <v>2500</v>
      </c>
      <c r="H128" s="16">
        <v>2500</v>
      </c>
      <c r="K128" s="16">
        <v>2500</v>
      </c>
      <c r="N128" s="16">
        <v>2500</v>
      </c>
      <c r="R128" s="16">
        <v>2500</v>
      </c>
      <c r="U128" s="16">
        <v>2500</v>
      </c>
      <c r="X128" s="16">
        <v>2500</v>
      </c>
      <c r="AA128" s="16">
        <v>2500</v>
      </c>
      <c r="AE128" s="16">
        <v>2500</v>
      </c>
    </row>
    <row r="129" spans="1:42" s="16" customFormat="1" x14ac:dyDescent="0.25">
      <c r="B129" s="16" t="s">
        <v>1151</v>
      </c>
      <c r="C129" s="16" t="s">
        <v>110</v>
      </c>
      <c r="D129" s="13"/>
      <c r="E129" s="16">
        <f>100*7</f>
        <v>700</v>
      </c>
      <c r="R129" s="16">
        <v>1000</v>
      </c>
    </row>
    <row r="130" spans="1:42" s="16" customFormat="1" x14ac:dyDescent="0.25"/>
    <row r="131" spans="1:42" s="16" customFormat="1" x14ac:dyDescent="0.25">
      <c r="B131" s="16" t="s">
        <v>176</v>
      </c>
      <c r="E131" s="17">
        <f t="shared" ref="E131:P131" si="395">SUM(E124:E130)</f>
        <v>4480</v>
      </c>
      <c r="F131" s="17">
        <f t="shared" si="395"/>
        <v>980</v>
      </c>
      <c r="G131" s="17">
        <f t="shared" si="395"/>
        <v>980</v>
      </c>
      <c r="H131" s="17">
        <f t="shared" si="395"/>
        <v>3480</v>
      </c>
      <c r="I131" s="17">
        <f t="shared" si="395"/>
        <v>980</v>
      </c>
      <c r="J131" s="17">
        <f t="shared" si="395"/>
        <v>980</v>
      </c>
      <c r="K131" s="17">
        <f t="shared" si="395"/>
        <v>3780</v>
      </c>
      <c r="L131" s="17">
        <f t="shared" si="395"/>
        <v>980</v>
      </c>
      <c r="M131" s="17">
        <f t="shared" si="395"/>
        <v>980</v>
      </c>
      <c r="N131" s="17">
        <f t="shared" si="395"/>
        <v>3480</v>
      </c>
      <c r="O131" s="17">
        <f t="shared" si="395"/>
        <v>980</v>
      </c>
      <c r="P131" s="17">
        <f t="shared" si="395"/>
        <v>980</v>
      </c>
      <c r="R131" s="17">
        <f t="shared" ref="R131:AC131" si="396">SUM(R124:R130)</f>
        <v>4780</v>
      </c>
      <c r="S131" s="17">
        <f t="shared" si="396"/>
        <v>980</v>
      </c>
      <c r="T131" s="17">
        <f t="shared" si="396"/>
        <v>980</v>
      </c>
      <c r="U131" s="17">
        <f t="shared" si="396"/>
        <v>3480</v>
      </c>
      <c r="V131" s="17">
        <f t="shared" si="396"/>
        <v>980</v>
      </c>
      <c r="W131" s="17">
        <f t="shared" si="396"/>
        <v>980</v>
      </c>
      <c r="X131" s="17">
        <f t="shared" si="396"/>
        <v>3780</v>
      </c>
      <c r="Y131" s="17">
        <f t="shared" si="396"/>
        <v>980</v>
      </c>
      <c r="Z131" s="17">
        <f t="shared" si="396"/>
        <v>980</v>
      </c>
      <c r="AA131" s="17">
        <f t="shared" si="396"/>
        <v>3480</v>
      </c>
      <c r="AB131" s="17">
        <f t="shared" si="396"/>
        <v>980</v>
      </c>
      <c r="AC131" s="17">
        <f t="shared" si="396"/>
        <v>980</v>
      </c>
      <c r="AE131" s="17">
        <f t="shared" ref="AE131:AP131" si="397">SUM(AE124:AE130)</f>
        <v>3780</v>
      </c>
      <c r="AF131" s="17">
        <f t="shared" si="397"/>
        <v>980</v>
      </c>
      <c r="AG131" s="17">
        <f t="shared" si="397"/>
        <v>980</v>
      </c>
      <c r="AH131" s="17">
        <f t="shared" si="397"/>
        <v>480</v>
      </c>
      <c r="AI131" s="17">
        <f t="shared" si="397"/>
        <v>480</v>
      </c>
      <c r="AJ131" s="17">
        <f t="shared" si="397"/>
        <v>780</v>
      </c>
      <c r="AK131" s="17">
        <f t="shared" si="397"/>
        <v>480</v>
      </c>
      <c r="AL131" s="17">
        <f t="shared" si="397"/>
        <v>480</v>
      </c>
      <c r="AM131" s="17">
        <f t="shared" si="397"/>
        <v>480</v>
      </c>
      <c r="AN131" s="17">
        <f t="shared" si="397"/>
        <v>480</v>
      </c>
      <c r="AO131" s="17">
        <f t="shared" si="397"/>
        <v>480</v>
      </c>
      <c r="AP131" s="17">
        <f t="shared" si="397"/>
        <v>480</v>
      </c>
    </row>
    <row r="132" spans="1:42" s="16" customFormat="1" x14ac:dyDescent="0.25"/>
    <row r="133" spans="1:42" s="16" customFormat="1" x14ac:dyDescent="0.25">
      <c r="A133" s="19" t="s">
        <v>232</v>
      </c>
    </row>
    <row r="134" spans="1:42" s="16" customFormat="1" x14ac:dyDescent="0.25">
      <c r="B134" s="16" t="s">
        <v>140</v>
      </c>
    </row>
    <row r="135" spans="1:42" s="16" customFormat="1" x14ac:dyDescent="0.25">
      <c r="B135" s="16" t="s">
        <v>141</v>
      </c>
      <c r="C135" s="16" t="s">
        <v>231</v>
      </c>
      <c r="D135" s="16" t="s">
        <v>231</v>
      </c>
      <c r="E135" s="16">
        <v>15000</v>
      </c>
    </row>
    <row r="136" spans="1:42" s="16" customFormat="1" x14ac:dyDescent="0.25">
      <c r="C136" s="16" t="s">
        <v>231</v>
      </c>
      <c r="D136" s="16" t="s">
        <v>231</v>
      </c>
    </row>
    <row r="137" spans="1:42" s="16" customFormat="1" x14ac:dyDescent="0.25">
      <c r="B137" s="16" t="s">
        <v>141</v>
      </c>
      <c r="C137" s="16" t="s">
        <v>231</v>
      </c>
      <c r="D137" s="16" t="s">
        <v>231</v>
      </c>
      <c r="J137" s="16">
        <v>15000</v>
      </c>
    </row>
    <row r="138" spans="1:42" s="16" customFormat="1" x14ac:dyDescent="0.25">
      <c r="B138" s="16" t="s">
        <v>142</v>
      </c>
      <c r="C138" s="16" t="s">
        <v>231</v>
      </c>
      <c r="D138" s="16" t="s">
        <v>231</v>
      </c>
    </row>
    <row r="139" spans="1:42" s="16" customFormat="1" x14ac:dyDescent="0.25">
      <c r="B139" s="16" t="s">
        <v>143</v>
      </c>
      <c r="C139" s="16" t="s">
        <v>231</v>
      </c>
      <c r="D139" s="16" t="s">
        <v>231</v>
      </c>
      <c r="L139" s="16">
        <v>16000</v>
      </c>
    </row>
    <row r="140" spans="1:42" s="16" customFormat="1" x14ac:dyDescent="0.25">
      <c r="B140" s="16" t="s">
        <v>144</v>
      </c>
      <c r="C140" s="16" t="s">
        <v>231</v>
      </c>
      <c r="D140" s="16" t="s">
        <v>231</v>
      </c>
      <c r="L140" s="16">
        <v>50092.500000000007</v>
      </c>
    </row>
    <row r="141" spans="1:42" s="16" customFormat="1" x14ac:dyDescent="0.25">
      <c r="B141" s="16" t="s">
        <v>145</v>
      </c>
      <c r="C141" s="16" t="s">
        <v>231</v>
      </c>
      <c r="D141" s="16" t="s">
        <v>231</v>
      </c>
      <c r="O141" s="16">
        <v>50000</v>
      </c>
    </row>
    <row r="142" spans="1:42" s="16" customFormat="1" x14ac:dyDescent="0.25"/>
    <row r="143" spans="1:42" s="16" customFormat="1" x14ac:dyDescent="0.25">
      <c r="B143" s="16" t="s">
        <v>177</v>
      </c>
      <c r="E143" s="17">
        <f t="shared" ref="E143:P143" si="398">SUM(E134:E142)</f>
        <v>15000</v>
      </c>
      <c r="F143" s="17">
        <f t="shared" si="398"/>
        <v>0</v>
      </c>
      <c r="G143" s="17">
        <f t="shared" si="398"/>
        <v>0</v>
      </c>
      <c r="H143" s="17">
        <f t="shared" si="398"/>
        <v>0</v>
      </c>
      <c r="I143" s="17">
        <f t="shared" si="398"/>
        <v>0</v>
      </c>
      <c r="J143" s="17">
        <f t="shared" si="398"/>
        <v>15000</v>
      </c>
      <c r="K143" s="17">
        <f t="shared" si="398"/>
        <v>0</v>
      </c>
      <c r="L143" s="17">
        <f t="shared" si="398"/>
        <v>66092.5</v>
      </c>
      <c r="M143" s="17">
        <f t="shared" si="398"/>
        <v>0</v>
      </c>
      <c r="N143" s="17">
        <f t="shared" si="398"/>
        <v>0</v>
      </c>
      <c r="O143" s="17">
        <f t="shared" si="398"/>
        <v>50000</v>
      </c>
      <c r="P143" s="17">
        <f t="shared" si="398"/>
        <v>0</v>
      </c>
      <c r="R143" s="17">
        <f t="shared" ref="R143:AC143" si="399">SUM(R134:R142)</f>
        <v>0</v>
      </c>
      <c r="S143" s="17">
        <f t="shared" si="399"/>
        <v>0</v>
      </c>
      <c r="T143" s="17">
        <f t="shared" si="399"/>
        <v>0</v>
      </c>
      <c r="U143" s="17">
        <f t="shared" si="399"/>
        <v>0</v>
      </c>
      <c r="V143" s="17">
        <f t="shared" si="399"/>
        <v>0</v>
      </c>
      <c r="W143" s="17">
        <f t="shared" si="399"/>
        <v>0</v>
      </c>
      <c r="X143" s="17">
        <f t="shared" si="399"/>
        <v>0</v>
      </c>
      <c r="Y143" s="17">
        <f t="shared" si="399"/>
        <v>0</v>
      </c>
      <c r="Z143" s="17">
        <f t="shared" si="399"/>
        <v>0</v>
      </c>
      <c r="AA143" s="17">
        <f t="shared" si="399"/>
        <v>0</v>
      </c>
      <c r="AB143" s="17">
        <f t="shared" si="399"/>
        <v>0</v>
      </c>
      <c r="AC143" s="17">
        <f t="shared" si="399"/>
        <v>0</v>
      </c>
      <c r="AE143" s="17">
        <f t="shared" ref="AE143:AP143" si="400">SUM(AE134:AE142)</f>
        <v>0</v>
      </c>
      <c r="AF143" s="17">
        <f t="shared" si="400"/>
        <v>0</v>
      </c>
      <c r="AG143" s="17">
        <f t="shared" si="400"/>
        <v>0</v>
      </c>
      <c r="AH143" s="17">
        <f t="shared" si="400"/>
        <v>0</v>
      </c>
      <c r="AI143" s="17">
        <f t="shared" si="400"/>
        <v>0</v>
      </c>
      <c r="AJ143" s="17">
        <f t="shared" si="400"/>
        <v>0</v>
      </c>
      <c r="AK143" s="17">
        <f t="shared" si="400"/>
        <v>0</v>
      </c>
      <c r="AL143" s="17">
        <f t="shared" si="400"/>
        <v>0</v>
      </c>
      <c r="AM143" s="17">
        <f t="shared" si="400"/>
        <v>0</v>
      </c>
      <c r="AN143" s="17">
        <f t="shared" si="400"/>
        <v>0</v>
      </c>
      <c r="AO143" s="17">
        <f t="shared" si="400"/>
        <v>0</v>
      </c>
      <c r="AP143" s="17">
        <f t="shared" si="400"/>
        <v>0</v>
      </c>
    </row>
    <row r="144" spans="1:42" s="16" customFormat="1" x14ac:dyDescent="0.25"/>
    <row r="145" spans="1:26" s="16" customFormat="1" x14ac:dyDescent="0.25">
      <c r="A145" s="19" t="s">
        <v>234</v>
      </c>
    </row>
    <row r="146" spans="1:26" s="16" customFormat="1" x14ac:dyDescent="0.25">
      <c r="B146" s="16" t="s">
        <v>146</v>
      </c>
      <c r="C146" s="16" t="s">
        <v>231</v>
      </c>
      <c r="D146" s="16" t="s">
        <v>231</v>
      </c>
      <c r="E146" s="16">
        <v>800</v>
      </c>
      <c r="F146" s="16">
        <v>800</v>
      </c>
      <c r="G146" s="16">
        <v>800</v>
      </c>
      <c r="H146" s="16">
        <v>800</v>
      </c>
      <c r="I146" s="16">
        <v>800</v>
      </c>
      <c r="J146" s="16">
        <v>800</v>
      </c>
      <c r="K146" s="16">
        <v>800</v>
      </c>
      <c r="L146" s="16">
        <v>800</v>
      </c>
      <c r="M146" s="16">
        <v>800</v>
      </c>
      <c r="N146" s="16">
        <v>800</v>
      </c>
      <c r="O146" s="16">
        <v>800</v>
      </c>
      <c r="P146" s="16">
        <v>800</v>
      </c>
      <c r="R146" s="16">
        <v>800</v>
      </c>
      <c r="S146" s="16">
        <v>800</v>
      </c>
      <c r="T146" s="16">
        <v>800</v>
      </c>
      <c r="U146" s="16">
        <v>800</v>
      </c>
      <c r="V146" s="16">
        <v>800</v>
      </c>
      <c r="W146" s="16">
        <v>800</v>
      </c>
      <c r="X146" s="16">
        <v>800</v>
      </c>
      <c r="Y146" s="16">
        <v>800</v>
      </c>
      <c r="Z146" s="16">
        <v>800</v>
      </c>
    </row>
    <row r="147" spans="1:26" s="16" customFormat="1" x14ac:dyDescent="0.25">
      <c r="B147" s="16" t="s">
        <v>147</v>
      </c>
      <c r="C147" s="16" t="s">
        <v>231</v>
      </c>
      <c r="D147" s="16" t="s">
        <v>231</v>
      </c>
      <c r="E147" s="16">
        <v>3800</v>
      </c>
    </row>
    <row r="148" spans="1:26" s="16" customFormat="1" x14ac:dyDescent="0.25">
      <c r="B148" s="16" t="s">
        <v>148</v>
      </c>
      <c r="C148" s="16" t="s">
        <v>231</v>
      </c>
      <c r="D148" s="16" t="s">
        <v>231</v>
      </c>
    </row>
    <row r="149" spans="1:26" s="16" customFormat="1" x14ac:dyDescent="0.25">
      <c r="B149" s="16" t="s">
        <v>149</v>
      </c>
      <c r="C149" s="16" t="s">
        <v>231</v>
      </c>
      <c r="D149" s="16" t="s">
        <v>231</v>
      </c>
    </row>
    <row r="150" spans="1:26" s="16" customFormat="1" x14ac:dyDescent="0.25">
      <c r="B150" s="16" t="s">
        <v>150</v>
      </c>
      <c r="C150" s="16" t="s">
        <v>231</v>
      </c>
      <c r="D150" s="16" t="s">
        <v>231</v>
      </c>
    </row>
    <row r="151" spans="1:26" s="16" customFormat="1" x14ac:dyDescent="0.25">
      <c r="B151" s="16" t="s">
        <v>151</v>
      </c>
      <c r="C151" s="16" t="s">
        <v>231</v>
      </c>
      <c r="D151" s="16" t="s">
        <v>231</v>
      </c>
    </row>
    <row r="152" spans="1:26" s="16" customFormat="1" x14ac:dyDescent="0.25">
      <c r="B152" s="16" t="s">
        <v>152</v>
      </c>
      <c r="C152" s="16" t="s">
        <v>231</v>
      </c>
      <c r="D152" s="16" t="s">
        <v>231</v>
      </c>
    </row>
    <row r="153" spans="1:26" s="16" customFormat="1" x14ac:dyDescent="0.25">
      <c r="B153" s="16" t="s">
        <v>153</v>
      </c>
      <c r="C153" s="16" t="s">
        <v>231</v>
      </c>
      <c r="D153" s="16" t="s">
        <v>231</v>
      </c>
      <c r="E153" s="16">
        <v>50000</v>
      </c>
      <c r="K153" s="16">
        <v>50000</v>
      </c>
    </row>
    <row r="154" spans="1:26" s="16" customFormat="1" x14ac:dyDescent="0.25">
      <c r="B154" s="16" t="s">
        <v>155</v>
      </c>
      <c r="C154" s="16" t="s">
        <v>231</v>
      </c>
      <c r="D154" s="16" t="s">
        <v>231</v>
      </c>
      <c r="E154" s="16">
        <f>0.35*300</f>
        <v>105</v>
      </c>
    </row>
    <row r="155" spans="1:26" s="16" customFormat="1" x14ac:dyDescent="0.25">
      <c r="B155" s="16" t="s">
        <v>156</v>
      </c>
      <c r="C155" s="16" t="s">
        <v>231</v>
      </c>
      <c r="D155" s="16" t="s">
        <v>231</v>
      </c>
      <c r="E155" s="16">
        <f>0.1*300</f>
        <v>30</v>
      </c>
    </row>
    <row r="156" spans="1:26" s="16" customFormat="1" x14ac:dyDescent="0.25">
      <c r="B156" s="16" t="s">
        <v>157</v>
      </c>
      <c r="C156" s="16" t="s">
        <v>231</v>
      </c>
      <c r="D156" s="16" t="s">
        <v>231</v>
      </c>
      <c r="E156" s="16">
        <f>140*7</f>
        <v>980</v>
      </c>
    </row>
    <row r="157" spans="1:26" s="16" customFormat="1" x14ac:dyDescent="0.25">
      <c r="B157" s="16" t="s">
        <v>158</v>
      </c>
      <c r="C157" s="16" t="s">
        <v>231</v>
      </c>
      <c r="D157" s="16" t="s">
        <v>231</v>
      </c>
      <c r="E157" s="16">
        <f>25*8</f>
        <v>200</v>
      </c>
    </row>
    <row r="158" spans="1:26" s="16" customFormat="1" x14ac:dyDescent="0.25">
      <c r="B158" s="16" t="s">
        <v>159</v>
      </c>
      <c r="C158" s="16" t="s">
        <v>231</v>
      </c>
      <c r="D158" s="16" t="s">
        <v>231</v>
      </c>
      <c r="E158" s="16">
        <f>500*3+1.7*50*20*4*2</f>
        <v>15100</v>
      </c>
    </row>
    <row r="159" spans="1:26" s="16" customFormat="1" x14ac:dyDescent="0.25">
      <c r="B159" s="16" t="s">
        <v>155</v>
      </c>
      <c r="C159" s="16" t="s">
        <v>231</v>
      </c>
      <c r="D159" s="16" t="s">
        <v>231</v>
      </c>
      <c r="H159" s="16">
        <v>78</v>
      </c>
    </row>
    <row r="160" spans="1:26" s="16" customFormat="1" x14ac:dyDescent="0.25">
      <c r="B160" s="16" t="s">
        <v>156</v>
      </c>
      <c r="C160" s="16" t="s">
        <v>231</v>
      </c>
      <c r="D160" s="16" t="s">
        <v>231</v>
      </c>
      <c r="H160" s="16">
        <v>60</v>
      </c>
    </row>
    <row r="161" spans="1:42" s="16" customFormat="1" x14ac:dyDescent="0.25">
      <c r="B161" s="16" t="s">
        <v>157</v>
      </c>
      <c r="C161" s="16" t="s">
        <v>231</v>
      </c>
      <c r="D161" s="16" t="s">
        <v>231</v>
      </c>
      <c r="H161" s="16">
        <v>980</v>
      </c>
    </row>
    <row r="162" spans="1:42" s="16" customFormat="1" x14ac:dyDescent="0.25">
      <c r="B162" s="16" t="s">
        <v>158</v>
      </c>
      <c r="C162" s="16" t="s">
        <v>231</v>
      </c>
      <c r="D162" s="16" t="s">
        <v>231</v>
      </c>
      <c r="H162" s="16">
        <v>200</v>
      </c>
    </row>
    <row r="163" spans="1:42" s="16" customFormat="1" x14ac:dyDescent="0.25">
      <c r="B163" s="16" t="s">
        <v>160</v>
      </c>
      <c r="C163" s="16" t="s">
        <v>231</v>
      </c>
      <c r="D163" s="16" t="s">
        <v>231</v>
      </c>
      <c r="H163" s="16">
        <v>9160</v>
      </c>
    </row>
    <row r="164" spans="1:42" s="16" customFormat="1" x14ac:dyDescent="0.25">
      <c r="B164" s="16" t="s">
        <v>155</v>
      </c>
      <c r="C164" s="16" t="s">
        <v>231</v>
      </c>
      <c r="D164" s="16" t="s">
        <v>231</v>
      </c>
      <c r="M164" s="16">
        <f>0.05*10000</f>
        <v>500</v>
      </c>
    </row>
    <row r="165" spans="1:42" s="16" customFormat="1" x14ac:dyDescent="0.25">
      <c r="B165" s="16" t="s">
        <v>161</v>
      </c>
      <c r="C165" s="16" t="s">
        <v>231</v>
      </c>
      <c r="D165" s="16" t="s">
        <v>231</v>
      </c>
      <c r="M165" s="16">
        <f>0.1*10000</f>
        <v>1000</v>
      </c>
    </row>
    <row r="166" spans="1:42" s="16" customFormat="1" x14ac:dyDescent="0.25">
      <c r="B166" s="16" t="s">
        <v>162</v>
      </c>
      <c r="C166" s="16" t="s">
        <v>231</v>
      </c>
      <c r="D166" s="16" t="s">
        <v>231</v>
      </c>
      <c r="M166" s="16">
        <f>600*7</f>
        <v>4200</v>
      </c>
    </row>
    <row r="167" spans="1:42" s="16" customFormat="1" x14ac:dyDescent="0.25">
      <c r="B167" s="16" t="s">
        <v>163</v>
      </c>
      <c r="C167" s="16" t="s">
        <v>231</v>
      </c>
      <c r="D167" s="16" t="s">
        <v>231</v>
      </c>
      <c r="M167" s="16">
        <f>25*100</f>
        <v>2500</v>
      </c>
    </row>
    <row r="168" spans="1:42" s="16" customFormat="1" x14ac:dyDescent="0.25">
      <c r="B168" s="16" t="s">
        <v>164</v>
      </c>
      <c r="C168" s="16" t="s">
        <v>231</v>
      </c>
      <c r="D168" s="16" t="s">
        <v>231</v>
      </c>
      <c r="M168" s="16">
        <f>500*5+1.7*4500*2</f>
        <v>17800</v>
      </c>
    </row>
    <row r="169" spans="1:42" s="16" customFormat="1" x14ac:dyDescent="0.25">
      <c r="A169" s="16" t="s">
        <v>125</v>
      </c>
      <c r="B169" s="9" t="s">
        <v>123</v>
      </c>
      <c r="C169" s="16" t="s">
        <v>231</v>
      </c>
      <c r="D169" s="16" t="s">
        <v>231</v>
      </c>
      <c r="E169" s="16">
        <v>1800</v>
      </c>
      <c r="F169" s="16">
        <v>1800</v>
      </c>
      <c r="G169" s="16">
        <v>1800</v>
      </c>
      <c r="H169" s="16">
        <v>1800</v>
      </c>
      <c r="I169" s="16">
        <v>1800</v>
      </c>
      <c r="J169" s="16">
        <v>1800</v>
      </c>
      <c r="K169" s="16">
        <v>1800</v>
      </c>
      <c r="L169" s="16">
        <v>1800</v>
      </c>
      <c r="M169" s="16">
        <v>1800</v>
      </c>
      <c r="N169" s="16">
        <v>1800</v>
      </c>
      <c r="O169" s="16">
        <v>1800</v>
      </c>
      <c r="P169" s="16">
        <v>1800</v>
      </c>
      <c r="R169" s="16">
        <v>1800</v>
      </c>
      <c r="S169" s="16">
        <v>1800</v>
      </c>
      <c r="T169" s="16">
        <v>1800</v>
      </c>
      <c r="U169" s="16">
        <v>1800</v>
      </c>
      <c r="V169" s="16">
        <v>1800</v>
      </c>
      <c r="W169" s="16">
        <v>1800</v>
      </c>
      <c r="X169" s="16">
        <v>1800</v>
      </c>
      <c r="Y169" s="16">
        <v>1800</v>
      </c>
      <c r="Z169" s="16">
        <v>1800</v>
      </c>
      <c r="AA169" s="16">
        <v>1800</v>
      </c>
      <c r="AB169" s="16">
        <v>1800</v>
      </c>
      <c r="AC169" s="16">
        <v>1800</v>
      </c>
      <c r="AE169" s="16">
        <v>1800</v>
      </c>
      <c r="AF169" s="16">
        <v>1800</v>
      </c>
      <c r="AG169" s="16">
        <v>1800</v>
      </c>
    </row>
    <row r="170" spans="1:42" s="16" customFormat="1" x14ac:dyDescent="0.25">
      <c r="A170" s="16" t="s">
        <v>118</v>
      </c>
      <c r="B170" s="16" t="s">
        <v>1154</v>
      </c>
      <c r="C170" s="16" t="s">
        <v>231</v>
      </c>
      <c r="D170" s="16" t="s">
        <v>231</v>
      </c>
      <c r="H170" s="16">
        <v>200</v>
      </c>
      <c r="M170" s="16">
        <v>200</v>
      </c>
      <c r="P170" s="16">
        <v>1000</v>
      </c>
    </row>
    <row r="171" spans="1:42" s="16" customFormat="1" x14ac:dyDescent="0.25">
      <c r="C171" s="16" t="s">
        <v>231</v>
      </c>
      <c r="D171" s="16" t="s">
        <v>231</v>
      </c>
    </row>
    <row r="172" spans="1:42" s="16" customFormat="1" x14ac:dyDescent="0.25">
      <c r="E172" s="17">
        <f t="shared" ref="E172:P172" si="401">SUM(E146:E171)</f>
        <v>72815</v>
      </c>
      <c r="F172" s="17">
        <f t="shared" si="401"/>
        <v>2600</v>
      </c>
      <c r="G172" s="17">
        <f t="shared" si="401"/>
        <v>2600</v>
      </c>
      <c r="H172" s="17">
        <f t="shared" si="401"/>
        <v>13278</v>
      </c>
      <c r="I172" s="17">
        <f t="shared" si="401"/>
        <v>2600</v>
      </c>
      <c r="J172" s="17">
        <f t="shared" si="401"/>
        <v>2600</v>
      </c>
      <c r="K172" s="17">
        <f t="shared" si="401"/>
        <v>52600</v>
      </c>
      <c r="L172" s="17">
        <f t="shared" si="401"/>
        <v>2600</v>
      </c>
      <c r="M172" s="17">
        <f t="shared" si="401"/>
        <v>28800</v>
      </c>
      <c r="N172" s="17">
        <f t="shared" si="401"/>
        <v>2600</v>
      </c>
      <c r="O172" s="17">
        <f t="shared" si="401"/>
        <v>2600</v>
      </c>
      <c r="P172" s="17">
        <f t="shared" si="401"/>
        <v>3600</v>
      </c>
      <c r="R172" s="17">
        <f t="shared" ref="R172:AC172" si="402">SUM(R146:R171)</f>
        <v>2600</v>
      </c>
      <c r="S172" s="17">
        <f t="shared" si="402"/>
        <v>2600</v>
      </c>
      <c r="T172" s="17">
        <f t="shared" si="402"/>
        <v>2600</v>
      </c>
      <c r="U172" s="17">
        <f t="shared" si="402"/>
        <v>2600</v>
      </c>
      <c r="V172" s="17">
        <f t="shared" si="402"/>
        <v>2600</v>
      </c>
      <c r="W172" s="17">
        <f t="shared" si="402"/>
        <v>2600</v>
      </c>
      <c r="X172" s="17">
        <f t="shared" si="402"/>
        <v>2600</v>
      </c>
      <c r="Y172" s="17">
        <f t="shared" si="402"/>
        <v>2600</v>
      </c>
      <c r="Z172" s="17">
        <f t="shared" si="402"/>
        <v>2600</v>
      </c>
      <c r="AA172" s="17">
        <f t="shared" si="402"/>
        <v>1800</v>
      </c>
      <c r="AB172" s="17">
        <f t="shared" si="402"/>
        <v>1800</v>
      </c>
      <c r="AC172" s="17">
        <f t="shared" si="402"/>
        <v>1800</v>
      </c>
      <c r="AE172" s="17">
        <f t="shared" ref="AE172:AP172" si="403">SUM(AE146:AE171)</f>
        <v>1800</v>
      </c>
      <c r="AF172" s="17">
        <f t="shared" si="403"/>
        <v>1800</v>
      </c>
      <c r="AG172" s="17">
        <f t="shared" si="403"/>
        <v>1800</v>
      </c>
      <c r="AH172" s="17">
        <f t="shared" si="403"/>
        <v>0</v>
      </c>
      <c r="AI172" s="17">
        <f t="shared" si="403"/>
        <v>0</v>
      </c>
      <c r="AJ172" s="17">
        <f t="shared" si="403"/>
        <v>0</v>
      </c>
      <c r="AK172" s="17">
        <f t="shared" si="403"/>
        <v>0</v>
      </c>
      <c r="AL172" s="17">
        <f t="shared" si="403"/>
        <v>0</v>
      </c>
      <c r="AM172" s="17">
        <f t="shared" si="403"/>
        <v>0</v>
      </c>
      <c r="AN172" s="17">
        <f t="shared" si="403"/>
        <v>0</v>
      </c>
      <c r="AO172" s="17">
        <f t="shared" si="403"/>
        <v>0</v>
      </c>
      <c r="AP172" s="17">
        <f t="shared" si="403"/>
        <v>0</v>
      </c>
    </row>
    <row r="173" spans="1:42" s="16" customFormat="1" x14ac:dyDescent="0.25"/>
    <row r="174" spans="1:42" s="16" customFormat="1" x14ac:dyDescent="0.25">
      <c r="A174" s="16" t="s">
        <v>126</v>
      </c>
    </row>
    <row r="175" spans="1:42" s="16" customFormat="1" x14ac:dyDescent="0.25"/>
    <row r="176" spans="1:42" s="16" customFormat="1" x14ac:dyDescent="0.25">
      <c r="B176" s="9"/>
    </row>
    <row r="177" spans="1:42" s="16" customFormat="1" x14ac:dyDescent="0.25"/>
    <row r="178" spans="1:42" s="16" customFormat="1" x14ac:dyDescent="0.25">
      <c r="B178" s="16" t="s">
        <v>178</v>
      </c>
      <c r="E178" s="17">
        <f t="shared" ref="E178:P178" si="404">SUM(E175:E177)</f>
        <v>0</v>
      </c>
      <c r="F178" s="17">
        <f t="shared" si="404"/>
        <v>0</v>
      </c>
      <c r="G178" s="17">
        <f t="shared" si="404"/>
        <v>0</v>
      </c>
      <c r="H178" s="17">
        <f t="shared" si="404"/>
        <v>0</v>
      </c>
      <c r="I178" s="17">
        <f t="shared" si="404"/>
        <v>0</v>
      </c>
      <c r="J178" s="17">
        <f t="shared" si="404"/>
        <v>0</v>
      </c>
      <c r="K178" s="17">
        <f t="shared" si="404"/>
        <v>0</v>
      </c>
      <c r="L178" s="17">
        <f t="shared" si="404"/>
        <v>0</v>
      </c>
      <c r="M178" s="17">
        <f t="shared" si="404"/>
        <v>0</v>
      </c>
      <c r="N178" s="17">
        <f t="shared" si="404"/>
        <v>0</v>
      </c>
      <c r="O178" s="17">
        <f t="shared" si="404"/>
        <v>0</v>
      </c>
      <c r="P178" s="17">
        <f t="shared" si="404"/>
        <v>0</v>
      </c>
      <c r="R178" s="17">
        <f t="shared" ref="R178:AC178" si="405">SUM(R175:R177)</f>
        <v>0</v>
      </c>
      <c r="S178" s="17">
        <f t="shared" si="405"/>
        <v>0</v>
      </c>
      <c r="T178" s="17">
        <f t="shared" si="405"/>
        <v>0</v>
      </c>
      <c r="U178" s="17">
        <f t="shared" si="405"/>
        <v>0</v>
      </c>
      <c r="V178" s="17">
        <f t="shared" si="405"/>
        <v>0</v>
      </c>
      <c r="W178" s="17">
        <f t="shared" si="405"/>
        <v>0</v>
      </c>
      <c r="X178" s="17">
        <f t="shared" si="405"/>
        <v>0</v>
      </c>
      <c r="Y178" s="17">
        <f t="shared" si="405"/>
        <v>0</v>
      </c>
      <c r="Z178" s="17">
        <f t="shared" si="405"/>
        <v>0</v>
      </c>
      <c r="AA178" s="17">
        <f t="shared" si="405"/>
        <v>0</v>
      </c>
      <c r="AB178" s="17">
        <f t="shared" si="405"/>
        <v>0</v>
      </c>
      <c r="AC178" s="17">
        <f t="shared" si="405"/>
        <v>0</v>
      </c>
      <c r="AE178" s="17">
        <f t="shared" ref="AE178:AP178" si="406">SUM(AE175:AE177)</f>
        <v>0</v>
      </c>
      <c r="AF178" s="17">
        <f t="shared" si="406"/>
        <v>0</v>
      </c>
      <c r="AG178" s="17">
        <f t="shared" si="406"/>
        <v>0</v>
      </c>
      <c r="AH178" s="17">
        <f t="shared" si="406"/>
        <v>0</v>
      </c>
      <c r="AI178" s="17">
        <f t="shared" si="406"/>
        <v>0</v>
      </c>
      <c r="AJ178" s="17">
        <f t="shared" si="406"/>
        <v>0</v>
      </c>
      <c r="AK178" s="17">
        <f t="shared" si="406"/>
        <v>0</v>
      </c>
      <c r="AL178" s="17">
        <f t="shared" si="406"/>
        <v>0</v>
      </c>
      <c r="AM178" s="17">
        <f t="shared" si="406"/>
        <v>0</v>
      </c>
      <c r="AN178" s="17">
        <f t="shared" si="406"/>
        <v>0</v>
      </c>
      <c r="AO178" s="17">
        <f t="shared" si="406"/>
        <v>0</v>
      </c>
      <c r="AP178" s="17">
        <f t="shared" si="406"/>
        <v>0</v>
      </c>
    </row>
    <row r="179" spans="1:42" s="16" customFormat="1" x14ac:dyDescent="0.25"/>
    <row r="180" spans="1:42" s="16" customFormat="1" x14ac:dyDescent="0.25"/>
    <row r="181" spans="1:42" s="16" customFormat="1" x14ac:dyDescent="0.25">
      <c r="A181" s="16" t="s">
        <v>179</v>
      </c>
    </row>
    <row r="182" spans="1:42" s="16" customFormat="1" x14ac:dyDescent="0.25">
      <c r="A182" s="16" t="s">
        <v>112</v>
      </c>
      <c r="B182" s="16" t="s">
        <v>116</v>
      </c>
      <c r="C182" s="16" t="s">
        <v>110</v>
      </c>
      <c r="E182" s="16">
        <v>100</v>
      </c>
    </row>
    <row r="183" spans="1:42" s="16" customFormat="1" x14ac:dyDescent="0.25">
      <c r="B183" s="16" t="s">
        <v>104</v>
      </c>
      <c r="E183" s="16">
        <v>1200</v>
      </c>
      <c r="R183" s="16">
        <v>1200</v>
      </c>
    </row>
    <row r="184" spans="1:42" s="16" customFormat="1" x14ac:dyDescent="0.25">
      <c r="B184" s="16" t="s">
        <v>105</v>
      </c>
      <c r="E184" s="16">
        <v>1022</v>
      </c>
    </row>
    <row r="185" spans="1:42" s="16" customFormat="1" x14ac:dyDescent="0.25">
      <c r="B185" s="16" t="s">
        <v>106</v>
      </c>
      <c r="E185" s="16">
        <v>504</v>
      </c>
    </row>
    <row r="186" spans="1:42" s="16" customFormat="1" x14ac:dyDescent="0.25">
      <c r="B186" s="16" t="s">
        <v>107</v>
      </c>
      <c r="E186" s="16">
        <v>3000</v>
      </c>
    </row>
    <row r="187" spans="1:42" s="16" customFormat="1" x14ac:dyDescent="0.25"/>
    <row r="188" spans="1:42" s="16" customFormat="1" x14ac:dyDescent="0.25"/>
    <row r="189" spans="1:42" s="16" customFormat="1" x14ac:dyDescent="0.25">
      <c r="B189" s="16" t="s">
        <v>240</v>
      </c>
      <c r="E189" s="17">
        <f t="shared" ref="E189:P189" si="407">SUM(E182:E188)</f>
        <v>5826</v>
      </c>
      <c r="F189" s="17">
        <f t="shared" si="407"/>
        <v>0</v>
      </c>
      <c r="G189" s="17">
        <f t="shared" si="407"/>
        <v>0</v>
      </c>
      <c r="H189" s="17">
        <f t="shared" si="407"/>
        <v>0</v>
      </c>
      <c r="I189" s="17">
        <f t="shared" si="407"/>
        <v>0</v>
      </c>
      <c r="J189" s="17">
        <f t="shared" si="407"/>
        <v>0</v>
      </c>
      <c r="K189" s="17">
        <f t="shared" si="407"/>
        <v>0</v>
      </c>
      <c r="L189" s="17">
        <f t="shared" si="407"/>
        <v>0</v>
      </c>
      <c r="M189" s="17">
        <f t="shared" si="407"/>
        <v>0</v>
      </c>
      <c r="N189" s="17">
        <f t="shared" si="407"/>
        <v>0</v>
      </c>
      <c r="O189" s="17">
        <f t="shared" si="407"/>
        <v>0</v>
      </c>
      <c r="P189" s="17">
        <f t="shared" si="407"/>
        <v>0</v>
      </c>
      <c r="R189" s="17">
        <f t="shared" ref="R189:AC189" si="408">SUM(R182:R188)</f>
        <v>1200</v>
      </c>
      <c r="S189" s="17">
        <f t="shared" si="408"/>
        <v>0</v>
      </c>
      <c r="T189" s="17">
        <f t="shared" si="408"/>
        <v>0</v>
      </c>
      <c r="U189" s="17">
        <f t="shared" si="408"/>
        <v>0</v>
      </c>
      <c r="V189" s="17">
        <f t="shared" si="408"/>
        <v>0</v>
      </c>
      <c r="W189" s="17">
        <f t="shared" si="408"/>
        <v>0</v>
      </c>
      <c r="X189" s="17">
        <f t="shared" si="408"/>
        <v>0</v>
      </c>
      <c r="Y189" s="17">
        <f t="shared" si="408"/>
        <v>0</v>
      </c>
      <c r="Z189" s="17">
        <f t="shared" si="408"/>
        <v>0</v>
      </c>
      <c r="AA189" s="17">
        <f t="shared" si="408"/>
        <v>0</v>
      </c>
      <c r="AB189" s="17">
        <f t="shared" si="408"/>
        <v>0</v>
      </c>
      <c r="AC189" s="17">
        <f t="shared" si="408"/>
        <v>0</v>
      </c>
      <c r="AE189" s="17">
        <f t="shared" ref="AE189:AP189" si="409">SUM(AE182:AE188)</f>
        <v>0</v>
      </c>
      <c r="AF189" s="17">
        <f t="shared" si="409"/>
        <v>0</v>
      </c>
      <c r="AG189" s="17">
        <f t="shared" si="409"/>
        <v>0</v>
      </c>
      <c r="AH189" s="17">
        <f t="shared" si="409"/>
        <v>0</v>
      </c>
      <c r="AI189" s="17">
        <f t="shared" si="409"/>
        <v>0</v>
      </c>
      <c r="AJ189" s="17">
        <f t="shared" si="409"/>
        <v>0</v>
      </c>
      <c r="AK189" s="17">
        <f t="shared" si="409"/>
        <v>0</v>
      </c>
      <c r="AL189" s="17">
        <f t="shared" si="409"/>
        <v>0</v>
      </c>
      <c r="AM189" s="17">
        <f t="shared" si="409"/>
        <v>0</v>
      </c>
      <c r="AN189" s="17">
        <f t="shared" si="409"/>
        <v>0</v>
      </c>
      <c r="AO189" s="17">
        <f t="shared" si="409"/>
        <v>0</v>
      </c>
      <c r="AP189" s="17">
        <f t="shared" si="409"/>
        <v>0</v>
      </c>
    </row>
    <row r="190" spans="1:42" s="16" customFormat="1" x14ac:dyDescent="0.25"/>
    <row r="191" spans="1:42" s="16" customFormat="1" x14ac:dyDescent="0.25">
      <c r="A191" s="16" t="s">
        <v>235</v>
      </c>
    </row>
    <row r="192" spans="1:42" s="16" customFormat="1" x14ac:dyDescent="0.25">
      <c r="B192" s="16" t="s">
        <v>236</v>
      </c>
      <c r="E192" s="16">
        <v>2300</v>
      </c>
      <c r="R192" s="16">
        <v>2300</v>
      </c>
      <c r="AE192" s="16">
        <v>2300</v>
      </c>
    </row>
    <row r="193" spans="1:42" s="16" customFormat="1" x14ac:dyDescent="0.25">
      <c r="B193" s="16" t="s">
        <v>103</v>
      </c>
      <c r="E193" s="16">
        <v>5490</v>
      </c>
      <c r="R193" s="16">
        <v>5490</v>
      </c>
      <c r="AE193" s="16">
        <v>5490</v>
      </c>
    </row>
    <row r="194" spans="1:42" s="16" customFormat="1" x14ac:dyDescent="0.25">
      <c r="B194" s="16" t="s">
        <v>1144</v>
      </c>
      <c r="E194" s="16">
        <v>6370</v>
      </c>
      <c r="R194" s="16">
        <v>6370</v>
      </c>
      <c r="AE194" s="16">
        <v>6370</v>
      </c>
    </row>
    <row r="195" spans="1:42" s="16" customFormat="1" x14ac:dyDescent="0.25">
      <c r="B195" s="16" t="s">
        <v>1145</v>
      </c>
      <c r="E195" s="16">
        <v>2190</v>
      </c>
      <c r="R195" s="16">
        <v>2190</v>
      </c>
      <c r="AE195" s="16">
        <v>2190</v>
      </c>
    </row>
    <row r="196" spans="1:42" s="16" customFormat="1" x14ac:dyDescent="0.25"/>
    <row r="197" spans="1:42" s="16" customFormat="1" x14ac:dyDescent="0.25">
      <c r="B197" s="16" t="s">
        <v>237</v>
      </c>
      <c r="E197" s="17">
        <f>SUM(E192:E196)</f>
        <v>16350</v>
      </c>
      <c r="F197" s="17">
        <f t="shared" ref="F197:P197" si="410">SUM(F192:F196)</f>
        <v>0</v>
      </c>
      <c r="G197" s="17">
        <f t="shared" si="410"/>
        <v>0</v>
      </c>
      <c r="H197" s="17">
        <f t="shared" si="410"/>
        <v>0</v>
      </c>
      <c r="I197" s="17">
        <f t="shared" si="410"/>
        <v>0</v>
      </c>
      <c r="J197" s="17">
        <f t="shared" si="410"/>
        <v>0</v>
      </c>
      <c r="K197" s="17">
        <f t="shared" si="410"/>
        <v>0</v>
      </c>
      <c r="L197" s="17">
        <f t="shared" si="410"/>
        <v>0</v>
      </c>
      <c r="M197" s="17">
        <f t="shared" si="410"/>
        <v>0</v>
      </c>
      <c r="N197" s="17">
        <f t="shared" si="410"/>
        <v>0</v>
      </c>
      <c r="O197" s="17">
        <f t="shared" si="410"/>
        <v>0</v>
      </c>
      <c r="P197" s="17">
        <f t="shared" si="410"/>
        <v>0</v>
      </c>
      <c r="R197" s="17">
        <f t="shared" ref="R197:AC197" si="411">SUM(R192:R196)</f>
        <v>16350</v>
      </c>
      <c r="S197" s="17">
        <f t="shared" si="411"/>
        <v>0</v>
      </c>
      <c r="T197" s="17">
        <f t="shared" si="411"/>
        <v>0</v>
      </c>
      <c r="U197" s="17">
        <f t="shared" si="411"/>
        <v>0</v>
      </c>
      <c r="V197" s="17">
        <f t="shared" si="411"/>
        <v>0</v>
      </c>
      <c r="W197" s="17">
        <f t="shared" si="411"/>
        <v>0</v>
      </c>
      <c r="X197" s="17">
        <f t="shared" si="411"/>
        <v>0</v>
      </c>
      <c r="Y197" s="17">
        <f t="shared" si="411"/>
        <v>0</v>
      </c>
      <c r="Z197" s="17">
        <f t="shared" si="411"/>
        <v>0</v>
      </c>
      <c r="AA197" s="17">
        <f t="shared" si="411"/>
        <v>0</v>
      </c>
      <c r="AB197" s="17">
        <f t="shared" si="411"/>
        <v>0</v>
      </c>
      <c r="AC197" s="17">
        <f t="shared" si="411"/>
        <v>0</v>
      </c>
      <c r="AE197" s="17">
        <f t="shared" ref="AE197:AP197" si="412">SUM(AE192:AE196)</f>
        <v>16350</v>
      </c>
      <c r="AF197" s="17">
        <f t="shared" si="412"/>
        <v>0</v>
      </c>
      <c r="AG197" s="17">
        <f t="shared" si="412"/>
        <v>0</v>
      </c>
      <c r="AH197" s="17">
        <f t="shared" si="412"/>
        <v>0</v>
      </c>
      <c r="AI197" s="17">
        <f t="shared" si="412"/>
        <v>0</v>
      </c>
      <c r="AJ197" s="17">
        <f t="shared" si="412"/>
        <v>0</v>
      </c>
      <c r="AK197" s="17">
        <f t="shared" si="412"/>
        <v>0</v>
      </c>
      <c r="AL197" s="17">
        <f t="shared" si="412"/>
        <v>0</v>
      </c>
      <c r="AM197" s="17">
        <f t="shared" si="412"/>
        <v>0</v>
      </c>
      <c r="AN197" s="17">
        <f t="shared" si="412"/>
        <v>0</v>
      </c>
      <c r="AO197" s="17">
        <f t="shared" si="412"/>
        <v>0</v>
      </c>
      <c r="AP197" s="17">
        <f t="shared" si="412"/>
        <v>0</v>
      </c>
    </row>
    <row r="198" spans="1:42" s="16" customFormat="1" x14ac:dyDescent="0.25"/>
    <row r="199" spans="1:42" s="16" customFormat="1" x14ac:dyDescent="0.25">
      <c r="A199" s="16" t="s">
        <v>239</v>
      </c>
    </row>
    <row r="200" spans="1:42" s="16" customFormat="1" x14ac:dyDescent="0.25"/>
    <row r="201" spans="1:42" s="16" customFormat="1" x14ac:dyDescent="0.25"/>
    <row r="202" spans="1:42" s="16" customFormat="1" x14ac:dyDescent="0.25"/>
    <row r="203" spans="1:42" s="16" customFormat="1" x14ac:dyDescent="0.25"/>
    <row r="204" spans="1:42" s="16" customFormat="1" x14ac:dyDescent="0.25"/>
    <row r="205" spans="1:42" s="16" customFormat="1" x14ac:dyDescent="0.25">
      <c r="B205" s="16" t="s">
        <v>167</v>
      </c>
    </row>
    <row r="206" spans="1:42" s="16" customFormat="1" x14ac:dyDescent="0.25"/>
    <row r="207" spans="1:42" s="16" customFormat="1" x14ac:dyDescent="0.25"/>
    <row r="208" spans="1:42"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row r="363" s="16" customFormat="1" x14ac:dyDescent="0.25"/>
  </sheetData>
  <mergeCells count="6">
    <mergeCell ref="BD3:BH3"/>
    <mergeCell ref="E3:P3"/>
    <mergeCell ref="R3:AC3"/>
    <mergeCell ref="AE3:AP3"/>
    <mergeCell ref="AR3:AV3"/>
    <mergeCell ref="AX3:BB3"/>
  </mergeCells>
  <printOptions horizontalCentered="1" headings="1"/>
  <pageMargins left="0.25" right="0.25" top="0.5" bottom="0.5" header="0.25" footer="0"/>
  <pageSetup scale="62" orientation="portrait" r:id="rId1"/>
  <headerFooter alignWithMargins="0">
    <oddHeader>&amp;L&amp;9&amp;F&amp;C&amp;9&amp;A&amp;R&amp;9&amp;D  &amp;T</oddHeader>
    <oddFooter>&amp;C&amp;P</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Z417"/>
  <sheetViews>
    <sheetView workbookViewId="0">
      <pane xSplit="2" ySplit="4" topLeftCell="G167" activePane="bottomRight" state="frozen"/>
      <selection activeCell="A5" sqref="A5:XFD363"/>
      <selection pane="topRight" activeCell="A5" sqref="A5:XFD363"/>
      <selection pane="bottomLeft" activeCell="A5" sqref="A5:XFD363"/>
      <selection pane="bottomRight" activeCell="H184" sqref="H184"/>
    </sheetView>
  </sheetViews>
  <sheetFormatPr defaultColWidth="10.25" defaultRowHeight="15.75" outlineLevelCol="1" x14ac:dyDescent="0.25"/>
  <cols>
    <col min="1" max="1" width="3.375" style="7" customWidth="1"/>
    <col min="2" max="2" width="20.625" style="7" customWidth="1"/>
    <col min="3" max="3" width="10.25" style="7"/>
    <col min="4" max="4" width="9.75" style="7" customWidth="1"/>
    <col min="5" max="16" width="10.25" style="7" customWidth="1" outlineLevel="1"/>
    <col min="17" max="17" width="2" style="7" customWidth="1"/>
    <col min="18" max="29" width="10.25" style="7" customWidth="1" outlineLevel="1"/>
    <col min="30" max="30" width="1.625" style="7" customWidth="1"/>
    <col min="31" max="42" width="10.25" style="7" customWidth="1" outlineLevel="1"/>
    <col min="43" max="43" width="1.625" style="7" customWidth="1"/>
    <col min="44" max="48" width="10.25" style="7" customWidth="1" outlineLevel="1"/>
    <col min="49" max="49" width="1.625" style="7" customWidth="1"/>
    <col min="50" max="54" width="10.25" style="7" customWidth="1" outlineLevel="1"/>
    <col min="55" max="55" width="1.625" style="7" customWidth="1"/>
    <col min="56" max="60" width="10.25" style="7" hidden="1" customWidth="1" outlineLevel="1"/>
    <col min="61" max="61" width="1.625" style="7" customWidth="1" collapsed="1"/>
    <col min="62" max="66" width="10.25" style="7"/>
    <col min="67" max="67" width="1.625" style="7" customWidth="1"/>
    <col min="68" max="72" width="10.25" style="7"/>
    <col min="73" max="73" width="1.625" style="7" customWidth="1"/>
    <col min="74" max="16384" width="10.25" style="7"/>
  </cols>
  <sheetData>
    <row r="1" spans="1:78" customFormat="1" x14ac:dyDescent="0.25">
      <c r="B1" s="4" t="s">
        <v>36</v>
      </c>
    </row>
    <row r="2" spans="1:78" customFormat="1" x14ac:dyDescent="0.25">
      <c r="B2" s="4" t="s">
        <v>212</v>
      </c>
    </row>
    <row r="3" spans="1:78" customFormat="1" x14ac:dyDescent="0.25">
      <c r="B3" s="2"/>
      <c r="C3" s="2"/>
      <c r="D3" s="2"/>
      <c r="E3" s="425" t="s">
        <v>12</v>
      </c>
      <c r="F3" s="425"/>
      <c r="G3" s="425"/>
      <c r="H3" s="425"/>
      <c r="I3" s="425"/>
      <c r="J3" s="425"/>
      <c r="K3" s="425"/>
      <c r="L3" s="425"/>
      <c r="M3" s="425"/>
      <c r="N3" s="425"/>
      <c r="O3" s="425"/>
      <c r="P3" s="425"/>
      <c r="R3" s="426" t="s">
        <v>13</v>
      </c>
      <c r="S3" s="426"/>
      <c r="T3" s="426"/>
      <c r="U3" s="426"/>
      <c r="V3" s="426"/>
      <c r="W3" s="426"/>
      <c r="X3" s="426"/>
      <c r="Y3" s="426"/>
      <c r="Z3" s="426"/>
      <c r="AA3" s="426"/>
      <c r="AB3" s="426"/>
      <c r="AC3" s="426"/>
      <c r="AE3" s="427" t="s">
        <v>166</v>
      </c>
      <c r="AF3" s="427"/>
      <c r="AG3" s="427"/>
      <c r="AH3" s="427"/>
      <c r="AI3" s="427"/>
      <c r="AJ3" s="427"/>
      <c r="AK3" s="427"/>
      <c r="AL3" s="427"/>
      <c r="AM3" s="427"/>
      <c r="AN3" s="427"/>
      <c r="AO3" s="427"/>
      <c r="AP3" s="427"/>
      <c r="AR3" s="432" t="s">
        <v>12</v>
      </c>
      <c r="AS3" s="432"/>
      <c r="AT3" s="432"/>
      <c r="AU3" s="432"/>
      <c r="AV3" s="432"/>
      <c r="AX3" s="433" t="s">
        <v>13</v>
      </c>
      <c r="AY3" s="433"/>
      <c r="AZ3" s="433"/>
      <c r="BA3" s="433"/>
      <c r="BB3" s="433"/>
      <c r="BD3" s="431" t="s">
        <v>166</v>
      </c>
      <c r="BE3" s="431"/>
      <c r="BF3" s="431"/>
      <c r="BG3" s="431"/>
      <c r="BH3" s="431"/>
      <c r="BJ3" s="435" t="s">
        <v>383</v>
      </c>
      <c r="BK3" s="435"/>
      <c r="BL3" s="435"/>
      <c r="BM3" s="435"/>
      <c r="BN3" s="435"/>
      <c r="BP3" s="436" t="s">
        <v>388</v>
      </c>
      <c r="BQ3" s="436"/>
      <c r="BR3" s="436"/>
      <c r="BS3" s="436"/>
      <c r="BT3" s="436"/>
      <c r="BV3" s="434" t="s">
        <v>389</v>
      </c>
      <c r="BW3" s="434"/>
      <c r="BX3" s="434"/>
      <c r="BY3" s="434"/>
      <c r="BZ3" s="434"/>
    </row>
    <row r="4" spans="1:78" customFormat="1" ht="16.5" thickBot="1" x14ac:dyDescent="0.3">
      <c r="A4" s="1"/>
      <c r="B4" s="3"/>
      <c r="C4" s="6"/>
      <c r="D4" s="6"/>
      <c r="E4" s="6" t="s">
        <v>0</v>
      </c>
      <c r="F4" s="6" t="s">
        <v>1</v>
      </c>
      <c r="G4" s="6" t="s">
        <v>2</v>
      </c>
      <c r="H4" s="6" t="s">
        <v>3</v>
      </c>
      <c r="I4" s="6" t="s">
        <v>4</v>
      </c>
      <c r="J4" s="6" t="s">
        <v>5</v>
      </c>
      <c r="K4" s="6" t="s">
        <v>6</v>
      </c>
      <c r="L4" s="6" t="s">
        <v>7</v>
      </c>
      <c r="M4" s="6" t="s">
        <v>8</v>
      </c>
      <c r="N4" s="6" t="s">
        <v>9</v>
      </c>
      <c r="O4" s="6" t="s">
        <v>10</v>
      </c>
      <c r="P4" s="6" t="s">
        <v>11</v>
      </c>
      <c r="Q4" s="5"/>
      <c r="R4" s="6" t="s">
        <v>0</v>
      </c>
      <c r="S4" s="6" t="s">
        <v>1</v>
      </c>
      <c r="T4" s="6" t="s">
        <v>2</v>
      </c>
      <c r="U4" s="6" t="s">
        <v>3</v>
      </c>
      <c r="V4" s="6" t="s">
        <v>4</v>
      </c>
      <c r="W4" s="6" t="s">
        <v>5</v>
      </c>
      <c r="X4" s="6" t="s">
        <v>6</v>
      </c>
      <c r="Y4" s="6" t="s">
        <v>7</v>
      </c>
      <c r="Z4" s="6" t="s">
        <v>8</v>
      </c>
      <c r="AA4" s="6" t="s">
        <v>9</v>
      </c>
      <c r="AB4" s="6" t="s">
        <v>10</v>
      </c>
      <c r="AC4" s="6" t="s">
        <v>11</v>
      </c>
      <c r="AE4" s="6" t="s">
        <v>0</v>
      </c>
      <c r="AF4" s="6" t="s">
        <v>1</v>
      </c>
      <c r="AG4" s="6" t="s">
        <v>2</v>
      </c>
      <c r="AH4" s="6" t="s">
        <v>3</v>
      </c>
      <c r="AI4" s="6" t="s">
        <v>4</v>
      </c>
      <c r="AJ4" s="6" t="s">
        <v>5</v>
      </c>
      <c r="AK4" s="6" t="s">
        <v>6</v>
      </c>
      <c r="AL4" s="6" t="s">
        <v>7</v>
      </c>
      <c r="AM4" s="6" t="s">
        <v>8</v>
      </c>
      <c r="AN4" s="6" t="s">
        <v>9</v>
      </c>
      <c r="AO4" s="6" t="s">
        <v>10</v>
      </c>
      <c r="AP4" s="6" t="s">
        <v>11</v>
      </c>
      <c r="AR4" s="10" t="s">
        <v>167</v>
      </c>
      <c r="AS4" s="10" t="s">
        <v>168</v>
      </c>
      <c r="AT4" s="10" t="s">
        <v>169</v>
      </c>
      <c r="AU4" s="10" t="s">
        <v>170</v>
      </c>
      <c r="AV4" s="10" t="s">
        <v>171</v>
      </c>
      <c r="AX4" s="10" t="s">
        <v>167</v>
      </c>
      <c r="AY4" s="10" t="s">
        <v>168</v>
      </c>
      <c r="AZ4" s="10" t="s">
        <v>169</v>
      </c>
      <c r="BA4" s="10" t="s">
        <v>170</v>
      </c>
      <c r="BB4" s="10" t="s">
        <v>171</v>
      </c>
      <c r="BD4" s="10" t="s">
        <v>167</v>
      </c>
      <c r="BE4" s="10" t="s">
        <v>168</v>
      </c>
      <c r="BF4" s="10" t="s">
        <v>169</v>
      </c>
      <c r="BG4" s="10" t="s">
        <v>170</v>
      </c>
      <c r="BH4" s="10" t="s">
        <v>171</v>
      </c>
      <c r="BJ4" s="10" t="s">
        <v>167</v>
      </c>
      <c r="BK4" s="10" t="s">
        <v>168</v>
      </c>
      <c r="BL4" s="10" t="s">
        <v>169</v>
      </c>
      <c r="BM4" s="10" t="s">
        <v>170</v>
      </c>
      <c r="BN4" s="10" t="s">
        <v>171</v>
      </c>
      <c r="BP4" s="10" t="s">
        <v>167</v>
      </c>
      <c r="BQ4" s="10" t="s">
        <v>168</v>
      </c>
      <c r="BR4" s="10" t="s">
        <v>169</v>
      </c>
      <c r="BS4" s="10" t="s">
        <v>170</v>
      </c>
      <c r="BT4" s="10" t="s">
        <v>171</v>
      </c>
      <c r="BV4" s="10" t="s">
        <v>167</v>
      </c>
      <c r="BW4" s="10" t="s">
        <v>168</v>
      </c>
      <c r="BX4" s="10" t="s">
        <v>169</v>
      </c>
      <c r="BY4" s="10" t="s">
        <v>170</v>
      </c>
      <c r="BZ4" s="10" t="s">
        <v>171</v>
      </c>
    </row>
    <row r="5" spans="1:78" s="16" customFormat="1" x14ac:dyDescent="0.25">
      <c r="B5" s="16" t="s">
        <v>14</v>
      </c>
      <c r="AR5" s="16">
        <f t="shared" ref="AR5" si="0">SUM(E5:P5)</f>
        <v>0</v>
      </c>
      <c r="AS5" s="16">
        <f t="shared" ref="AS5" si="1">SUM(E5:G5)</f>
        <v>0</v>
      </c>
      <c r="AT5" s="16">
        <f t="shared" ref="AT5" si="2">SUM(H5:J5)</f>
        <v>0</v>
      </c>
      <c r="AU5" s="16">
        <f t="shared" ref="AU5" si="3">SUM(K5:M5)</f>
        <v>0</v>
      </c>
      <c r="AV5" s="16">
        <f t="shared" ref="AV5" si="4">SUM(N5:P5)</f>
        <v>0</v>
      </c>
      <c r="AX5" s="16">
        <f t="shared" ref="AX5" si="5">SUM(R5:AC5)</f>
        <v>0</v>
      </c>
      <c r="AY5" s="16">
        <f t="shared" ref="AY5" si="6">SUM(R5:T5)</f>
        <v>0</v>
      </c>
      <c r="AZ5" s="16">
        <f t="shared" ref="AZ5" si="7">SUM(U5:W5)</f>
        <v>0</v>
      </c>
      <c r="BA5" s="16">
        <f t="shared" ref="BA5" si="8">SUM(X5:Z5)</f>
        <v>0</v>
      </c>
      <c r="BB5" s="16">
        <f t="shared" ref="BB5" si="9">SUM(AA5:AC5)</f>
        <v>0</v>
      </c>
      <c r="BD5" s="16">
        <f t="shared" ref="BD5" si="10">SUM(AE5:AP5)</f>
        <v>0</v>
      </c>
      <c r="BE5" s="16">
        <f t="shared" ref="BE5" si="11">SUM(AE5:AG5)</f>
        <v>0</v>
      </c>
      <c r="BF5" s="16">
        <f t="shared" ref="BF5" si="12">SUM(AH5:AJ5)</f>
        <v>0</v>
      </c>
      <c r="BG5" s="16">
        <f t="shared" ref="BG5" si="13">SUM(AK5:AM5)</f>
        <v>0</v>
      </c>
      <c r="BH5" s="16">
        <f t="shared" ref="BH5" si="14">SUM(AN5:AP5)</f>
        <v>0</v>
      </c>
      <c r="BJ5" s="16">
        <f>SUM(BK5:BN5)</f>
        <v>0</v>
      </c>
      <c r="BP5" s="16">
        <f>SUM(BQ5:BT5)</f>
        <v>0</v>
      </c>
      <c r="BV5" s="16">
        <f>SUM(BW5:BZ5)</f>
        <v>0</v>
      </c>
    </row>
    <row r="6" spans="1:78" s="16" customFormat="1" x14ac:dyDescent="0.25">
      <c r="B6" s="16" t="s">
        <v>15</v>
      </c>
      <c r="E6" s="16">
        <f>+E131</f>
        <v>0</v>
      </c>
      <c r="F6" s="16">
        <f t="shared" ref="F6:P6" si="15">+F131</f>
        <v>0</v>
      </c>
      <c r="G6" s="16">
        <f t="shared" si="15"/>
        <v>0</v>
      </c>
      <c r="H6" s="16">
        <f t="shared" si="15"/>
        <v>0</v>
      </c>
      <c r="I6" s="16">
        <f t="shared" si="15"/>
        <v>0</v>
      </c>
      <c r="J6" s="16">
        <f t="shared" si="15"/>
        <v>0</v>
      </c>
      <c r="K6" s="16">
        <f t="shared" si="15"/>
        <v>0</v>
      </c>
      <c r="L6" s="16">
        <f t="shared" si="15"/>
        <v>0</v>
      </c>
      <c r="M6" s="16">
        <f t="shared" si="15"/>
        <v>0</v>
      </c>
      <c r="N6" s="16">
        <f t="shared" si="15"/>
        <v>0</v>
      </c>
      <c r="O6" s="16">
        <f t="shared" si="15"/>
        <v>0</v>
      </c>
      <c r="P6" s="16">
        <f t="shared" si="15"/>
        <v>0</v>
      </c>
      <c r="R6" s="16">
        <f>+R131</f>
        <v>4583.333333333333</v>
      </c>
      <c r="S6" s="16">
        <f t="shared" ref="S6:AC6" si="16">+S131</f>
        <v>4583.333333333333</v>
      </c>
      <c r="T6" s="16">
        <f t="shared" si="16"/>
        <v>4583.333333333333</v>
      </c>
      <c r="U6" s="16">
        <f t="shared" si="16"/>
        <v>31666.666666666664</v>
      </c>
      <c r="V6" s="16">
        <f t="shared" si="16"/>
        <v>48333.333333333321</v>
      </c>
      <c r="W6" s="16">
        <f t="shared" si="16"/>
        <v>94166.666666666672</v>
      </c>
      <c r="X6" s="16">
        <f t="shared" si="16"/>
        <v>110833.33333333336</v>
      </c>
      <c r="Y6" s="16">
        <f t="shared" si="16"/>
        <v>110833.33333333336</v>
      </c>
      <c r="Z6" s="16">
        <f t="shared" si="16"/>
        <v>110833.33333333336</v>
      </c>
      <c r="AA6" s="16">
        <f t="shared" si="16"/>
        <v>110833.33333333336</v>
      </c>
      <c r="AB6" s="16">
        <f t="shared" si="16"/>
        <v>110833.33333333336</v>
      </c>
      <c r="AC6" s="16">
        <f t="shared" si="16"/>
        <v>110833.33333333336</v>
      </c>
      <c r="AE6" s="16">
        <f t="shared" ref="AE6:AP6" si="17">+AE131</f>
        <v>110833.33333333336</v>
      </c>
      <c r="AF6" s="16">
        <f t="shared" si="17"/>
        <v>110833.33333333336</v>
      </c>
      <c r="AG6" s="16">
        <f t="shared" si="17"/>
        <v>110833.33333333336</v>
      </c>
      <c r="AH6" s="16">
        <f t="shared" si="17"/>
        <v>18333.333333333332</v>
      </c>
      <c r="AI6" s="16">
        <f t="shared" si="17"/>
        <v>18333.333333333332</v>
      </c>
      <c r="AJ6" s="16">
        <f t="shared" si="17"/>
        <v>18333.333333333332</v>
      </c>
      <c r="AK6" s="16">
        <f t="shared" si="17"/>
        <v>18333.333333333332</v>
      </c>
      <c r="AL6" s="16">
        <f t="shared" si="17"/>
        <v>18333.333333333332</v>
      </c>
      <c r="AM6" s="16">
        <f t="shared" si="17"/>
        <v>18333.333333333332</v>
      </c>
      <c r="AN6" s="16">
        <f t="shared" si="17"/>
        <v>18333.333333333332</v>
      </c>
      <c r="AO6" s="16">
        <f t="shared" si="17"/>
        <v>18333.333333333332</v>
      </c>
      <c r="AP6" s="16">
        <f t="shared" si="17"/>
        <v>22916.666666666664</v>
      </c>
      <c r="AR6" s="16">
        <f>SUM(E6:P6)</f>
        <v>0</v>
      </c>
      <c r="AS6" s="16">
        <f>SUM(E6:G6)</f>
        <v>0</v>
      </c>
      <c r="AT6" s="16">
        <f>SUM(H6:J6)</f>
        <v>0</v>
      </c>
      <c r="AU6" s="16">
        <f>SUM(K6:M6)</f>
        <v>0</v>
      </c>
      <c r="AV6" s="16">
        <f>SUM(N6:P6)</f>
        <v>0</v>
      </c>
      <c r="AX6" s="16">
        <f>SUM(R6:AC6)</f>
        <v>852916.66666666686</v>
      </c>
      <c r="AY6" s="16">
        <f>SUM(R6:T6)</f>
        <v>13750</v>
      </c>
      <c r="AZ6" s="16">
        <f>SUM(U6:W6)</f>
        <v>174166.66666666666</v>
      </c>
      <c r="BA6" s="16">
        <f>SUM(X6:Z6)</f>
        <v>332500.00000000006</v>
      </c>
      <c r="BB6" s="16">
        <f>SUM(AA6:AC6)</f>
        <v>332500.00000000006</v>
      </c>
      <c r="BD6" s="16">
        <f>SUM(AE6:AP6)</f>
        <v>502083.33333333326</v>
      </c>
      <c r="BE6" s="16">
        <f>SUM(AE6:AG6)</f>
        <v>332500.00000000006</v>
      </c>
      <c r="BF6" s="16">
        <f>SUM(AH6:AJ6)</f>
        <v>55000</v>
      </c>
      <c r="BG6" s="16">
        <f>SUM(AK6:AM6)</f>
        <v>55000</v>
      </c>
      <c r="BH6" s="16">
        <f>SUM(AN6:AP6)</f>
        <v>59583.333333333328</v>
      </c>
      <c r="BJ6" s="16">
        <f t="shared" ref="BJ6:BJ7" si="18">SUM(BK6:BN6)</f>
        <v>630000</v>
      </c>
      <c r="BK6" s="16">
        <f t="shared" ref="BK6:BN6" si="19">+BK131</f>
        <v>107500</v>
      </c>
      <c r="BL6" s="16">
        <f t="shared" si="19"/>
        <v>157500</v>
      </c>
      <c r="BM6" s="16">
        <f t="shared" si="19"/>
        <v>170000</v>
      </c>
      <c r="BN6" s="16">
        <f t="shared" si="19"/>
        <v>195000</v>
      </c>
      <c r="BP6" s="16">
        <f t="shared" ref="BP6:BP7" si="20">SUM(BQ6:BT6)</f>
        <v>1117500</v>
      </c>
      <c r="BQ6" s="16">
        <f t="shared" ref="BQ6:BT6" si="21">+BQ131</f>
        <v>207500</v>
      </c>
      <c r="BR6" s="16">
        <f t="shared" si="21"/>
        <v>282500</v>
      </c>
      <c r="BS6" s="16">
        <f t="shared" si="21"/>
        <v>295000</v>
      </c>
      <c r="BT6" s="16">
        <f t="shared" si="21"/>
        <v>332500</v>
      </c>
      <c r="BV6" s="16">
        <f t="shared" ref="BV6:BV7" si="22">SUM(BW6:BZ6)</f>
        <v>1717500</v>
      </c>
      <c r="BW6" s="16">
        <f t="shared" ref="BW6:BZ6" si="23">+BW131</f>
        <v>357500</v>
      </c>
      <c r="BX6" s="16">
        <f t="shared" si="23"/>
        <v>420000</v>
      </c>
      <c r="BY6" s="16">
        <f t="shared" si="23"/>
        <v>457500</v>
      </c>
      <c r="BZ6" s="16">
        <f t="shared" si="23"/>
        <v>482500</v>
      </c>
    </row>
    <row r="7" spans="1:78" s="16" customFormat="1" x14ac:dyDescent="0.25">
      <c r="B7" s="16" t="s">
        <v>16</v>
      </c>
      <c r="AR7" s="16">
        <f t="shared" ref="AR7" si="24">SUM(E7:P7)</f>
        <v>0</v>
      </c>
      <c r="AS7" s="16">
        <f t="shared" ref="AS7" si="25">SUM(E7:G7)</f>
        <v>0</v>
      </c>
      <c r="AT7" s="16">
        <f t="shared" ref="AT7" si="26">SUM(H7:J7)</f>
        <v>0</v>
      </c>
      <c r="AU7" s="16">
        <f t="shared" ref="AU7" si="27">SUM(K7:M7)</f>
        <v>0</v>
      </c>
      <c r="AV7" s="16">
        <f t="shared" ref="AV7" si="28">SUM(N7:P7)</f>
        <v>0</v>
      </c>
      <c r="AX7" s="16">
        <f t="shared" ref="AX7" si="29">SUM(R7:AC7)</f>
        <v>0</v>
      </c>
      <c r="AY7" s="16">
        <f t="shared" ref="AY7" si="30">SUM(R7:T7)</f>
        <v>0</v>
      </c>
      <c r="AZ7" s="16">
        <f t="shared" ref="AZ7" si="31">SUM(U7:W7)</f>
        <v>0</v>
      </c>
      <c r="BA7" s="16">
        <f t="shared" ref="BA7" si="32">SUM(X7:Z7)</f>
        <v>0</v>
      </c>
      <c r="BB7" s="16">
        <f t="shared" ref="BB7" si="33">SUM(AA7:AC7)</f>
        <v>0</v>
      </c>
      <c r="BD7" s="16">
        <f t="shared" ref="BD7" si="34">SUM(AE7:AP7)</f>
        <v>0</v>
      </c>
      <c r="BE7" s="16">
        <f t="shared" ref="BE7" si="35">SUM(AE7:AG7)</f>
        <v>0</v>
      </c>
      <c r="BF7" s="16">
        <f t="shared" ref="BF7" si="36">SUM(AH7:AJ7)</f>
        <v>0</v>
      </c>
      <c r="BG7" s="16">
        <f t="shared" ref="BG7" si="37">SUM(AK7:AM7)</f>
        <v>0</v>
      </c>
      <c r="BH7" s="16">
        <f t="shared" ref="BH7" si="38">SUM(AN7:AP7)</f>
        <v>0</v>
      </c>
      <c r="BJ7" s="16">
        <f t="shared" si="18"/>
        <v>0</v>
      </c>
      <c r="BP7" s="16">
        <f t="shared" si="20"/>
        <v>0</v>
      </c>
      <c r="BV7" s="16">
        <f t="shared" si="22"/>
        <v>0</v>
      </c>
    </row>
    <row r="8" spans="1:78" s="16" customFormat="1" x14ac:dyDescent="0.25"/>
    <row r="9" spans="1:78" s="16" customFormat="1" x14ac:dyDescent="0.25">
      <c r="B9" s="16" t="s">
        <v>17</v>
      </c>
      <c r="E9" s="17">
        <f>SUBTOTAL(9,E5:E8)</f>
        <v>0</v>
      </c>
      <c r="F9" s="17">
        <f t="shared" ref="F9:P9" si="39">SUBTOTAL(9,F5:F8)</f>
        <v>0</v>
      </c>
      <c r="G9" s="17">
        <f t="shared" si="39"/>
        <v>0</v>
      </c>
      <c r="H9" s="17">
        <f t="shared" si="39"/>
        <v>0</v>
      </c>
      <c r="I9" s="17">
        <f t="shared" si="39"/>
        <v>0</v>
      </c>
      <c r="J9" s="17">
        <f t="shared" si="39"/>
        <v>0</v>
      </c>
      <c r="K9" s="17">
        <f t="shared" si="39"/>
        <v>0</v>
      </c>
      <c r="L9" s="17">
        <f t="shared" si="39"/>
        <v>0</v>
      </c>
      <c r="M9" s="17">
        <f t="shared" si="39"/>
        <v>0</v>
      </c>
      <c r="N9" s="17">
        <f t="shared" si="39"/>
        <v>0</v>
      </c>
      <c r="O9" s="17">
        <f t="shared" si="39"/>
        <v>0</v>
      </c>
      <c r="P9" s="17">
        <f t="shared" si="39"/>
        <v>0</v>
      </c>
      <c r="R9" s="17">
        <f>SUBTOTAL(9,R5:R8)</f>
        <v>4583.333333333333</v>
      </c>
      <c r="S9" s="17">
        <f t="shared" ref="S9" si="40">SUBTOTAL(9,S5:S8)</f>
        <v>4583.333333333333</v>
      </c>
      <c r="T9" s="17">
        <f t="shared" ref="T9" si="41">SUBTOTAL(9,T5:T8)</f>
        <v>4583.333333333333</v>
      </c>
      <c r="U9" s="17">
        <f t="shared" ref="U9" si="42">SUBTOTAL(9,U5:U8)</f>
        <v>31666.666666666664</v>
      </c>
      <c r="V9" s="17">
        <f t="shared" ref="V9" si="43">SUBTOTAL(9,V5:V8)</f>
        <v>48333.333333333321</v>
      </c>
      <c r="W9" s="17">
        <f t="shared" ref="W9" si="44">SUBTOTAL(9,W5:W8)</f>
        <v>94166.666666666672</v>
      </c>
      <c r="X9" s="17">
        <f t="shared" ref="X9" si="45">SUBTOTAL(9,X5:X8)</f>
        <v>110833.33333333336</v>
      </c>
      <c r="Y9" s="17">
        <f t="shared" ref="Y9" si="46">SUBTOTAL(9,Y5:Y8)</f>
        <v>110833.33333333336</v>
      </c>
      <c r="Z9" s="17">
        <f t="shared" ref="Z9" si="47">SUBTOTAL(9,Z5:Z8)</f>
        <v>110833.33333333336</v>
      </c>
      <c r="AA9" s="17">
        <f t="shared" ref="AA9" si="48">SUBTOTAL(9,AA5:AA8)</f>
        <v>110833.33333333336</v>
      </c>
      <c r="AB9" s="17">
        <f t="shared" ref="AB9" si="49">SUBTOTAL(9,AB5:AB8)</f>
        <v>110833.33333333336</v>
      </c>
      <c r="AC9" s="17">
        <f t="shared" ref="AC9:AP9" si="50">SUBTOTAL(9,AC5:AC8)</f>
        <v>110833.33333333336</v>
      </c>
      <c r="AE9" s="17">
        <f t="shared" si="50"/>
        <v>110833.33333333336</v>
      </c>
      <c r="AF9" s="17">
        <f t="shared" si="50"/>
        <v>110833.33333333336</v>
      </c>
      <c r="AG9" s="17">
        <f t="shared" si="50"/>
        <v>110833.33333333336</v>
      </c>
      <c r="AH9" s="17">
        <f t="shared" si="50"/>
        <v>18333.333333333332</v>
      </c>
      <c r="AI9" s="17">
        <f t="shared" si="50"/>
        <v>18333.333333333332</v>
      </c>
      <c r="AJ9" s="17">
        <f t="shared" si="50"/>
        <v>18333.333333333332</v>
      </c>
      <c r="AK9" s="17">
        <f t="shared" si="50"/>
        <v>18333.333333333332</v>
      </c>
      <c r="AL9" s="17">
        <f t="shared" si="50"/>
        <v>18333.333333333332</v>
      </c>
      <c r="AM9" s="17">
        <f t="shared" si="50"/>
        <v>18333.333333333332</v>
      </c>
      <c r="AN9" s="17">
        <f t="shared" si="50"/>
        <v>18333.333333333332</v>
      </c>
      <c r="AO9" s="17">
        <f t="shared" si="50"/>
        <v>18333.333333333332</v>
      </c>
      <c r="AP9" s="17">
        <f t="shared" si="50"/>
        <v>22916.666666666664</v>
      </c>
      <c r="AR9" s="17">
        <f t="shared" ref="AR9:AV9" si="51">SUBTOTAL(9,AR5:AR8)</f>
        <v>0</v>
      </c>
      <c r="AS9" s="17">
        <f t="shared" si="51"/>
        <v>0</v>
      </c>
      <c r="AT9" s="17">
        <f t="shared" si="51"/>
        <v>0</v>
      </c>
      <c r="AU9" s="17">
        <f t="shared" si="51"/>
        <v>0</v>
      </c>
      <c r="AV9" s="17">
        <f t="shared" si="51"/>
        <v>0</v>
      </c>
      <c r="AX9" s="17">
        <f t="shared" ref="AX9:BB9" si="52">SUBTOTAL(9,AX5:AX8)</f>
        <v>852916.66666666686</v>
      </c>
      <c r="AY9" s="17">
        <f t="shared" si="52"/>
        <v>13750</v>
      </c>
      <c r="AZ9" s="17">
        <f t="shared" si="52"/>
        <v>174166.66666666666</v>
      </c>
      <c r="BA9" s="17">
        <f t="shared" si="52"/>
        <v>332500.00000000006</v>
      </c>
      <c r="BB9" s="17">
        <f t="shared" si="52"/>
        <v>332500.00000000006</v>
      </c>
      <c r="BD9" s="17">
        <f t="shared" ref="BD9:BH9" si="53">SUBTOTAL(9,BD5:BD8)</f>
        <v>502083.33333333326</v>
      </c>
      <c r="BE9" s="17">
        <f t="shared" si="53"/>
        <v>332500.00000000006</v>
      </c>
      <c r="BF9" s="17">
        <f t="shared" si="53"/>
        <v>55000</v>
      </c>
      <c r="BG9" s="17">
        <f t="shared" si="53"/>
        <v>55000</v>
      </c>
      <c r="BH9" s="17">
        <f t="shared" si="53"/>
        <v>59583.333333333328</v>
      </c>
      <c r="BJ9" s="17">
        <f t="shared" ref="BJ9:BN9" si="54">SUBTOTAL(9,BJ5:BJ8)</f>
        <v>630000</v>
      </c>
      <c r="BK9" s="17">
        <f t="shared" si="54"/>
        <v>107500</v>
      </c>
      <c r="BL9" s="17">
        <f t="shared" si="54"/>
        <v>157500</v>
      </c>
      <c r="BM9" s="17">
        <f t="shared" si="54"/>
        <v>170000</v>
      </c>
      <c r="BN9" s="17">
        <f t="shared" si="54"/>
        <v>195000</v>
      </c>
      <c r="BP9" s="17">
        <f t="shared" ref="BP9" si="55">SUBTOTAL(9,BP5:BP8)</f>
        <v>1117500</v>
      </c>
      <c r="BQ9" s="17">
        <f t="shared" ref="BQ9:BT9" si="56">SUBTOTAL(9,BQ5:BQ8)</f>
        <v>207500</v>
      </c>
      <c r="BR9" s="17">
        <f t="shared" si="56"/>
        <v>282500</v>
      </c>
      <c r="BS9" s="17">
        <f t="shared" si="56"/>
        <v>295000</v>
      </c>
      <c r="BT9" s="17">
        <f t="shared" si="56"/>
        <v>332500</v>
      </c>
      <c r="BV9" s="17">
        <f t="shared" ref="BV9" si="57">SUBTOTAL(9,BV5:BV8)</f>
        <v>1717500</v>
      </c>
      <c r="BW9" s="17">
        <f t="shared" ref="BW9:BZ9" si="58">SUBTOTAL(9,BW5:BW8)</f>
        <v>357500</v>
      </c>
      <c r="BX9" s="17">
        <f t="shared" si="58"/>
        <v>420000</v>
      </c>
      <c r="BY9" s="17">
        <f t="shared" si="58"/>
        <v>457500</v>
      </c>
      <c r="BZ9" s="17">
        <f t="shared" si="58"/>
        <v>482500</v>
      </c>
    </row>
    <row r="10" spans="1:78" s="16" customFormat="1" x14ac:dyDescent="0.25"/>
    <row r="11" spans="1:78" s="16" customFormat="1" x14ac:dyDescent="0.25">
      <c r="B11" s="16" t="s">
        <v>19</v>
      </c>
      <c r="C11" s="20">
        <f>+'G&amp;A'!C11</f>
        <v>0.04</v>
      </c>
      <c r="E11" s="16">
        <f>(E$5+E$6)*$C11</f>
        <v>0</v>
      </c>
      <c r="F11" s="16">
        <f t="shared" ref="F11:P15" si="59">(F$5+F$6)*$C11</f>
        <v>0</v>
      </c>
      <c r="G11" s="16">
        <f t="shared" si="59"/>
        <v>0</v>
      </c>
      <c r="H11" s="16">
        <f t="shared" si="59"/>
        <v>0</v>
      </c>
      <c r="I11" s="16">
        <f t="shared" si="59"/>
        <v>0</v>
      </c>
      <c r="J11" s="16">
        <f t="shared" si="59"/>
        <v>0</v>
      </c>
      <c r="K11" s="16">
        <f t="shared" si="59"/>
        <v>0</v>
      </c>
      <c r="L11" s="16">
        <f t="shared" si="59"/>
        <v>0</v>
      </c>
      <c r="M11" s="16">
        <f t="shared" si="59"/>
        <v>0</v>
      </c>
      <c r="N11" s="16">
        <f t="shared" si="59"/>
        <v>0</v>
      </c>
      <c r="O11" s="16">
        <f t="shared" si="59"/>
        <v>0</v>
      </c>
      <c r="P11" s="16">
        <f t="shared" si="59"/>
        <v>0</v>
      </c>
      <c r="R11" s="16">
        <f>(R$5+R$6)*$C11</f>
        <v>183.33333333333331</v>
      </c>
      <c r="S11" s="16">
        <f t="shared" ref="S11:AH15" si="60">(S$5+S$6)*$C11</f>
        <v>183.33333333333331</v>
      </c>
      <c r="T11" s="16">
        <f t="shared" si="60"/>
        <v>183.33333333333331</v>
      </c>
      <c r="U11" s="16">
        <f t="shared" si="60"/>
        <v>1266.6666666666665</v>
      </c>
      <c r="V11" s="16">
        <f t="shared" si="60"/>
        <v>1933.3333333333328</v>
      </c>
      <c r="W11" s="16">
        <f t="shared" si="60"/>
        <v>3766.666666666667</v>
      </c>
      <c r="X11" s="16">
        <f t="shared" si="60"/>
        <v>4433.3333333333348</v>
      </c>
      <c r="Y11" s="16">
        <f t="shared" si="60"/>
        <v>4433.3333333333348</v>
      </c>
      <c r="Z11" s="16">
        <f t="shared" si="60"/>
        <v>4433.3333333333348</v>
      </c>
      <c r="AA11" s="16">
        <f t="shared" si="60"/>
        <v>4433.3333333333348</v>
      </c>
      <c r="AB11" s="16">
        <f t="shared" si="60"/>
        <v>4433.3333333333348</v>
      </c>
      <c r="AC11" s="16">
        <f t="shared" si="60"/>
        <v>4433.3333333333348</v>
      </c>
      <c r="AE11" s="16">
        <f t="shared" si="60"/>
        <v>4433.3333333333348</v>
      </c>
      <c r="AF11" s="16">
        <f t="shared" si="60"/>
        <v>4433.3333333333348</v>
      </c>
      <c r="AG11" s="16">
        <f t="shared" si="60"/>
        <v>4433.3333333333348</v>
      </c>
      <c r="AH11" s="16">
        <f t="shared" si="60"/>
        <v>733.33333333333326</v>
      </c>
      <c r="AI11" s="16">
        <f t="shared" ref="AE11:AP15" si="61">(AI$5+AI$6)*$C11</f>
        <v>733.33333333333326</v>
      </c>
      <c r="AJ11" s="16">
        <f t="shared" si="61"/>
        <v>733.33333333333326</v>
      </c>
      <c r="AK11" s="16">
        <f t="shared" si="61"/>
        <v>733.33333333333326</v>
      </c>
      <c r="AL11" s="16">
        <f t="shared" si="61"/>
        <v>733.33333333333326</v>
      </c>
      <c r="AM11" s="16">
        <f t="shared" si="61"/>
        <v>733.33333333333326</v>
      </c>
      <c r="AN11" s="16">
        <f t="shared" si="61"/>
        <v>733.33333333333326</v>
      </c>
      <c r="AO11" s="16">
        <f t="shared" si="61"/>
        <v>733.33333333333326</v>
      </c>
      <c r="AP11" s="16">
        <f t="shared" si="61"/>
        <v>916.66666666666663</v>
      </c>
      <c r="AR11" s="16">
        <f t="shared" ref="AR11:AR15" si="62">SUM(E11:P11)</f>
        <v>0</v>
      </c>
      <c r="AS11" s="16">
        <f t="shared" ref="AS11:AS15" si="63">SUM(E11:G11)</f>
        <v>0</v>
      </c>
      <c r="AT11" s="16">
        <f t="shared" ref="AT11:AT15" si="64">SUM(H11:J11)</f>
        <v>0</v>
      </c>
      <c r="AU11" s="16">
        <f t="shared" ref="AU11:AU15" si="65">SUM(K11:M11)</f>
        <v>0</v>
      </c>
      <c r="AV11" s="16">
        <f t="shared" ref="AV11:AV15" si="66">SUM(N11:P11)</f>
        <v>0</v>
      </c>
      <c r="AX11" s="16">
        <f t="shared" ref="AX11:AX15" si="67">SUM(R11:AC11)</f>
        <v>34116.666666666679</v>
      </c>
      <c r="AY11" s="16">
        <f t="shared" ref="AY11:AY15" si="68">SUM(R11:T11)</f>
        <v>550</v>
      </c>
      <c r="AZ11" s="16">
        <f t="shared" ref="AZ11:AZ15" si="69">SUM(U11:W11)</f>
        <v>6966.6666666666661</v>
      </c>
      <c r="BA11" s="16">
        <f t="shared" ref="BA11:BA15" si="70">SUM(X11:Z11)</f>
        <v>13300.000000000004</v>
      </c>
      <c r="BB11" s="16">
        <f t="shared" ref="BB11:BB15" si="71">SUM(AA11:AC11)</f>
        <v>13300.000000000004</v>
      </c>
      <c r="BD11" s="16">
        <f t="shared" ref="BD11:BD15" si="72">SUM(AE11:AP11)</f>
        <v>20083.333333333336</v>
      </c>
      <c r="BE11" s="16">
        <f t="shared" ref="BE11:BE15" si="73">SUM(AE11:AG11)</f>
        <v>13300.000000000004</v>
      </c>
      <c r="BF11" s="16">
        <f t="shared" ref="BF11:BF15" si="74">SUM(AH11:AJ11)</f>
        <v>2200</v>
      </c>
      <c r="BG11" s="16">
        <f t="shared" ref="BG11:BG15" si="75">SUM(AK11:AM11)</f>
        <v>2200</v>
      </c>
      <c r="BH11" s="16">
        <f t="shared" ref="BH11:BH15" si="76">SUM(AN11:AP11)</f>
        <v>2383.333333333333</v>
      </c>
      <c r="BJ11" s="16">
        <f t="shared" ref="BJ11:BJ15" si="77">SUM(BK11:BN11)</f>
        <v>25200</v>
      </c>
      <c r="BK11" s="16">
        <f t="shared" ref="BK11:BN15" si="78">(BK$5+BK$6)*$C11</f>
        <v>4300</v>
      </c>
      <c r="BL11" s="16">
        <f t="shared" si="78"/>
        <v>6300</v>
      </c>
      <c r="BM11" s="16">
        <f t="shared" si="78"/>
        <v>6800</v>
      </c>
      <c r="BN11" s="16">
        <f t="shared" si="78"/>
        <v>7800</v>
      </c>
      <c r="BP11" s="16">
        <f t="shared" ref="BP11:BP15" si="79">SUM(BQ11:BT11)</f>
        <v>44700</v>
      </c>
      <c r="BQ11" s="16">
        <f t="shared" ref="BQ11:BT15" si="80">(BQ$5+BQ$6)*$C11</f>
        <v>8300</v>
      </c>
      <c r="BR11" s="16">
        <f t="shared" si="80"/>
        <v>11300</v>
      </c>
      <c r="BS11" s="16">
        <f t="shared" si="80"/>
        <v>11800</v>
      </c>
      <c r="BT11" s="16">
        <f t="shared" si="80"/>
        <v>13300</v>
      </c>
      <c r="BV11" s="16">
        <f t="shared" ref="BV11:BV15" si="81">SUM(BW11:BZ11)</f>
        <v>68700</v>
      </c>
      <c r="BW11" s="16">
        <f t="shared" ref="BW11:BZ15" si="82">(BW$5+BW$6)*$C11</f>
        <v>14300</v>
      </c>
      <c r="BX11" s="16">
        <f t="shared" si="82"/>
        <v>16800</v>
      </c>
      <c r="BY11" s="16">
        <f t="shared" si="82"/>
        <v>18300</v>
      </c>
      <c r="BZ11" s="16">
        <f t="shared" si="82"/>
        <v>19300</v>
      </c>
    </row>
    <row r="12" spans="1:78" s="16" customFormat="1" x14ac:dyDescent="0.25">
      <c r="B12" s="16" t="s">
        <v>18</v>
      </c>
      <c r="C12" s="20">
        <f>+'G&amp;A'!C12</f>
        <v>7.8E-2</v>
      </c>
      <c r="E12" s="16">
        <f t="shared" ref="E12:R15" si="83">(E$5+E$6)*$C12</f>
        <v>0</v>
      </c>
      <c r="F12" s="16">
        <f t="shared" si="59"/>
        <v>0</v>
      </c>
      <c r="G12" s="16">
        <f t="shared" si="59"/>
        <v>0</v>
      </c>
      <c r="H12" s="16">
        <f t="shared" si="59"/>
        <v>0</v>
      </c>
      <c r="I12" s="16">
        <f t="shared" si="59"/>
        <v>0</v>
      </c>
      <c r="J12" s="16">
        <f t="shared" si="59"/>
        <v>0</v>
      </c>
      <c r="K12" s="16">
        <f t="shared" si="59"/>
        <v>0</v>
      </c>
      <c r="L12" s="16">
        <f t="shared" si="59"/>
        <v>0</v>
      </c>
      <c r="M12" s="16">
        <f t="shared" si="59"/>
        <v>0</v>
      </c>
      <c r="N12" s="16">
        <f t="shared" si="59"/>
        <v>0</v>
      </c>
      <c r="O12" s="16">
        <f t="shared" si="59"/>
        <v>0</v>
      </c>
      <c r="P12" s="16">
        <f t="shared" si="59"/>
        <v>0</v>
      </c>
      <c r="R12" s="16">
        <f t="shared" si="83"/>
        <v>357.5</v>
      </c>
      <c r="S12" s="16">
        <f t="shared" si="60"/>
        <v>357.5</v>
      </c>
      <c r="T12" s="16">
        <f t="shared" si="60"/>
        <v>357.5</v>
      </c>
      <c r="U12" s="16">
        <f t="shared" si="60"/>
        <v>2470</v>
      </c>
      <c r="V12" s="16">
        <f t="shared" si="60"/>
        <v>3769.9999999999991</v>
      </c>
      <c r="W12" s="16">
        <f t="shared" si="60"/>
        <v>7345</v>
      </c>
      <c r="X12" s="16">
        <f t="shared" si="60"/>
        <v>8645.0000000000018</v>
      </c>
      <c r="Y12" s="16">
        <f t="shared" si="60"/>
        <v>8645.0000000000018</v>
      </c>
      <c r="Z12" s="16">
        <f t="shared" si="60"/>
        <v>8645.0000000000018</v>
      </c>
      <c r="AA12" s="16">
        <f t="shared" si="60"/>
        <v>8645.0000000000018</v>
      </c>
      <c r="AB12" s="16">
        <f t="shared" si="60"/>
        <v>8645.0000000000018</v>
      </c>
      <c r="AC12" s="16">
        <f t="shared" si="60"/>
        <v>8645.0000000000018</v>
      </c>
      <c r="AE12" s="16">
        <f t="shared" si="61"/>
        <v>8645.0000000000018</v>
      </c>
      <c r="AF12" s="16">
        <f t="shared" si="61"/>
        <v>8645.0000000000018</v>
      </c>
      <c r="AG12" s="16">
        <f t="shared" si="61"/>
        <v>8645.0000000000018</v>
      </c>
      <c r="AH12" s="16">
        <f t="shared" si="61"/>
        <v>1430</v>
      </c>
      <c r="AI12" s="16">
        <f t="shared" si="61"/>
        <v>1430</v>
      </c>
      <c r="AJ12" s="16">
        <f t="shared" si="61"/>
        <v>1430</v>
      </c>
      <c r="AK12" s="16">
        <f t="shared" si="61"/>
        <v>1430</v>
      </c>
      <c r="AL12" s="16">
        <f t="shared" si="61"/>
        <v>1430</v>
      </c>
      <c r="AM12" s="16">
        <f t="shared" si="61"/>
        <v>1430</v>
      </c>
      <c r="AN12" s="16">
        <f t="shared" si="61"/>
        <v>1430</v>
      </c>
      <c r="AO12" s="16">
        <f t="shared" si="61"/>
        <v>1430</v>
      </c>
      <c r="AP12" s="16">
        <f t="shared" si="61"/>
        <v>1787.4999999999998</v>
      </c>
      <c r="AR12" s="16">
        <f t="shared" si="62"/>
        <v>0</v>
      </c>
      <c r="AS12" s="16">
        <f t="shared" si="63"/>
        <v>0</v>
      </c>
      <c r="AT12" s="16">
        <f t="shared" si="64"/>
        <v>0</v>
      </c>
      <c r="AU12" s="16">
        <f t="shared" si="65"/>
        <v>0</v>
      </c>
      <c r="AV12" s="16">
        <f t="shared" si="66"/>
        <v>0</v>
      </c>
      <c r="AX12" s="16">
        <f t="shared" si="67"/>
        <v>66527.5</v>
      </c>
      <c r="AY12" s="16">
        <f t="shared" si="68"/>
        <v>1072.5</v>
      </c>
      <c r="AZ12" s="16">
        <f t="shared" si="69"/>
        <v>13585</v>
      </c>
      <c r="BA12" s="16">
        <f t="shared" si="70"/>
        <v>25935.000000000007</v>
      </c>
      <c r="BB12" s="16">
        <f t="shared" si="71"/>
        <v>25935.000000000007</v>
      </c>
      <c r="BD12" s="16">
        <f t="shared" si="72"/>
        <v>39162.500000000007</v>
      </c>
      <c r="BE12" s="16">
        <f t="shared" si="73"/>
        <v>25935.000000000007</v>
      </c>
      <c r="BF12" s="16">
        <f t="shared" si="74"/>
        <v>4290</v>
      </c>
      <c r="BG12" s="16">
        <f t="shared" si="75"/>
        <v>4290</v>
      </c>
      <c r="BH12" s="16">
        <f t="shared" si="76"/>
        <v>4647.5</v>
      </c>
      <c r="BJ12" s="16">
        <f t="shared" si="77"/>
        <v>49140</v>
      </c>
      <c r="BK12" s="16">
        <f t="shared" si="78"/>
        <v>8385</v>
      </c>
      <c r="BL12" s="16">
        <f t="shared" si="78"/>
        <v>12285</v>
      </c>
      <c r="BM12" s="16">
        <f t="shared" si="78"/>
        <v>13260</v>
      </c>
      <c r="BN12" s="16">
        <f t="shared" si="78"/>
        <v>15210</v>
      </c>
      <c r="BP12" s="16">
        <f t="shared" si="79"/>
        <v>87165</v>
      </c>
      <c r="BQ12" s="16">
        <f t="shared" si="80"/>
        <v>16185</v>
      </c>
      <c r="BR12" s="16">
        <f t="shared" si="80"/>
        <v>22035</v>
      </c>
      <c r="BS12" s="16">
        <f t="shared" si="80"/>
        <v>23010</v>
      </c>
      <c r="BT12" s="16">
        <f t="shared" si="80"/>
        <v>25935</v>
      </c>
      <c r="BV12" s="16">
        <f t="shared" si="81"/>
        <v>133965</v>
      </c>
      <c r="BW12" s="16">
        <f t="shared" si="82"/>
        <v>27885</v>
      </c>
      <c r="BX12" s="16">
        <f t="shared" si="82"/>
        <v>32760</v>
      </c>
      <c r="BY12" s="16">
        <f t="shared" si="82"/>
        <v>35685</v>
      </c>
      <c r="BZ12" s="16">
        <f t="shared" si="82"/>
        <v>37635</v>
      </c>
    </row>
    <row r="13" spans="1:78" s="16" customFormat="1" x14ac:dyDescent="0.25">
      <c r="B13" s="16" t="s">
        <v>20</v>
      </c>
      <c r="C13" s="20">
        <f>+'G&amp;A'!C13</f>
        <v>0.12</v>
      </c>
      <c r="E13" s="16">
        <f t="shared" si="83"/>
        <v>0</v>
      </c>
      <c r="F13" s="16">
        <f t="shared" si="59"/>
        <v>0</v>
      </c>
      <c r="G13" s="16">
        <f t="shared" si="59"/>
        <v>0</v>
      </c>
      <c r="H13" s="16">
        <f t="shared" si="59"/>
        <v>0</v>
      </c>
      <c r="I13" s="16">
        <f t="shared" si="59"/>
        <v>0</v>
      </c>
      <c r="J13" s="16">
        <f t="shared" si="59"/>
        <v>0</v>
      </c>
      <c r="K13" s="16">
        <f t="shared" si="59"/>
        <v>0</v>
      </c>
      <c r="L13" s="16">
        <f t="shared" si="59"/>
        <v>0</v>
      </c>
      <c r="M13" s="16">
        <f t="shared" si="59"/>
        <v>0</v>
      </c>
      <c r="N13" s="16">
        <f t="shared" si="59"/>
        <v>0</v>
      </c>
      <c r="O13" s="16">
        <f t="shared" si="59"/>
        <v>0</v>
      </c>
      <c r="P13" s="16">
        <f t="shared" si="59"/>
        <v>0</v>
      </c>
      <c r="R13" s="16">
        <f t="shared" si="83"/>
        <v>550</v>
      </c>
      <c r="S13" s="16">
        <f t="shared" si="60"/>
        <v>550</v>
      </c>
      <c r="T13" s="16">
        <f t="shared" si="60"/>
        <v>550</v>
      </c>
      <c r="U13" s="16">
        <f t="shared" si="60"/>
        <v>3799.9999999999995</v>
      </c>
      <c r="V13" s="16">
        <f t="shared" si="60"/>
        <v>5799.9999999999982</v>
      </c>
      <c r="W13" s="16">
        <f t="shared" si="60"/>
        <v>11300</v>
      </c>
      <c r="X13" s="16">
        <f t="shared" si="60"/>
        <v>13300.000000000002</v>
      </c>
      <c r="Y13" s="16">
        <f t="shared" si="60"/>
        <v>13300.000000000002</v>
      </c>
      <c r="Z13" s="16">
        <f t="shared" si="60"/>
        <v>13300.000000000002</v>
      </c>
      <c r="AA13" s="16">
        <f t="shared" si="60"/>
        <v>13300.000000000002</v>
      </c>
      <c r="AB13" s="16">
        <f t="shared" si="60"/>
        <v>13300.000000000002</v>
      </c>
      <c r="AC13" s="16">
        <f t="shared" si="60"/>
        <v>13300.000000000002</v>
      </c>
      <c r="AE13" s="16">
        <f t="shared" si="61"/>
        <v>13300.000000000002</v>
      </c>
      <c r="AF13" s="16">
        <f t="shared" si="61"/>
        <v>13300.000000000002</v>
      </c>
      <c r="AG13" s="16">
        <f t="shared" si="61"/>
        <v>13300.000000000002</v>
      </c>
      <c r="AH13" s="16">
        <f t="shared" si="61"/>
        <v>2200</v>
      </c>
      <c r="AI13" s="16">
        <f t="shared" si="61"/>
        <v>2200</v>
      </c>
      <c r="AJ13" s="16">
        <f t="shared" si="61"/>
        <v>2200</v>
      </c>
      <c r="AK13" s="16">
        <f t="shared" si="61"/>
        <v>2200</v>
      </c>
      <c r="AL13" s="16">
        <f t="shared" si="61"/>
        <v>2200</v>
      </c>
      <c r="AM13" s="16">
        <f t="shared" si="61"/>
        <v>2200</v>
      </c>
      <c r="AN13" s="16">
        <f t="shared" si="61"/>
        <v>2200</v>
      </c>
      <c r="AO13" s="16">
        <f t="shared" si="61"/>
        <v>2200</v>
      </c>
      <c r="AP13" s="16">
        <f t="shared" si="61"/>
        <v>2749.9999999999995</v>
      </c>
      <c r="AR13" s="16">
        <f t="shared" si="62"/>
        <v>0</v>
      </c>
      <c r="AS13" s="16">
        <f t="shared" si="63"/>
        <v>0</v>
      </c>
      <c r="AT13" s="16">
        <f t="shared" si="64"/>
        <v>0</v>
      </c>
      <c r="AU13" s="16">
        <f t="shared" si="65"/>
        <v>0</v>
      </c>
      <c r="AV13" s="16">
        <f t="shared" si="66"/>
        <v>0</v>
      </c>
      <c r="AX13" s="16">
        <f t="shared" si="67"/>
        <v>102350</v>
      </c>
      <c r="AY13" s="16">
        <f t="shared" si="68"/>
        <v>1650</v>
      </c>
      <c r="AZ13" s="16">
        <f t="shared" si="69"/>
        <v>20900</v>
      </c>
      <c r="BA13" s="16">
        <f t="shared" si="70"/>
        <v>39900.000000000007</v>
      </c>
      <c r="BB13" s="16">
        <f t="shared" si="71"/>
        <v>39900.000000000007</v>
      </c>
      <c r="BD13" s="16">
        <f t="shared" si="72"/>
        <v>60250.000000000007</v>
      </c>
      <c r="BE13" s="16">
        <f t="shared" si="73"/>
        <v>39900.000000000007</v>
      </c>
      <c r="BF13" s="16">
        <f t="shared" si="74"/>
        <v>6600</v>
      </c>
      <c r="BG13" s="16">
        <f t="shared" si="75"/>
        <v>6600</v>
      </c>
      <c r="BH13" s="16">
        <f t="shared" si="76"/>
        <v>7150</v>
      </c>
      <c r="BJ13" s="16">
        <f t="shared" si="77"/>
        <v>75600</v>
      </c>
      <c r="BK13" s="16">
        <f t="shared" si="78"/>
        <v>12900</v>
      </c>
      <c r="BL13" s="16">
        <f t="shared" si="78"/>
        <v>18900</v>
      </c>
      <c r="BM13" s="16">
        <f t="shared" si="78"/>
        <v>20400</v>
      </c>
      <c r="BN13" s="16">
        <f t="shared" si="78"/>
        <v>23400</v>
      </c>
      <c r="BP13" s="16">
        <f t="shared" si="79"/>
        <v>134100</v>
      </c>
      <c r="BQ13" s="16">
        <f t="shared" si="80"/>
        <v>24900</v>
      </c>
      <c r="BR13" s="16">
        <f t="shared" si="80"/>
        <v>33900</v>
      </c>
      <c r="BS13" s="16">
        <f t="shared" si="80"/>
        <v>35400</v>
      </c>
      <c r="BT13" s="16">
        <f t="shared" si="80"/>
        <v>39900</v>
      </c>
      <c r="BV13" s="16">
        <f t="shared" si="81"/>
        <v>206100</v>
      </c>
      <c r="BW13" s="16">
        <f t="shared" si="82"/>
        <v>42900</v>
      </c>
      <c r="BX13" s="16">
        <f t="shared" si="82"/>
        <v>50400</v>
      </c>
      <c r="BY13" s="16">
        <f t="shared" si="82"/>
        <v>54900</v>
      </c>
      <c r="BZ13" s="16">
        <f t="shared" si="82"/>
        <v>57900</v>
      </c>
    </row>
    <row r="14" spans="1:78" s="16" customFormat="1" x14ac:dyDescent="0.25">
      <c r="B14" s="16" t="s">
        <v>21</v>
      </c>
      <c r="C14" s="20">
        <f>+'G&amp;A'!C14</f>
        <v>3.5000000000000003E-2</v>
      </c>
      <c r="E14" s="16">
        <f t="shared" si="83"/>
        <v>0</v>
      </c>
      <c r="F14" s="16">
        <f t="shared" si="59"/>
        <v>0</v>
      </c>
      <c r="G14" s="16">
        <f t="shared" si="59"/>
        <v>0</v>
      </c>
      <c r="H14" s="16">
        <f t="shared" si="59"/>
        <v>0</v>
      </c>
      <c r="I14" s="16">
        <f t="shared" si="59"/>
        <v>0</v>
      </c>
      <c r="J14" s="16">
        <f t="shared" si="59"/>
        <v>0</v>
      </c>
      <c r="K14" s="16">
        <f t="shared" si="59"/>
        <v>0</v>
      </c>
      <c r="L14" s="16">
        <f t="shared" si="59"/>
        <v>0</v>
      </c>
      <c r="M14" s="16">
        <f t="shared" si="59"/>
        <v>0</v>
      </c>
      <c r="N14" s="16">
        <f t="shared" si="59"/>
        <v>0</v>
      </c>
      <c r="O14" s="16">
        <f t="shared" si="59"/>
        <v>0</v>
      </c>
      <c r="P14" s="16">
        <f t="shared" si="59"/>
        <v>0</v>
      </c>
      <c r="R14" s="16">
        <f t="shared" si="83"/>
        <v>160.41666666666666</v>
      </c>
      <c r="S14" s="16">
        <f t="shared" si="60"/>
        <v>160.41666666666666</v>
      </c>
      <c r="T14" s="16">
        <f t="shared" si="60"/>
        <v>160.41666666666666</v>
      </c>
      <c r="U14" s="16">
        <f t="shared" si="60"/>
        <v>1108.3333333333333</v>
      </c>
      <c r="V14" s="16">
        <f t="shared" si="60"/>
        <v>1691.6666666666665</v>
      </c>
      <c r="W14" s="16">
        <f t="shared" si="60"/>
        <v>3295.8333333333339</v>
      </c>
      <c r="X14" s="16">
        <f t="shared" si="60"/>
        <v>3879.1666666666679</v>
      </c>
      <c r="Y14" s="16">
        <f t="shared" si="60"/>
        <v>3879.1666666666679</v>
      </c>
      <c r="Z14" s="16">
        <f t="shared" si="60"/>
        <v>3879.1666666666679</v>
      </c>
      <c r="AA14" s="16">
        <f t="shared" si="60"/>
        <v>3879.1666666666679</v>
      </c>
      <c r="AB14" s="16">
        <f t="shared" si="60"/>
        <v>3879.1666666666679</v>
      </c>
      <c r="AC14" s="16">
        <f t="shared" si="60"/>
        <v>3879.1666666666679</v>
      </c>
      <c r="AE14" s="16">
        <f t="shared" si="61"/>
        <v>3879.1666666666679</v>
      </c>
      <c r="AF14" s="16">
        <f t="shared" si="61"/>
        <v>3879.1666666666679</v>
      </c>
      <c r="AG14" s="16">
        <f t="shared" si="61"/>
        <v>3879.1666666666679</v>
      </c>
      <c r="AH14" s="16">
        <f t="shared" si="61"/>
        <v>641.66666666666663</v>
      </c>
      <c r="AI14" s="16">
        <f t="shared" si="61"/>
        <v>641.66666666666663</v>
      </c>
      <c r="AJ14" s="16">
        <f t="shared" si="61"/>
        <v>641.66666666666663</v>
      </c>
      <c r="AK14" s="16">
        <f t="shared" si="61"/>
        <v>641.66666666666663</v>
      </c>
      <c r="AL14" s="16">
        <f t="shared" si="61"/>
        <v>641.66666666666663</v>
      </c>
      <c r="AM14" s="16">
        <f t="shared" si="61"/>
        <v>641.66666666666663</v>
      </c>
      <c r="AN14" s="16">
        <f t="shared" si="61"/>
        <v>641.66666666666663</v>
      </c>
      <c r="AO14" s="16">
        <f t="shared" si="61"/>
        <v>641.66666666666663</v>
      </c>
      <c r="AP14" s="16">
        <f t="shared" si="61"/>
        <v>802.08333333333337</v>
      </c>
      <c r="AR14" s="16">
        <f t="shared" si="62"/>
        <v>0</v>
      </c>
      <c r="AS14" s="16">
        <f t="shared" si="63"/>
        <v>0</v>
      </c>
      <c r="AT14" s="16">
        <f t="shared" si="64"/>
        <v>0</v>
      </c>
      <c r="AU14" s="16">
        <f t="shared" si="65"/>
        <v>0</v>
      </c>
      <c r="AV14" s="16">
        <f t="shared" si="66"/>
        <v>0</v>
      </c>
      <c r="AX14" s="16">
        <f t="shared" si="67"/>
        <v>29852.083333333339</v>
      </c>
      <c r="AY14" s="16">
        <f t="shared" si="68"/>
        <v>481.25</v>
      </c>
      <c r="AZ14" s="16">
        <f t="shared" si="69"/>
        <v>6095.8333333333339</v>
      </c>
      <c r="BA14" s="16">
        <f t="shared" si="70"/>
        <v>11637.500000000004</v>
      </c>
      <c r="BB14" s="16">
        <f t="shared" si="71"/>
        <v>11637.500000000004</v>
      </c>
      <c r="BD14" s="16">
        <f t="shared" si="72"/>
        <v>17572.916666666664</v>
      </c>
      <c r="BE14" s="16">
        <f t="shared" si="73"/>
        <v>11637.500000000004</v>
      </c>
      <c r="BF14" s="16">
        <f t="shared" si="74"/>
        <v>1925</v>
      </c>
      <c r="BG14" s="16">
        <f t="shared" si="75"/>
        <v>1925</v>
      </c>
      <c r="BH14" s="16">
        <f t="shared" si="76"/>
        <v>2085.4166666666665</v>
      </c>
      <c r="BJ14" s="16">
        <f t="shared" si="77"/>
        <v>22050.000000000004</v>
      </c>
      <c r="BK14" s="16">
        <f t="shared" si="78"/>
        <v>3762.5000000000005</v>
      </c>
      <c r="BL14" s="16">
        <f t="shared" si="78"/>
        <v>5512.5000000000009</v>
      </c>
      <c r="BM14" s="16">
        <f t="shared" si="78"/>
        <v>5950.0000000000009</v>
      </c>
      <c r="BN14" s="16">
        <f t="shared" si="78"/>
        <v>6825.0000000000009</v>
      </c>
      <c r="BP14" s="16">
        <f t="shared" si="79"/>
        <v>39112.500000000007</v>
      </c>
      <c r="BQ14" s="16">
        <f t="shared" si="80"/>
        <v>7262.5000000000009</v>
      </c>
      <c r="BR14" s="16">
        <f t="shared" si="80"/>
        <v>9887.5000000000018</v>
      </c>
      <c r="BS14" s="16">
        <f t="shared" si="80"/>
        <v>10325.000000000002</v>
      </c>
      <c r="BT14" s="16">
        <f t="shared" si="80"/>
        <v>11637.500000000002</v>
      </c>
      <c r="BV14" s="16">
        <f t="shared" si="81"/>
        <v>60112.500000000007</v>
      </c>
      <c r="BW14" s="16">
        <f t="shared" si="82"/>
        <v>12512.500000000002</v>
      </c>
      <c r="BX14" s="16">
        <f t="shared" si="82"/>
        <v>14700.000000000002</v>
      </c>
      <c r="BY14" s="16">
        <f t="shared" si="82"/>
        <v>16012.500000000002</v>
      </c>
      <c r="BZ14" s="16">
        <f t="shared" si="82"/>
        <v>16887.5</v>
      </c>
    </row>
    <row r="15" spans="1:78" s="16" customFormat="1" x14ac:dyDescent="0.25">
      <c r="B15" s="16" t="s">
        <v>22</v>
      </c>
      <c r="C15" s="20">
        <f>+'G&amp;A'!C15</f>
        <v>0</v>
      </c>
      <c r="E15" s="16">
        <f t="shared" si="83"/>
        <v>0</v>
      </c>
      <c r="F15" s="16">
        <f t="shared" si="59"/>
        <v>0</v>
      </c>
      <c r="G15" s="16">
        <f t="shared" si="59"/>
        <v>0</v>
      </c>
      <c r="H15" s="16">
        <f t="shared" si="59"/>
        <v>0</v>
      </c>
      <c r="I15" s="16">
        <f t="shared" si="59"/>
        <v>0</v>
      </c>
      <c r="J15" s="16">
        <f t="shared" si="59"/>
        <v>0</v>
      </c>
      <c r="K15" s="16">
        <f t="shared" si="59"/>
        <v>0</v>
      </c>
      <c r="L15" s="16">
        <f t="shared" si="59"/>
        <v>0</v>
      </c>
      <c r="M15" s="16">
        <f t="shared" si="59"/>
        <v>0</v>
      </c>
      <c r="N15" s="16">
        <f t="shared" si="59"/>
        <v>0</v>
      </c>
      <c r="O15" s="16">
        <f t="shared" si="59"/>
        <v>0</v>
      </c>
      <c r="P15" s="16">
        <f t="shared" si="59"/>
        <v>0</v>
      </c>
      <c r="R15" s="16">
        <f t="shared" si="83"/>
        <v>0</v>
      </c>
      <c r="S15" s="16">
        <f t="shared" si="60"/>
        <v>0</v>
      </c>
      <c r="T15" s="16">
        <f t="shared" si="60"/>
        <v>0</v>
      </c>
      <c r="U15" s="16">
        <f t="shared" si="60"/>
        <v>0</v>
      </c>
      <c r="V15" s="16">
        <f t="shared" si="60"/>
        <v>0</v>
      </c>
      <c r="W15" s="16">
        <f t="shared" si="60"/>
        <v>0</v>
      </c>
      <c r="X15" s="16">
        <f t="shared" si="60"/>
        <v>0</v>
      </c>
      <c r="Y15" s="16">
        <f t="shared" si="60"/>
        <v>0</v>
      </c>
      <c r="Z15" s="16">
        <f t="shared" si="60"/>
        <v>0</v>
      </c>
      <c r="AA15" s="16">
        <f t="shared" si="60"/>
        <v>0</v>
      </c>
      <c r="AB15" s="16">
        <f t="shared" si="60"/>
        <v>0</v>
      </c>
      <c r="AC15" s="16">
        <f t="shared" si="60"/>
        <v>0</v>
      </c>
      <c r="AE15" s="16">
        <f t="shared" si="61"/>
        <v>0</v>
      </c>
      <c r="AF15" s="16">
        <f t="shared" si="61"/>
        <v>0</v>
      </c>
      <c r="AG15" s="16">
        <f t="shared" si="61"/>
        <v>0</v>
      </c>
      <c r="AH15" s="16">
        <f t="shared" si="61"/>
        <v>0</v>
      </c>
      <c r="AI15" s="16">
        <f t="shared" si="61"/>
        <v>0</v>
      </c>
      <c r="AJ15" s="16">
        <f t="shared" si="61"/>
        <v>0</v>
      </c>
      <c r="AK15" s="16">
        <f t="shared" si="61"/>
        <v>0</v>
      </c>
      <c r="AL15" s="16">
        <f t="shared" si="61"/>
        <v>0</v>
      </c>
      <c r="AM15" s="16">
        <f t="shared" si="61"/>
        <v>0</v>
      </c>
      <c r="AN15" s="16">
        <f t="shared" si="61"/>
        <v>0</v>
      </c>
      <c r="AO15" s="16">
        <f t="shared" si="61"/>
        <v>0</v>
      </c>
      <c r="AP15" s="16">
        <f t="shared" si="61"/>
        <v>0</v>
      </c>
      <c r="AR15" s="16">
        <f t="shared" si="62"/>
        <v>0</v>
      </c>
      <c r="AS15" s="16">
        <f t="shared" si="63"/>
        <v>0</v>
      </c>
      <c r="AT15" s="16">
        <f t="shared" si="64"/>
        <v>0</v>
      </c>
      <c r="AU15" s="16">
        <f t="shared" si="65"/>
        <v>0</v>
      </c>
      <c r="AV15" s="16">
        <f t="shared" si="66"/>
        <v>0</v>
      </c>
      <c r="AX15" s="16">
        <f t="shared" si="67"/>
        <v>0</v>
      </c>
      <c r="AY15" s="16">
        <f t="shared" si="68"/>
        <v>0</v>
      </c>
      <c r="AZ15" s="16">
        <f t="shared" si="69"/>
        <v>0</v>
      </c>
      <c r="BA15" s="16">
        <f t="shared" si="70"/>
        <v>0</v>
      </c>
      <c r="BB15" s="16">
        <f t="shared" si="71"/>
        <v>0</v>
      </c>
      <c r="BD15" s="16">
        <f t="shared" si="72"/>
        <v>0</v>
      </c>
      <c r="BE15" s="16">
        <f t="shared" si="73"/>
        <v>0</v>
      </c>
      <c r="BF15" s="16">
        <f t="shared" si="74"/>
        <v>0</v>
      </c>
      <c r="BG15" s="16">
        <f t="shared" si="75"/>
        <v>0</v>
      </c>
      <c r="BH15" s="16">
        <f t="shared" si="76"/>
        <v>0</v>
      </c>
      <c r="BJ15" s="16">
        <f t="shared" si="77"/>
        <v>0</v>
      </c>
      <c r="BK15" s="16">
        <f t="shared" si="78"/>
        <v>0</v>
      </c>
      <c r="BL15" s="16">
        <f t="shared" si="78"/>
        <v>0</v>
      </c>
      <c r="BM15" s="16">
        <f t="shared" si="78"/>
        <v>0</v>
      </c>
      <c r="BN15" s="16">
        <f t="shared" si="78"/>
        <v>0</v>
      </c>
      <c r="BP15" s="16">
        <f t="shared" si="79"/>
        <v>0</v>
      </c>
      <c r="BQ15" s="16">
        <f t="shared" si="80"/>
        <v>0</v>
      </c>
      <c r="BR15" s="16">
        <f t="shared" si="80"/>
        <v>0</v>
      </c>
      <c r="BS15" s="16">
        <f t="shared" si="80"/>
        <v>0</v>
      </c>
      <c r="BT15" s="16">
        <f t="shared" si="80"/>
        <v>0</v>
      </c>
      <c r="BV15" s="16">
        <f t="shared" si="81"/>
        <v>0</v>
      </c>
      <c r="BW15" s="16">
        <f t="shared" si="82"/>
        <v>0</v>
      </c>
      <c r="BX15" s="16">
        <f t="shared" si="82"/>
        <v>0</v>
      </c>
      <c r="BY15" s="16">
        <f t="shared" si="82"/>
        <v>0</v>
      </c>
      <c r="BZ15" s="16">
        <f t="shared" si="82"/>
        <v>0</v>
      </c>
    </row>
    <row r="16" spans="1:78" s="16" customFormat="1" x14ac:dyDescent="0.25"/>
    <row r="17" spans="2:78" s="16" customFormat="1" x14ac:dyDescent="0.25">
      <c r="B17" s="16" t="s">
        <v>23</v>
      </c>
      <c r="C17" s="21">
        <f>SUM(C11:C16)</f>
        <v>0.27300000000000002</v>
      </c>
      <c r="E17" s="17">
        <f>SUBTOTAL(9,E11:E16)</f>
        <v>0</v>
      </c>
      <c r="F17" s="17">
        <f t="shared" ref="F17:O17" si="84">SUBTOTAL(9,F11:F16)</f>
        <v>0</v>
      </c>
      <c r="G17" s="17">
        <f t="shared" si="84"/>
        <v>0</v>
      </c>
      <c r="H17" s="17">
        <f t="shared" si="84"/>
        <v>0</v>
      </c>
      <c r="I17" s="17">
        <f t="shared" si="84"/>
        <v>0</v>
      </c>
      <c r="J17" s="17">
        <f t="shared" si="84"/>
        <v>0</v>
      </c>
      <c r="K17" s="17">
        <f t="shared" si="84"/>
        <v>0</v>
      </c>
      <c r="L17" s="17">
        <f t="shared" si="84"/>
        <v>0</v>
      </c>
      <c r="M17" s="17">
        <f t="shared" si="84"/>
        <v>0</v>
      </c>
      <c r="N17" s="17">
        <f t="shared" si="84"/>
        <v>0</v>
      </c>
      <c r="O17" s="17">
        <f t="shared" si="84"/>
        <v>0</v>
      </c>
      <c r="P17" s="17">
        <f t="shared" ref="P17" si="85">SUBTOTAL(9,P13:P16)</f>
        <v>0</v>
      </c>
      <c r="R17" s="17">
        <f>SUBTOTAL(9,R11:R16)</f>
        <v>1251.25</v>
      </c>
      <c r="S17" s="17">
        <f t="shared" ref="S17" si="86">SUBTOTAL(9,S11:S16)</f>
        <v>1251.25</v>
      </c>
      <c r="T17" s="17">
        <f t="shared" ref="T17" si="87">SUBTOTAL(9,T11:T16)</f>
        <v>1251.25</v>
      </c>
      <c r="U17" s="17">
        <f t="shared" ref="U17" si="88">SUBTOTAL(9,U11:U16)</f>
        <v>8645</v>
      </c>
      <c r="V17" s="17">
        <f t="shared" ref="V17" si="89">SUBTOTAL(9,V11:V16)</f>
        <v>13194.999999999996</v>
      </c>
      <c r="W17" s="17">
        <f t="shared" ref="W17" si="90">SUBTOTAL(9,W11:W16)</f>
        <v>25707.5</v>
      </c>
      <c r="X17" s="17">
        <f t="shared" ref="X17" si="91">SUBTOTAL(9,X11:X16)</f>
        <v>30257.500000000004</v>
      </c>
      <c r="Y17" s="17">
        <f t="shared" ref="Y17" si="92">SUBTOTAL(9,Y11:Y16)</f>
        <v>30257.500000000004</v>
      </c>
      <c r="Z17" s="17">
        <f t="shared" ref="Z17" si="93">SUBTOTAL(9,Z11:Z16)</f>
        <v>30257.500000000004</v>
      </c>
      <c r="AA17" s="17">
        <f t="shared" ref="AA17" si="94">SUBTOTAL(9,AA11:AA16)</f>
        <v>30257.500000000004</v>
      </c>
      <c r="AB17" s="17">
        <f t="shared" ref="AB17" si="95">SUBTOTAL(9,AB11:AB16)</f>
        <v>30257.500000000004</v>
      </c>
      <c r="AC17" s="17">
        <f t="shared" ref="AC17:AP17" si="96">SUBTOTAL(9,AC11:AC16)</f>
        <v>30257.500000000004</v>
      </c>
      <c r="AE17" s="17">
        <f t="shared" si="96"/>
        <v>30257.500000000004</v>
      </c>
      <c r="AF17" s="17">
        <f t="shared" si="96"/>
        <v>30257.500000000004</v>
      </c>
      <c r="AG17" s="17">
        <f t="shared" si="96"/>
        <v>30257.500000000004</v>
      </c>
      <c r="AH17" s="17">
        <f t="shared" si="96"/>
        <v>5005</v>
      </c>
      <c r="AI17" s="17">
        <f t="shared" si="96"/>
        <v>5005</v>
      </c>
      <c r="AJ17" s="17">
        <f t="shared" si="96"/>
        <v>5005</v>
      </c>
      <c r="AK17" s="17">
        <f t="shared" si="96"/>
        <v>5005</v>
      </c>
      <c r="AL17" s="17">
        <f t="shared" si="96"/>
        <v>5005</v>
      </c>
      <c r="AM17" s="17">
        <f t="shared" si="96"/>
        <v>5005</v>
      </c>
      <c r="AN17" s="17">
        <f t="shared" si="96"/>
        <v>5005</v>
      </c>
      <c r="AO17" s="17">
        <f t="shared" si="96"/>
        <v>5005</v>
      </c>
      <c r="AP17" s="17">
        <f t="shared" si="96"/>
        <v>6256.2499999999991</v>
      </c>
      <c r="AR17" s="17">
        <f t="shared" ref="AR17:AV18" si="97">SUBTOTAL(9,AR13:AR16)</f>
        <v>0</v>
      </c>
      <c r="AS17" s="17">
        <f t="shared" si="97"/>
        <v>0</v>
      </c>
      <c r="AT17" s="17">
        <f t="shared" si="97"/>
        <v>0</v>
      </c>
      <c r="AU17" s="17">
        <f t="shared" si="97"/>
        <v>0</v>
      </c>
      <c r="AV17" s="17">
        <f t="shared" si="97"/>
        <v>0</v>
      </c>
      <c r="AX17" s="17">
        <f t="shared" ref="AX17:BB17" si="98">SUBTOTAL(9,AX13:AX16)</f>
        <v>132202.08333333334</v>
      </c>
      <c r="AY17" s="17">
        <f t="shared" si="98"/>
        <v>2131.25</v>
      </c>
      <c r="AZ17" s="17">
        <f t="shared" si="98"/>
        <v>26995.833333333336</v>
      </c>
      <c r="BA17" s="17">
        <f t="shared" si="98"/>
        <v>51537.500000000015</v>
      </c>
      <c r="BB17" s="17">
        <f t="shared" si="98"/>
        <v>51537.500000000015</v>
      </c>
      <c r="BD17" s="17">
        <f t="shared" ref="BD17:BH17" si="99">SUBTOTAL(9,BD13:BD16)</f>
        <v>77822.916666666672</v>
      </c>
      <c r="BE17" s="17">
        <f t="shared" si="99"/>
        <v>51537.500000000015</v>
      </c>
      <c r="BF17" s="17">
        <f t="shared" si="99"/>
        <v>8525</v>
      </c>
      <c r="BG17" s="17">
        <f t="shared" si="99"/>
        <v>8525</v>
      </c>
      <c r="BH17" s="17">
        <f t="shared" si="99"/>
        <v>9235.4166666666661</v>
      </c>
      <c r="BJ17" s="17">
        <f t="shared" ref="BJ17" si="100">SUBTOTAL(9,BJ11:BJ16)</f>
        <v>171990</v>
      </c>
      <c r="BK17" s="17">
        <f t="shared" ref="BK17:BN17" si="101">SUBTOTAL(9,BK11:BK16)</f>
        <v>29347.5</v>
      </c>
      <c r="BL17" s="17">
        <f t="shared" si="101"/>
        <v>42997.5</v>
      </c>
      <c r="BM17" s="17">
        <f t="shared" si="101"/>
        <v>46410</v>
      </c>
      <c r="BN17" s="17">
        <f t="shared" si="101"/>
        <v>53235</v>
      </c>
      <c r="BP17" s="17">
        <f t="shared" ref="BP17" si="102">SUBTOTAL(9,BP11:BP16)</f>
        <v>305077.5</v>
      </c>
      <c r="BQ17" s="17">
        <f t="shared" ref="BQ17:BT17" si="103">SUBTOTAL(9,BQ11:BQ16)</f>
        <v>56647.5</v>
      </c>
      <c r="BR17" s="17">
        <f t="shared" si="103"/>
        <v>77122.5</v>
      </c>
      <c r="BS17" s="17">
        <f t="shared" si="103"/>
        <v>80535</v>
      </c>
      <c r="BT17" s="17">
        <f t="shared" si="103"/>
        <v>90772.5</v>
      </c>
      <c r="BV17" s="17">
        <f t="shared" ref="BV17" si="104">SUBTOTAL(9,BV11:BV16)</f>
        <v>468877.5</v>
      </c>
      <c r="BW17" s="17">
        <f t="shared" ref="BW17:BZ17" si="105">SUBTOTAL(9,BW11:BW16)</f>
        <v>97597.5</v>
      </c>
      <c r="BX17" s="17">
        <f t="shared" si="105"/>
        <v>114660</v>
      </c>
      <c r="BY17" s="17">
        <f t="shared" si="105"/>
        <v>124897.5</v>
      </c>
      <c r="BZ17" s="17">
        <f t="shared" si="105"/>
        <v>131722.5</v>
      </c>
    </row>
    <row r="18" spans="2:78" s="16" customFormat="1" x14ac:dyDescent="0.25">
      <c r="B18" s="16" t="s">
        <v>24</v>
      </c>
      <c r="E18" s="17">
        <f>SUBTOTAL(9,E5:E16)</f>
        <v>0</v>
      </c>
      <c r="F18" s="17">
        <f t="shared" ref="F18:O18" si="106">SUBTOTAL(9,F5:F16)</f>
        <v>0</v>
      </c>
      <c r="G18" s="17">
        <f t="shared" si="106"/>
        <v>0</v>
      </c>
      <c r="H18" s="17">
        <f t="shared" si="106"/>
        <v>0</v>
      </c>
      <c r="I18" s="17">
        <f t="shared" si="106"/>
        <v>0</v>
      </c>
      <c r="J18" s="17">
        <f t="shared" si="106"/>
        <v>0</v>
      </c>
      <c r="K18" s="17">
        <f t="shared" si="106"/>
        <v>0</v>
      </c>
      <c r="L18" s="17">
        <f t="shared" si="106"/>
        <v>0</v>
      </c>
      <c r="M18" s="17">
        <f t="shared" si="106"/>
        <v>0</v>
      </c>
      <c r="N18" s="17">
        <f t="shared" si="106"/>
        <v>0</v>
      </c>
      <c r="O18" s="17">
        <f t="shared" si="106"/>
        <v>0</v>
      </c>
      <c r="P18" s="17">
        <f t="shared" ref="P18" si="107">SUBTOTAL(9,P14:P17)</f>
        <v>0</v>
      </c>
      <c r="R18" s="17">
        <f>SUBTOTAL(9,R5:R16)</f>
        <v>5834.583333333333</v>
      </c>
      <c r="S18" s="17">
        <f t="shared" ref="S18:AC18" si="108">SUBTOTAL(9,S5:S16)</f>
        <v>5834.583333333333</v>
      </c>
      <c r="T18" s="17">
        <f t="shared" si="108"/>
        <v>5834.583333333333</v>
      </c>
      <c r="U18" s="17">
        <f t="shared" si="108"/>
        <v>40311.666666666664</v>
      </c>
      <c r="V18" s="17">
        <f t="shared" si="108"/>
        <v>61528.333333333321</v>
      </c>
      <c r="W18" s="17">
        <f t="shared" si="108"/>
        <v>119874.16666666667</v>
      </c>
      <c r="X18" s="17">
        <f t="shared" si="108"/>
        <v>141090.83333333334</v>
      </c>
      <c r="Y18" s="17">
        <f t="shared" si="108"/>
        <v>141090.83333333334</v>
      </c>
      <c r="Z18" s="17">
        <f t="shared" si="108"/>
        <v>141090.83333333334</v>
      </c>
      <c r="AA18" s="17">
        <f t="shared" si="108"/>
        <v>141090.83333333334</v>
      </c>
      <c r="AB18" s="17">
        <f t="shared" si="108"/>
        <v>141090.83333333334</v>
      </c>
      <c r="AC18" s="17">
        <f t="shared" si="108"/>
        <v>141090.83333333334</v>
      </c>
      <c r="AE18" s="17">
        <f t="shared" ref="AE18:AP18" si="109">SUBTOTAL(9,AE5:AE16)</f>
        <v>141090.83333333334</v>
      </c>
      <c r="AF18" s="17">
        <f t="shared" si="109"/>
        <v>141090.83333333334</v>
      </c>
      <c r="AG18" s="17">
        <f t="shared" si="109"/>
        <v>141090.83333333334</v>
      </c>
      <c r="AH18" s="17">
        <f t="shared" si="109"/>
        <v>23338.333333333332</v>
      </c>
      <c r="AI18" s="17">
        <f t="shared" si="109"/>
        <v>23338.333333333332</v>
      </c>
      <c r="AJ18" s="17">
        <f t="shared" si="109"/>
        <v>23338.333333333332</v>
      </c>
      <c r="AK18" s="17">
        <f t="shared" si="109"/>
        <v>23338.333333333332</v>
      </c>
      <c r="AL18" s="17">
        <f t="shared" si="109"/>
        <v>23338.333333333332</v>
      </c>
      <c r="AM18" s="17">
        <f t="shared" si="109"/>
        <v>23338.333333333332</v>
      </c>
      <c r="AN18" s="17">
        <f t="shared" si="109"/>
        <v>23338.333333333332</v>
      </c>
      <c r="AO18" s="17">
        <f t="shared" si="109"/>
        <v>23338.333333333332</v>
      </c>
      <c r="AP18" s="17">
        <f t="shared" si="109"/>
        <v>29172.916666666664</v>
      </c>
      <c r="AR18" s="17">
        <f t="shared" si="97"/>
        <v>0</v>
      </c>
      <c r="AS18" s="17">
        <f t="shared" si="97"/>
        <v>0</v>
      </c>
      <c r="AT18" s="17">
        <f t="shared" si="97"/>
        <v>0</v>
      </c>
      <c r="AU18" s="17">
        <f t="shared" si="97"/>
        <v>0</v>
      </c>
      <c r="AV18" s="17">
        <f t="shared" si="97"/>
        <v>0</v>
      </c>
      <c r="AX18" s="17">
        <f t="shared" ref="AX18:BB18" si="110">SUBTOTAL(9,AX14:AX17)</f>
        <v>29852.083333333339</v>
      </c>
      <c r="AY18" s="17">
        <f t="shared" si="110"/>
        <v>481.25</v>
      </c>
      <c r="AZ18" s="17">
        <f t="shared" si="110"/>
        <v>6095.8333333333339</v>
      </c>
      <c r="BA18" s="17">
        <f t="shared" si="110"/>
        <v>11637.500000000004</v>
      </c>
      <c r="BB18" s="17">
        <f t="shared" si="110"/>
        <v>11637.500000000004</v>
      </c>
      <c r="BD18" s="17">
        <f t="shared" ref="BD18:BH18" si="111">SUBTOTAL(9,BD14:BD17)</f>
        <v>17572.916666666664</v>
      </c>
      <c r="BE18" s="17">
        <f t="shared" si="111"/>
        <v>11637.500000000004</v>
      </c>
      <c r="BF18" s="17">
        <f t="shared" si="111"/>
        <v>1925</v>
      </c>
      <c r="BG18" s="17">
        <f t="shared" si="111"/>
        <v>1925</v>
      </c>
      <c r="BH18" s="17">
        <f t="shared" si="111"/>
        <v>2085.4166666666665</v>
      </c>
      <c r="BJ18" s="17">
        <f t="shared" ref="BJ18" si="112">SUBTOTAL(9,BJ5:BJ16)</f>
        <v>801990</v>
      </c>
      <c r="BK18" s="17">
        <f t="shared" ref="BK18:BN18" si="113">SUBTOTAL(9,BK5:BK16)</f>
        <v>136847.5</v>
      </c>
      <c r="BL18" s="17">
        <f t="shared" si="113"/>
        <v>200497.5</v>
      </c>
      <c r="BM18" s="17">
        <f t="shared" si="113"/>
        <v>216410</v>
      </c>
      <c r="BN18" s="17">
        <f t="shared" si="113"/>
        <v>248235</v>
      </c>
      <c r="BP18" s="17">
        <f t="shared" ref="BP18" si="114">SUBTOTAL(9,BP5:BP16)</f>
        <v>1422577.5</v>
      </c>
      <c r="BQ18" s="17">
        <f t="shared" ref="BQ18:BT18" si="115">SUBTOTAL(9,BQ5:BQ16)</f>
        <v>264147.5</v>
      </c>
      <c r="BR18" s="17">
        <f t="shared" si="115"/>
        <v>359622.5</v>
      </c>
      <c r="BS18" s="17">
        <f t="shared" si="115"/>
        <v>375535</v>
      </c>
      <c r="BT18" s="17">
        <f t="shared" si="115"/>
        <v>423272.5</v>
      </c>
      <c r="BV18" s="17">
        <f t="shared" ref="BV18" si="116">SUBTOTAL(9,BV5:BV16)</f>
        <v>2186377.5</v>
      </c>
      <c r="BW18" s="17">
        <f t="shared" ref="BW18:BZ18" si="117">SUBTOTAL(9,BW5:BW16)</f>
        <v>455097.5</v>
      </c>
      <c r="BX18" s="17">
        <f t="shared" si="117"/>
        <v>534660</v>
      </c>
      <c r="BY18" s="17">
        <f t="shared" si="117"/>
        <v>582397.5</v>
      </c>
      <c r="BZ18" s="17">
        <f t="shared" si="117"/>
        <v>614222.5</v>
      </c>
    </row>
    <row r="19" spans="2:78" s="16" customFormat="1" x14ac:dyDescent="0.25"/>
    <row r="20" spans="2:78" s="16" customFormat="1" x14ac:dyDescent="0.25">
      <c r="B20" s="16" t="s">
        <v>25</v>
      </c>
      <c r="AR20" s="16">
        <f t="shared" ref="AR20" si="118">SUM(E20:P20)</f>
        <v>0</v>
      </c>
      <c r="AS20" s="16">
        <f t="shared" ref="AS20" si="119">SUM(E20:G20)</f>
        <v>0</v>
      </c>
      <c r="AT20" s="16">
        <f t="shared" ref="AT20" si="120">SUM(H20:J20)</f>
        <v>0</v>
      </c>
      <c r="AU20" s="16">
        <f t="shared" ref="AU20" si="121">SUM(K20:M20)</f>
        <v>0</v>
      </c>
      <c r="AV20" s="16">
        <f t="shared" ref="AV20" si="122">SUM(N20:P20)</f>
        <v>0</v>
      </c>
      <c r="AX20" s="16">
        <f t="shared" ref="AX20" si="123">SUM(R20:AC20)</f>
        <v>0</v>
      </c>
      <c r="AY20" s="16">
        <f t="shared" ref="AY20" si="124">SUM(R20:T20)</f>
        <v>0</v>
      </c>
      <c r="AZ20" s="16">
        <f t="shared" ref="AZ20" si="125">SUM(U20:W20)</f>
        <v>0</v>
      </c>
      <c r="BA20" s="16">
        <f t="shared" ref="BA20" si="126">SUM(X20:Z20)</f>
        <v>0</v>
      </c>
      <c r="BB20" s="16">
        <f t="shared" ref="BB20" si="127">SUM(AA20:AC20)</f>
        <v>0</v>
      </c>
      <c r="BD20" s="16">
        <f t="shared" ref="BD20" si="128">SUM(AE20:AP20)</f>
        <v>0</v>
      </c>
      <c r="BE20" s="16">
        <f t="shared" ref="BE20" si="129">SUM(AE20:AG20)</f>
        <v>0</v>
      </c>
      <c r="BF20" s="16">
        <f t="shared" ref="BF20" si="130">SUM(AH20:AJ20)</f>
        <v>0</v>
      </c>
      <c r="BG20" s="16">
        <f t="shared" ref="BG20" si="131">SUM(AK20:AM20)</f>
        <v>0</v>
      </c>
      <c r="BH20" s="16">
        <f t="shared" ref="BH20" si="132">SUM(AN20:AP20)</f>
        <v>0</v>
      </c>
      <c r="BJ20" s="16">
        <f t="shared" ref="BJ20:BJ24" si="133">SUM(BK20:BN20)</f>
        <v>0</v>
      </c>
      <c r="BP20" s="16">
        <f t="shared" ref="BP20:BP24" si="134">SUM(BQ20:BT20)</f>
        <v>0</v>
      </c>
      <c r="BV20" s="16">
        <f t="shared" ref="BV20:BV24" si="135">SUM(BW20:BZ20)</f>
        <v>0</v>
      </c>
    </row>
    <row r="21" spans="2:78" s="16" customFormat="1" x14ac:dyDescent="0.25">
      <c r="B21" s="16" t="s">
        <v>26</v>
      </c>
      <c r="AR21" s="16">
        <f t="shared" ref="AR21:AR24" si="136">SUM(E21:P21)</f>
        <v>0</v>
      </c>
      <c r="AS21" s="16">
        <f t="shared" ref="AS21:AS24" si="137">SUM(E21:G21)</f>
        <v>0</v>
      </c>
      <c r="AT21" s="16">
        <f t="shared" ref="AT21:AT24" si="138">SUM(H21:J21)</f>
        <v>0</v>
      </c>
      <c r="AU21" s="16">
        <f t="shared" ref="AU21:AU24" si="139">SUM(K21:M21)</f>
        <v>0</v>
      </c>
      <c r="AV21" s="16">
        <f t="shared" ref="AV21:AV24" si="140">SUM(N21:P21)</f>
        <v>0</v>
      </c>
      <c r="AX21" s="16">
        <f t="shared" ref="AX21:AX24" si="141">SUM(R21:AC21)</f>
        <v>0</v>
      </c>
      <c r="AY21" s="16">
        <f t="shared" ref="AY21:AY24" si="142">SUM(R21:T21)</f>
        <v>0</v>
      </c>
      <c r="AZ21" s="16">
        <f t="shared" ref="AZ21:AZ24" si="143">SUM(U21:W21)</f>
        <v>0</v>
      </c>
      <c r="BA21" s="16">
        <f t="shared" ref="BA21:BA24" si="144">SUM(X21:Z21)</f>
        <v>0</v>
      </c>
      <c r="BB21" s="16">
        <f t="shared" ref="BB21:BB24" si="145">SUM(AA21:AC21)</f>
        <v>0</v>
      </c>
      <c r="BD21" s="16">
        <f t="shared" ref="BD21:BD24" si="146">SUM(AE21:AP21)</f>
        <v>0</v>
      </c>
      <c r="BE21" s="16">
        <f t="shared" ref="BE21:BE24" si="147">SUM(AE21:AG21)</f>
        <v>0</v>
      </c>
      <c r="BF21" s="16">
        <f t="shared" ref="BF21:BF24" si="148">SUM(AH21:AJ21)</f>
        <v>0</v>
      </c>
      <c r="BG21" s="16">
        <f t="shared" ref="BG21:BG24" si="149">SUM(AK21:AM21)</f>
        <v>0</v>
      </c>
      <c r="BH21" s="16">
        <f t="shared" ref="BH21:BH24" si="150">SUM(AN21:AP21)</f>
        <v>0</v>
      </c>
      <c r="BJ21" s="16">
        <f t="shared" si="133"/>
        <v>0</v>
      </c>
      <c r="BP21" s="16">
        <f t="shared" si="134"/>
        <v>0</v>
      </c>
      <c r="BV21" s="16">
        <f t="shared" si="135"/>
        <v>0</v>
      </c>
    </row>
    <row r="22" spans="2:78" s="16" customFormat="1" x14ac:dyDescent="0.25">
      <c r="B22" s="16" t="s">
        <v>95</v>
      </c>
      <c r="AR22" s="16">
        <f t="shared" si="136"/>
        <v>0</v>
      </c>
      <c r="AS22" s="16">
        <f t="shared" si="137"/>
        <v>0</v>
      </c>
      <c r="AT22" s="16">
        <f t="shared" si="138"/>
        <v>0</v>
      </c>
      <c r="AU22" s="16">
        <f t="shared" si="139"/>
        <v>0</v>
      </c>
      <c r="AV22" s="16">
        <f t="shared" si="140"/>
        <v>0</v>
      </c>
      <c r="AX22" s="16">
        <f t="shared" si="141"/>
        <v>0</v>
      </c>
      <c r="AY22" s="16">
        <f t="shared" si="142"/>
        <v>0</v>
      </c>
      <c r="AZ22" s="16">
        <f t="shared" si="143"/>
        <v>0</v>
      </c>
      <c r="BA22" s="16">
        <f t="shared" si="144"/>
        <v>0</v>
      </c>
      <c r="BB22" s="16">
        <f t="shared" si="145"/>
        <v>0</v>
      </c>
      <c r="BD22" s="16">
        <f t="shared" si="146"/>
        <v>0</v>
      </c>
      <c r="BE22" s="16">
        <f t="shared" si="147"/>
        <v>0</v>
      </c>
      <c r="BF22" s="16">
        <f t="shared" si="148"/>
        <v>0</v>
      </c>
      <c r="BG22" s="16">
        <f t="shared" si="149"/>
        <v>0</v>
      </c>
      <c r="BH22" s="16">
        <f t="shared" si="150"/>
        <v>0</v>
      </c>
      <c r="BJ22" s="16">
        <f t="shared" si="133"/>
        <v>0</v>
      </c>
      <c r="BP22" s="16">
        <f t="shared" si="134"/>
        <v>0</v>
      </c>
      <c r="BV22" s="16">
        <f t="shared" si="135"/>
        <v>0</v>
      </c>
    </row>
    <row r="23" spans="2:78" s="16" customFormat="1" x14ac:dyDescent="0.25">
      <c r="B23" s="16" t="s">
        <v>27</v>
      </c>
      <c r="E23" s="16">
        <f>+E169</f>
        <v>0</v>
      </c>
      <c r="F23" s="16">
        <f t="shared" ref="F23:P23" si="151">+F169</f>
        <v>0</v>
      </c>
      <c r="G23" s="16">
        <f t="shared" si="151"/>
        <v>0</v>
      </c>
      <c r="H23" s="16">
        <f t="shared" si="151"/>
        <v>0</v>
      </c>
      <c r="I23" s="16">
        <f t="shared" si="151"/>
        <v>0</v>
      </c>
      <c r="J23" s="16">
        <f t="shared" si="151"/>
        <v>0</v>
      </c>
      <c r="K23" s="16">
        <f t="shared" si="151"/>
        <v>0</v>
      </c>
      <c r="L23" s="16">
        <f t="shared" si="151"/>
        <v>0</v>
      </c>
      <c r="M23" s="16">
        <f t="shared" si="151"/>
        <v>0</v>
      </c>
      <c r="N23" s="16">
        <f t="shared" si="151"/>
        <v>0</v>
      </c>
      <c r="O23" s="16">
        <f t="shared" si="151"/>
        <v>0</v>
      </c>
      <c r="P23" s="16">
        <f t="shared" si="151"/>
        <v>0</v>
      </c>
      <c r="R23" s="16">
        <f t="shared" ref="R23:AC23" si="152">+R169</f>
        <v>0</v>
      </c>
      <c r="S23" s="16">
        <f t="shared" si="152"/>
        <v>13750</v>
      </c>
      <c r="T23" s="16">
        <f t="shared" si="152"/>
        <v>0</v>
      </c>
      <c r="U23" s="16">
        <f t="shared" si="152"/>
        <v>0</v>
      </c>
      <c r="V23" s="16">
        <f t="shared" si="152"/>
        <v>27500</v>
      </c>
      <c r="W23" s="16">
        <f t="shared" si="152"/>
        <v>0</v>
      </c>
      <c r="X23" s="16">
        <f t="shared" si="152"/>
        <v>0</v>
      </c>
      <c r="Y23" s="16">
        <f t="shared" si="152"/>
        <v>13750</v>
      </c>
      <c r="Z23" s="16">
        <f t="shared" si="152"/>
        <v>13750</v>
      </c>
      <c r="AA23" s="16">
        <f t="shared" si="152"/>
        <v>0</v>
      </c>
      <c r="AB23" s="16">
        <f t="shared" si="152"/>
        <v>13750</v>
      </c>
      <c r="AC23" s="16">
        <f t="shared" si="152"/>
        <v>0</v>
      </c>
      <c r="AE23" s="16">
        <f t="shared" ref="AE23:AP23" si="153">+AE169</f>
        <v>0</v>
      </c>
      <c r="AF23" s="16">
        <f t="shared" si="153"/>
        <v>0</v>
      </c>
      <c r="AG23" s="16">
        <f t="shared" si="153"/>
        <v>0</v>
      </c>
      <c r="AH23" s="16">
        <f t="shared" si="153"/>
        <v>0</v>
      </c>
      <c r="AI23" s="16">
        <f t="shared" si="153"/>
        <v>0</v>
      </c>
      <c r="AJ23" s="16">
        <f t="shared" si="153"/>
        <v>0</v>
      </c>
      <c r="AK23" s="16">
        <f t="shared" si="153"/>
        <v>0</v>
      </c>
      <c r="AL23" s="16">
        <f t="shared" si="153"/>
        <v>0</v>
      </c>
      <c r="AM23" s="16">
        <f t="shared" si="153"/>
        <v>0</v>
      </c>
      <c r="AN23" s="16">
        <f t="shared" si="153"/>
        <v>0</v>
      </c>
      <c r="AO23" s="16">
        <f t="shared" si="153"/>
        <v>0</v>
      </c>
      <c r="AP23" s="16">
        <f t="shared" si="153"/>
        <v>0</v>
      </c>
      <c r="AR23" s="16">
        <f t="shared" si="136"/>
        <v>0</v>
      </c>
      <c r="AS23" s="16">
        <f t="shared" si="137"/>
        <v>0</v>
      </c>
      <c r="AT23" s="16">
        <f t="shared" si="138"/>
        <v>0</v>
      </c>
      <c r="AU23" s="16">
        <f t="shared" si="139"/>
        <v>0</v>
      </c>
      <c r="AV23" s="16">
        <f t="shared" si="140"/>
        <v>0</v>
      </c>
      <c r="AX23" s="16">
        <f t="shared" si="141"/>
        <v>82500</v>
      </c>
      <c r="AY23" s="16">
        <f t="shared" si="142"/>
        <v>13750</v>
      </c>
      <c r="AZ23" s="16">
        <f t="shared" si="143"/>
        <v>27500</v>
      </c>
      <c r="BA23" s="16">
        <f t="shared" si="144"/>
        <v>27500</v>
      </c>
      <c r="BB23" s="16">
        <f t="shared" si="145"/>
        <v>13750</v>
      </c>
      <c r="BD23" s="16">
        <f t="shared" si="146"/>
        <v>0</v>
      </c>
      <c r="BE23" s="16">
        <f t="shared" si="147"/>
        <v>0</v>
      </c>
      <c r="BF23" s="16">
        <f t="shared" si="148"/>
        <v>0</v>
      </c>
      <c r="BG23" s="16">
        <f t="shared" si="149"/>
        <v>0</v>
      </c>
      <c r="BH23" s="16">
        <f t="shared" si="150"/>
        <v>0</v>
      </c>
      <c r="BJ23" s="16">
        <f t="shared" si="133"/>
        <v>0</v>
      </c>
      <c r="BK23" s="16">
        <f t="shared" ref="BK23:BN23" si="154">+BK169</f>
        <v>0</v>
      </c>
      <c r="BL23" s="16">
        <f t="shared" si="154"/>
        <v>0</v>
      </c>
      <c r="BM23" s="16">
        <f t="shared" si="154"/>
        <v>0</v>
      </c>
      <c r="BN23" s="16">
        <f t="shared" si="154"/>
        <v>0</v>
      </c>
      <c r="BP23" s="16">
        <f t="shared" si="134"/>
        <v>0</v>
      </c>
      <c r="BQ23" s="16">
        <f t="shared" ref="BQ23:BT23" si="155">+BQ169</f>
        <v>0</v>
      </c>
      <c r="BR23" s="16">
        <f t="shared" si="155"/>
        <v>0</v>
      </c>
      <c r="BS23" s="16">
        <f t="shared" si="155"/>
        <v>0</v>
      </c>
      <c r="BT23" s="16">
        <f t="shared" si="155"/>
        <v>0</v>
      </c>
      <c r="BV23" s="16">
        <f t="shared" si="135"/>
        <v>0</v>
      </c>
      <c r="BW23" s="16">
        <f t="shared" ref="BW23:BZ23" si="156">+BW169</f>
        <v>0</v>
      </c>
      <c r="BX23" s="16">
        <f t="shared" si="156"/>
        <v>0</v>
      </c>
      <c r="BY23" s="16">
        <f t="shared" si="156"/>
        <v>0</v>
      </c>
      <c r="BZ23" s="16">
        <f t="shared" si="156"/>
        <v>0</v>
      </c>
    </row>
    <row r="24" spans="2:78" s="16" customFormat="1" x14ac:dyDescent="0.25">
      <c r="B24" s="16" t="s">
        <v>28</v>
      </c>
      <c r="E24" s="16">
        <f>+E152</f>
        <v>0</v>
      </c>
      <c r="F24" s="16">
        <f t="shared" ref="F24:P24" si="157">+F152</f>
        <v>0</v>
      </c>
      <c r="G24" s="16">
        <f t="shared" si="157"/>
        <v>0</v>
      </c>
      <c r="H24" s="16">
        <f t="shared" si="157"/>
        <v>0</v>
      </c>
      <c r="I24" s="16">
        <f t="shared" si="157"/>
        <v>0</v>
      </c>
      <c r="J24" s="16">
        <f t="shared" si="157"/>
        <v>0</v>
      </c>
      <c r="K24" s="16">
        <f t="shared" si="157"/>
        <v>0</v>
      </c>
      <c r="L24" s="16">
        <f t="shared" si="157"/>
        <v>0</v>
      </c>
      <c r="M24" s="16">
        <f t="shared" si="157"/>
        <v>0</v>
      </c>
      <c r="N24" s="16">
        <f t="shared" si="157"/>
        <v>0</v>
      </c>
      <c r="O24" s="16">
        <f t="shared" si="157"/>
        <v>0</v>
      </c>
      <c r="P24" s="16">
        <f t="shared" si="157"/>
        <v>0</v>
      </c>
      <c r="R24" s="16">
        <f>+R152</f>
        <v>0</v>
      </c>
      <c r="S24" s="16">
        <f t="shared" ref="S24:AC24" si="158">+S152</f>
        <v>0</v>
      </c>
      <c r="T24" s="16">
        <f t="shared" si="158"/>
        <v>0</v>
      </c>
      <c r="U24" s="16">
        <f t="shared" si="158"/>
        <v>0</v>
      </c>
      <c r="V24" s="16">
        <f t="shared" si="158"/>
        <v>0</v>
      </c>
      <c r="W24" s="16">
        <f t="shared" si="158"/>
        <v>0</v>
      </c>
      <c r="X24" s="16">
        <f t="shared" si="158"/>
        <v>0</v>
      </c>
      <c r="Y24" s="16">
        <f t="shared" si="158"/>
        <v>0</v>
      </c>
      <c r="Z24" s="16">
        <f t="shared" si="158"/>
        <v>0</v>
      </c>
      <c r="AA24" s="16">
        <f t="shared" si="158"/>
        <v>0</v>
      </c>
      <c r="AB24" s="16">
        <f t="shared" si="158"/>
        <v>0</v>
      </c>
      <c r="AC24" s="16">
        <f t="shared" si="158"/>
        <v>0</v>
      </c>
      <c r="AE24" s="16">
        <f t="shared" ref="AE24:AP24" si="159">+AE152</f>
        <v>0</v>
      </c>
      <c r="AF24" s="16">
        <f t="shared" si="159"/>
        <v>0</v>
      </c>
      <c r="AG24" s="16">
        <f t="shared" si="159"/>
        <v>0</v>
      </c>
      <c r="AH24" s="16">
        <f t="shared" si="159"/>
        <v>0</v>
      </c>
      <c r="AI24" s="16">
        <f t="shared" si="159"/>
        <v>0</v>
      </c>
      <c r="AJ24" s="16">
        <f t="shared" si="159"/>
        <v>0</v>
      </c>
      <c r="AK24" s="16">
        <f t="shared" si="159"/>
        <v>0</v>
      </c>
      <c r="AL24" s="16">
        <f t="shared" si="159"/>
        <v>0</v>
      </c>
      <c r="AM24" s="16">
        <f t="shared" si="159"/>
        <v>0</v>
      </c>
      <c r="AN24" s="16">
        <f t="shared" si="159"/>
        <v>0</v>
      </c>
      <c r="AO24" s="16">
        <f t="shared" si="159"/>
        <v>0</v>
      </c>
      <c r="AP24" s="16">
        <f t="shared" si="159"/>
        <v>0</v>
      </c>
      <c r="AR24" s="16">
        <f t="shared" si="136"/>
        <v>0</v>
      </c>
      <c r="AS24" s="16">
        <f t="shared" si="137"/>
        <v>0</v>
      </c>
      <c r="AT24" s="16">
        <f t="shared" si="138"/>
        <v>0</v>
      </c>
      <c r="AU24" s="16">
        <f t="shared" si="139"/>
        <v>0</v>
      </c>
      <c r="AV24" s="16">
        <f t="shared" si="140"/>
        <v>0</v>
      </c>
      <c r="AX24" s="16">
        <f t="shared" si="141"/>
        <v>0</v>
      </c>
      <c r="AY24" s="16">
        <f t="shared" si="142"/>
        <v>0</v>
      </c>
      <c r="AZ24" s="16">
        <f t="shared" si="143"/>
        <v>0</v>
      </c>
      <c r="BA24" s="16">
        <f t="shared" si="144"/>
        <v>0</v>
      </c>
      <c r="BB24" s="16">
        <f t="shared" si="145"/>
        <v>0</v>
      </c>
      <c r="BD24" s="16">
        <f t="shared" si="146"/>
        <v>0</v>
      </c>
      <c r="BE24" s="16">
        <f t="shared" si="147"/>
        <v>0</v>
      </c>
      <c r="BF24" s="16">
        <f t="shared" si="148"/>
        <v>0</v>
      </c>
      <c r="BG24" s="16">
        <f t="shared" si="149"/>
        <v>0</v>
      </c>
      <c r="BH24" s="16">
        <f t="shared" si="150"/>
        <v>0</v>
      </c>
      <c r="BJ24" s="16">
        <f t="shared" si="133"/>
        <v>0</v>
      </c>
      <c r="BK24" s="16">
        <f t="shared" ref="BK24:BN24" si="160">+BK152</f>
        <v>0</v>
      </c>
      <c r="BL24" s="16">
        <f t="shared" si="160"/>
        <v>0</v>
      </c>
      <c r="BM24" s="16">
        <f t="shared" si="160"/>
        <v>0</v>
      </c>
      <c r="BN24" s="16">
        <f t="shared" si="160"/>
        <v>0</v>
      </c>
      <c r="BP24" s="16">
        <f t="shared" si="134"/>
        <v>0</v>
      </c>
      <c r="BQ24" s="16">
        <f t="shared" ref="BQ24:BT24" si="161">+BQ152</f>
        <v>0</v>
      </c>
      <c r="BR24" s="16">
        <f t="shared" si="161"/>
        <v>0</v>
      </c>
      <c r="BS24" s="16">
        <f t="shared" si="161"/>
        <v>0</v>
      </c>
      <c r="BT24" s="16">
        <f t="shared" si="161"/>
        <v>0</v>
      </c>
      <c r="BV24" s="16">
        <f t="shared" si="135"/>
        <v>0</v>
      </c>
      <c r="BW24" s="16">
        <f t="shared" ref="BW24:BZ24" si="162">+BW152</f>
        <v>0</v>
      </c>
      <c r="BX24" s="16">
        <f t="shared" si="162"/>
        <v>0</v>
      </c>
      <c r="BY24" s="16">
        <f t="shared" si="162"/>
        <v>0</v>
      </c>
      <c r="BZ24" s="16">
        <f t="shared" si="162"/>
        <v>0</v>
      </c>
    </row>
    <row r="25" spans="2:78" s="16" customFormat="1" x14ac:dyDescent="0.25"/>
    <row r="26" spans="2:78" s="16" customFormat="1" x14ac:dyDescent="0.25">
      <c r="B26" s="16" t="s">
        <v>29</v>
      </c>
      <c r="E26" s="17">
        <f>SUBTOTAL(9,E20:E25)</f>
        <v>0</v>
      </c>
      <c r="F26" s="17">
        <f t="shared" ref="F26:P26" si="163">SUBTOTAL(9,F20:F25)</f>
        <v>0</v>
      </c>
      <c r="G26" s="17">
        <f t="shared" si="163"/>
        <v>0</v>
      </c>
      <c r="H26" s="17">
        <f t="shared" si="163"/>
        <v>0</v>
      </c>
      <c r="I26" s="17">
        <f t="shared" si="163"/>
        <v>0</v>
      </c>
      <c r="J26" s="17">
        <f t="shared" si="163"/>
        <v>0</v>
      </c>
      <c r="K26" s="17">
        <f t="shared" si="163"/>
        <v>0</v>
      </c>
      <c r="L26" s="17">
        <f t="shared" si="163"/>
        <v>0</v>
      </c>
      <c r="M26" s="17">
        <f t="shared" si="163"/>
        <v>0</v>
      </c>
      <c r="N26" s="17">
        <f t="shared" si="163"/>
        <v>0</v>
      </c>
      <c r="O26" s="17">
        <f t="shared" si="163"/>
        <v>0</v>
      </c>
      <c r="P26" s="17">
        <f t="shared" si="163"/>
        <v>0</v>
      </c>
      <c r="R26" s="17">
        <f>SUBTOTAL(9,R20:R25)</f>
        <v>0</v>
      </c>
      <c r="S26" s="17">
        <f t="shared" ref="S26" si="164">SUBTOTAL(9,S20:S25)</f>
        <v>13750</v>
      </c>
      <c r="T26" s="17">
        <f t="shared" ref="T26" si="165">SUBTOTAL(9,T20:T25)</f>
        <v>0</v>
      </c>
      <c r="U26" s="17">
        <f t="shared" ref="U26" si="166">SUBTOTAL(9,U20:U25)</f>
        <v>0</v>
      </c>
      <c r="V26" s="17">
        <f t="shared" ref="V26" si="167">SUBTOTAL(9,V20:V25)</f>
        <v>27500</v>
      </c>
      <c r="W26" s="17">
        <f t="shared" ref="W26" si="168">SUBTOTAL(9,W20:W25)</f>
        <v>0</v>
      </c>
      <c r="X26" s="17">
        <f t="shared" ref="X26" si="169">SUBTOTAL(9,X20:X25)</f>
        <v>0</v>
      </c>
      <c r="Y26" s="17">
        <f t="shared" ref="Y26" si="170">SUBTOTAL(9,Y20:Y25)</f>
        <v>13750</v>
      </c>
      <c r="Z26" s="17">
        <f t="shared" ref="Z26" si="171">SUBTOTAL(9,Z20:Z25)</f>
        <v>13750</v>
      </c>
      <c r="AA26" s="17">
        <f t="shared" ref="AA26" si="172">SUBTOTAL(9,AA20:AA25)</f>
        <v>0</v>
      </c>
      <c r="AB26" s="17">
        <f t="shared" ref="AB26" si="173">SUBTOTAL(9,AB20:AB25)</f>
        <v>13750</v>
      </c>
      <c r="AC26" s="17">
        <f t="shared" ref="AC26:AP26" si="174">SUBTOTAL(9,AC20:AC25)</f>
        <v>0</v>
      </c>
      <c r="AE26" s="17">
        <f t="shared" si="174"/>
        <v>0</v>
      </c>
      <c r="AF26" s="17">
        <f t="shared" si="174"/>
        <v>0</v>
      </c>
      <c r="AG26" s="17">
        <f t="shared" si="174"/>
        <v>0</v>
      </c>
      <c r="AH26" s="17">
        <f t="shared" si="174"/>
        <v>0</v>
      </c>
      <c r="AI26" s="17">
        <f t="shared" si="174"/>
        <v>0</v>
      </c>
      <c r="AJ26" s="17">
        <f t="shared" si="174"/>
        <v>0</v>
      </c>
      <c r="AK26" s="17">
        <f t="shared" si="174"/>
        <v>0</v>
      </c>
      <c r="AL26" s="17">
        <f t="shared" si="174"/>
        <v>0</v>
      </c>
      <c r="AM26" s="17">
        <f t="shared" si="174"/>
        <v>0</v>
      </c>
      <c r="AN26" s="17">
        <f t="shared" si="174"/>
        <v>0</v>
      </c>
      <c r="AO26" s="17">
        <f t="shared" si="174"/>
        <v>0</v>
      </c>
      <c r="AP26" s="17">
        <f t="shared" si="174"/>
        <v>0</v>
      </c>
      <c r="AR26" s="17">
        <f t="shared" ref="AR26:AV26" si="175">SUBTOTAL(9,AR20:AR25)</f>
        <v>0</v>
      </c>
      <c r="AS26" s="17">
        <f t="shared" si="175"/>
        <v>0</v>
      </c>
      <c r="AT26" s="17">
        <f t="shared" si="175"/>
        <v>0</v>
      </c>
      <c r="AU26" s="17">
        <f t="shared" si="175"/>
        <v>0</v>
      </c>
      <c r="AV26" s="17">
        <f t="shared" si="175"/>
        <v>0</v>
      </c>
      <c r="AX26" s="17">
        <f t="shared" ref="AX26:BB26" si="176">SUBTOTAL(9,AX20:AX25)</f>
        <v>82500</v>
      </c>
      <c r="AY26" s="17">
        <f t="shared" si="176"/>
        <v>13750</v>
      </c>
      <c r="AZ26" s="17">
        <f t="shared" si="176"/>
        <v>27500</v>
      </c>
      <c r="BA26" s="17">
        <f t="shared" si="176"/>
        <v>27500</v>
      </c>
      <c r="BB26" s="17">
        <f t="shared" si="176"/>
        <v>13750</v>
      </c>
      <c r="BD26" s="17">
        <f t="shared" ref="BD26:BH26" si="177">SUBTOTAL(9,BD20:BD25)</f>
        <v>0</v>
      </c>
      <c r="BE26" s="17">
        <f t="shared" si="177"/>
        <v>0</v>
      </c>
      <c r="BF26" s="17">
        <f t="shared" si="177"/>
        <v>0</v>
      </c>
      <c r="BG26" s="17">
        <f t="shared" si="177"/>
        <v>0</v>
      </c>
      <c r="BH26" s="17">
        <f t="shared" si="177"/>
        <v>0</v>
      </c>
      <c r="BJ26" s="17">
        <f t="shared" ref="BJ26:BN26" si="178">SUBTOTAL(9,BJ20:BJ25)</f>
        <v>0</v>
      </c>
      <c r="BK26" s="17">
        <f t="shared" si="178"/>
        <v>0</v>
      </c>
      <c r="BL26" s="17">
        <f t="shared" si="178"/>
        <v>0</v>
      </c>
      <c r="BM26" s="17">
        <f t="shared" si="178"/>
        <v>0</v>
      </c>
      <c r="BN26" s="17">
        <f t="shared" si="178"/>
        <v>0</v>
      </c>
      <c r="BP26" s="17">
        <f t="shared" ref="BP26" si="179">SUBTOTAL(9,BP20:BP25)</f>
        <v>0</v>
      </c>
      <c r="BQ26" s="17">
        <f t="shared" ref="BQ26:BT26" si="180">SUBTOTAL(9,BQ20:BQ25)</f>
        <v>0</v>
      </c>
      <c r="BR26" s="17">
        <f t="shared" si="180"/>
        <v>0</v>
      </c>
      <c r="BS26" s="17">
        <f t="shared" si="180"/>
        <v>0</v>
      </c>
      <c r="BT26" s="17">
        <f t="shared" si="180"/>
        <v>0</v>
      </c>
      <c r="BV26" s="17">
        <f t="shared" ref="BV26" si="181">SUBTOTAL(9,BV20:BV25)</f>
        <v>0</v>
      </c>
      <c r="BW26" s="17">
        <f t="shared" ref="BW26:BZ26" si="182">SUBTOTAL(9,BW20:BW25)</f>
        <v>0</v>
      </c>
      <c r="BX26" s="17">
        <f t="shared" si="182"/>
        <v>0</v>
      </c>
      <c r="BY26" s="17">
        <f t="shared" si="182"/>
        <v>0</v>
      </c>
      <c r="BZ26" s="17">
        <f t="shared" si="182"/>
        <v>0</v>
      </c>
    </row>
    <row r="27" spans="2:78" s="16" customFormat="1" x14ac:dyDescent="0.25"/>
    <row r="28" spans="2:78" s="16" customFormat="1" x14ac:dyDescent="0.25">
      <c r="B28" s="16" t="s">
        <v>32</v>
      </c>
      <c r="AR28" s="16">
        <f t="shared" ref="AR28:AR32" si="183">SUM(E28:P28)</f>
        <v>0</v>
      </c>
      <c r="AS28" s="16">
        <f t="shared" ref="AS28:AS32" si="184">SUM(E28:G28)</f>
        <v>0</v>
      </c>
      <c r="AT28" s="16">
        <f t="shared" ref="AT28:AT32" si="185">SUM(H28:J28)</f>
        <v>0</v>
      </c>
      <c r="AU28" s="16">
        <f t="shared" ref="AU28:AU32" si="186">SUM(K28:M28)</f>
        <v>0</v>
      </c>
      <c r="AV28" s="16">
        <f t="shared" ref="AV28:AV32" si="187">SUM(N28:P28)</f>
        <v>0</v>
      </c>
      <c r="AX28" s="16">
        <f t="shared" ref="AX28:AX32" si="188">SUM(R28:AC28)</f>
        <v>0</v>
      </c>
      <c r="AY28" s="16">
        <f t="shared" ref="AY28:AY32" si="189">SUM(R28:T28)</f>
        <v>0</v>
      </c>
      <c r="AZ28" s="16">
        <f t="shared" ref="AZ28:AZ32" si="190">SUM(U28:W28)</f>
        <v>0</v>
      </c>
      <c r="BA28" s="16">
        <f t="shared" ref="BA28:BA32" si="191">SUM(X28:Z28)</f>
        <v>0</v>
      </c>
      <c r="BB28" s="16">
        <f t="shared" ref="BB28:BB32" si="192">SUM(AA28:AC28)</f>
        <v>0</v>
      </c>
      <c r="BD28" s="16">
        <f t="shared" ref="BD28:BD32" si="193">SUM(AE28:AP28)</f>
        <v>0</v>
      </c>
      <c r="BE28" s="16">
        <f t="shared" ref="BE28:BE32" si="194">SUM(AE28:AG28)</f>
        <v>0</v>
      </c>
      <c r="BF28" s="16">
        <f t="shared" ref="BF28:BF32" si="195">SUM(AH28:AJ28)</f>
        <v>0</v>
      </c>
      <c r="BG28" s="16">
        <f t="shared" ref="BG28:BG32" si="196">SUM(AK28:AM28)</f>
        <v>0</v>
      </c>
      <c r="BH28" s="16">
        <f t="shared" ref="BH28:BH32" si="197">SUM(AN28:AP28)</f>
        <v>0</v>
      </c>
      <c r="BJ28" s="16">
        <f t="shared" ref="BJ28:BJ32" si="198">SUM(BK28:BN28)</f>
        <v>0</v>
      </c>
      <c r="BP28" s="16">
        <f t="shared" ref="BP28:BP32" si="199">SUM(BQ28:BT28)</f>
        <v>0</v>
      </c>
      <c r="BV28" s="16">
        <f t="shared" ref="BV28:BV32" si="200">SUM(BW28:BZ28)</f>
        <v>0</v>
      </c>
    </row>
    <row r="29" spans="2:78" s="16" customFormat="1" x14ac:dyDescent="0.25">
      <c r="B29" s="16" t="s">
        <v>31</v>
      </c>
      <c r="AR29" s="16">
        <f t="shared" si="183"/>
        <v>0</v>
      </c>
      <c r="AS29" s="16">
        <f t="shared" si="184"/>
        <v>0</v>
      </c>
      <c r="AT29" s="16">
        <f t="shared" si="185"/>
        <v>0</v>
      </c>
      <c r="AU29" s="16">
        <f t="shared" si="186"/>
        <v>0</v>
      </c>
      <c r="AV29" s="16">
        <f t="shared" si="187"/>
        <v>0</v>
      </c>
      <c r="AX29" s="16">
        <f t="shared" si="188"/>
        <v>0</v>
      </c>
      <c r="AY29" s="16">
        <f t="shared" si="189"/>
        <v>0</v>
      </c>
      <c r="AZ29" s="16">
        <f t="shared" si="190"/>
        <v>0</v>
      </c>
      <c r="BA29" s="16">
        <f t="shared" si="191"/>
        <v>0</v>
      </c>
      <c r="BB29" s="16">
        <f t="shared" si="192"/>
        <v>0</v>
      </c>
      <c r="BD29" s="16">
        <f t="shared" si="193"/>
        <v>0</v>
      </c>
      <c r="BE29" s="16">
        <f t="shared" si="194"/>
        <v>0</v>
      </c>
      <c r="BF29" s="16">
        <f t="shared" si="195"/>
        <v>0</v>
      </c>
      <c r="BG29" s="16">
        <f t="shared" si="196"/>
        <v>0</v>
      </c>
      <c r="BH29" s="16">
        <f t="shared" si="197"/>
        <v>0</v>
      </c>
      <c r="BJ29" s="16">
        <f t="shared" si="198"/>
        <v>0</v>
      </c>
      <c r="BP29" s="16">
        <f t="shared" si="199"/>
        <v>0</v>
      </c>
      <c r="BV29" s="16">
        <f t="shared" si="200"/>
        <v>0</v>
      </c>
    </row>
    <row r="30" spans="2:78" s="16" customFormat="1" x14ac:dyDescent="0.25">
      <c r="B30" s="16" t="s">
        <v>33</v>
      </c>
      <c r="AR30" s="16">
        <f t="shared" si="183"/>
        <v>0</v>
      </c>
      <c r="AS30" s="16">
        <f t="shared" si="184"/>
        <v>0</v>
      </c>
      <c r="AT30" s="16">
        <f t="shared" si="185"/>
        <v>0</v>
      </c>
      <c r="AU30" s="16">
        <f t="shared" si="186"/>
        <v>0</v>
      </c>
      <c r="AV30" s="16">
        <f t="shared" si="187"/>
        <v>0</v>
      </c>
      <c r="AX30" s="16">
        <f t="shared" si="188"/>
        <v>0</v>
      </c>
      <c r="AY30" s="16">
        <f t="shared" si="189"/>
        <v>0</v>
      </c>
      <c r="AZ30" s="16">
        <f t="shared" si="190"/>
        <v>0</v>
      </c>
      <c r="BA30" s="16">
        <f t="shared" si="191"/>
        <v>0</v>
      </c>
      <c r="BB30" s="16">
        <f t="shared" si="192"/>
        <v>0</v>
      </c>
      <c r="BD30" s="16">
        <f t="shared" si="193"/>
        <v>0</v>
      </c>
      <c r="BE30" s="16">
        <f t="shared" si="194"/>
        <v>0</v>
      </c>
      <c r="BF30" s="16">
        <f t="shared" si="195"/>
        <v>0</v>
      </c>
      <c r="BG30" s="16">
        <f t="shared" si="196"/>
        <v>0</v>
      </c>
      <c r="BH30" s="16">
        <f t="shared" si="197"/>
        <v>0</v>
      </c>
      <c r="BJ30" s="16">
        <f t="shared" si="198"/>
        <v>0</v>
      </c>
      <c r="BP30" s="16">
        <f t="shared" si="199"/>
        <v>0</v>
      </c>
      <c r="BV30" s="16">
        <f t="shared" si="200"/>
        <v>0</v>
      </c>
    </row>
    <row r="31" spans="2:78" s="16" customFormat="1" x14ac:dyDescent="0.25">
      <c r="B31" s="16" t="s">
        <v>30</v>
      </c>
      <c r="AR31" s="16">
        <f t="shared" si="183"/>
        <v>0</v>
      </c>
      <c r="AS31" s="16">
        <f t="shared" si="184"/>
        <v>0</v>
      </c>
      <c r="AT31" s="16">
        <f t="shared" si="185"/>
        <v>0</v>
      </c>
      <c r="AU31" s="16">
        <f t="shared" si="186"/>
        <v>0</v>
      </c>
      <c r="AV31" s="16">
        <f t="shared" si="187"/>
        <v>0</v>
      </c>
      <c r="AX31" s="16">
        <f t="shared" si="188"/>
        <v>0</v>
      </c>
      <c r="AY31" s="16">
        <f t="shared" si="189"/>
        <v>0</v>
      </c>
      <c r="AZ31" s="16">
        <f t="shared" si="190"/>
        <v>0</v>
      </c>
      <c r="BA31" s="16">
        <f t="shared" si="191"/>
        <v>0</v>
      </c>
      <c r="BB31" s="16">
        <f t="shared" si="192"/>
        <v>0</v>
      </c>
      <c r="BD31" s="16">
        <f t="shared" si="193"/>
        <v>0</v>
      </c>
      <c r="BE31" s="16">
        <f t="shared" si="194"/>
        <v>0</v>
      </c>
      <c r="BF31" s="16">
        <f t="shared" si="195"/>
        <v>0</v>
      </c>
      <c r="BG31" s="16">
        <f t="shared" si="196"/>
        <v>0</v>
      </c>
      <c r="BH31" s="16">
        <f t="shared" si="197"/>
        <v>0</v>
      </c>
      <c r="BJ31" s="16">
        <f t="shared" si="198"/>
        <v>0</v>
      </c>
      <c r="BP31" s="16">
        <f t="shared" si="199"/>
        <v>0</v>
      </c>
      <c r="BV31" s="16">
        <f t="shared" si="200"/>
        <v>0</v>
      </c>
    </row>
    <row r="32" spans="2:78" s="16" customFormat="1" x14ac:dyDescent="0.25">
      <c r="B32" s="16" t="s">
        <v>34</v>
      </c>
      <c r="AR32" s="16">
        <f t="shared" si="183"/>
        <v>0</v>
      </c>
      <c r="AS32" s="16">
        <f t="shared" si="184"/>
        <v>0</v>
      </c>
      <c r="AT32" s="16">
        <f t="shared" si="185"/>
        <v>0</v>
      </c>
      <c r="AU32" s="16">
        <f t="shared" si="186"/>
        <v>0</v>
      </c>
      <c r="AV32" s="16">
        <f t="shared" si="187"/>
        <v>0</v>
      </c>
      <c r="AX32" s="16">
        <f t="shared" si="188"/>
        <v>0</v>
      </c>
      <c r="AY32" s="16">
        <f t="shared" si="189"/>
        <v>0</v>
      </c>
      <c r="AZ32" s="16">
        <f t="shared" si="190"/>
        <v>0</v>
      </c>
      <c r="BA32" s="16">
        <f t="shared" si="191"/>
        <v>0</v>
      </c>
      <c r="BB32" s="16">
        <f t="shared" si="192"/>
        <v>0</v>
      </c>
      <c r="BD32" s="16">
        <f t="shared" si="193"/>
        <v>0</v>
      </c>
      <c r="BE32" s="16">
        <f t="shared" si="194"/>
        <v>0</v>
      </c>
      <c r="BF32" s="16">
        <f t="shared" si="195"/>
        <v>0</v>
      </c>
      <c r="BG32" s="16">
        <f t="shared" si="196"/>
        <v>0</v>
      </c>
      <c r="BH32" s="16">
        <f t="shared" si="197"/>
        <v>0</v>
      </c>
      <c r="BJ32" s="16">
        <f t="shared" si="198"/>
        <v>0</v>
      </c>
      <c r="BP32" s="16">
        <f t="shared" si="199"/>
        <v>0</v>
      </c>
      <c r="BV32" s="16">
        <f t="shared" si="200"/>
        <v>0</v>
      </c>
    </row>
    <row r="33" spans="2:78" s="16" customFormat="1" x14ac:dyDescent="0.25"/>
    <row r="34" spans="2:78" s="16" customFormat="1" x14ac:dyDescent="0.25">
      <c r="B34" s="16" t="s">
        <v>35</v>
      </c>
      <c r="E34" s="17">
        <f>SUBTOTAL(9,E28:E33)</f>
        <v>0</v>
      </c>
      <c r="F34" s="17">
        <f t="shared" ref="F34:P34" si="201">SUBTOTAL(9,F28:F33)</f>
        <v>0</v>
      </c>
      <c r="G34" s="17">
        <f t="shared" si="201"/>
        <v>0</v>
      </c>
      <c r="H34" s="17">
        <f t="shared" si="201"/>
        <v>0</v>
      </c>
      <c r="I34" s="17">
        <f t="shared" si="201"/>
        <v>0</v>
      </c>
      <c r="J34" s="17">
        <f t="shared" si="201"/>
        <v>0</v>
      </c>
      <c r="K34" s="17">
        <f t="shared" si="201"/>
        <v>0</v>
      </c>
      <c r="L34" s="17">
        <f t="shared" si="201"/>
        <v>0</v>
      </c>
      <c r="M34" s="17">
        <f t="shared" si="201"/>
        <v>0</v>
      </c>
      <c r="N34" s="17">
        <f t="shared" si="201"/>
        <v>0</v>
      </c>
      <c r="O34" s="17">
        <f t="shared" si="201"/>
        <v>0</v>
      </c>
      <c r="P34" s="17">
        <f t="shared" si="201"/>
        <v>0</v>
      </c>
      <c r="R34" s="17">
        <f>SUBTOTAL(9,R28:R33)</f>
        <v>0</v>
      </c>
      <c r="S34" s="17">
        <f t="shared" ref="S34" si="202">SUBTOTAL(9,S28:S33)</f>
        <v>0</v>
      </c>
      <c r="T34" s="17">
        <f t="shared" ref="T34" si="203">SUBTOTAL(9,T28:T33)</f>
        <v>0</v>
      </c>
      <c r="U34" s="17">
        <f t="shared" ref="U34" si="204">SUBTOTAL(9,U28:U33)</f>
        <v>0</v>
      </c>
      <c r="V34" s="17">
        <f t="shared" ref="V34" si="205">SUBTOTAL(9,V28:V33)</f>
        <v>0</v>
      </c>
      <c r="W34" s="17">
        <f t="shared" ref="W34" si="206">SUBTOTAL(9,W28:W33)</f>
        <v>0</v>
      </c>
      <c r="X34" s="17">
        <f t="shared" ref="X34" si="207">SUBTOTAL(9,X28:X33)</f>
        <v>0</v>
      </c>
      <c r="Y34" s="17">
        <f t="shared" ref="Y34" si="208">SUBTOTAL(9,Y28:Y33)</f>
        <v>0</v>
      </c>
      <c r="Z34" s="17">
        <f t="shared" ref="Z34" si="209">SUBTOTAL(9,Z28:Z33)</f>
        <v>0</v>
      </c>
      <c r="AA34" s="17">
        <f t="shared" ref="AA34" si="210">SUBTOTAL(9,AA28:AA33)</f>
        <v>0</v>
      </c>
      <c r="AB34" s="17">
        <f t="shared" ref="AB34" si="211">SUBTOTAL(9,AB28:AB33)</f>
        <v>0</v>
      </c>
      <c r="AC34" s="17">
        <f t="shared" ref="AC34:AP34" si="212">SUBTOTAL(9,AC28:AC33)</f>
        <v>0</v>
      </c>
      <c r="AE34" s="17">
        <f t="shared" si="212"/>
        <v>0</v>
      </c>
      <c r="AF34" s="17">
        <f t="shared" si="212"/>
        <v>0</v>
      </c>
      <c r="AG34" s="17">
        <f t="shared" si="212"/>
        <v>0</v>
      </c>
      <c r="AH34" s="17">
        <f t="shared" si="212"/>
        <v>0</v>
      </c>
      <c r="AI34" s="17">
        <f t="shared" si="212"/>
        <v>0</v>
      </c>
      <c r="AJ34" s="17">
        <f t="shared" si="212"/>
        <v>0</v>
      </c>
      <c r="AK34" s="17">
        <f t="shared" si="212"/>
        <v>0</v>
      </c>
      <c r="AL34" s="17">
        <f t="shared" si="212"/>
        <v>0</v>
      </c>
      <c r="AM34" s="17">
        <f t="shared" si="212"/>
        <v>0</v>
      </c>
      <c r="AN34" s="17">
        <f t="shared" si="212"/>
        <v>0</v>
      </c>
      <c r="AO34" s="17">
        <f t="shared" si="212"/>
        <v>0</v>
      </c>
      <c r="AP34" s="17">
        <f t="shared" si="212"/>
        <v>0</v>
      </c>
      <c r="AR34" s="17">
        <f t="shared" ref="AR34:AV34" si="213">SUBTOTAL(9,AR28:AR33)</f>
        <v>0</v>
      </c>
      <c r="AS34" s="17">
        <f t="shared" si="213"/>
        <v>0</v>
      </c>
      <c r="AT34" s="17">
        <f t="shared" si="213"/>
        <v>0</v>
      </c>
      <c r="AU34" s="17">
        <f t="shared" si="213"/>
        <v>0</v>
      </c>
      <c r="AV34" s="17">
        <f t="shared" si="213"/>
        <v>0</v>
      </c>
      <c r="AX34" s="17">
        <f t="shared" ref="AX34:BB34" si="214">SUBTOTAL(9,AX28:AX33)</f>
        <v>0</v>
      </c>
      <c r="AY34" s="17">
        <f t="shared" si="214"/>
        <v>0</v>
      </c>
      <c r="AZ34" s="17">
        <f t="shared" si="214"/>
        <v>0</v>
      </c>
      <c r="BA34" s="17">
        <f t="shared" si="214"/>
        <v>0</v>
      </c>
      <c r="BB34" s="17">
        <f t="shared" si="214"/>
        <v>0</v>
      </c>
      <c r="BD34" s="17">
        <f t="shared" ref="BD34:BH34" si="215">SUBTOTAL(9,BD28:BD33)</f>
        <v>0</v>
      </c>
      <c r="BE34" s="17">
        <f t="shared" si="215"/>
        <v>0</v>
      </c>
      <c r="BF34" s="17">
        <f t="shared" si="215"/>
        <v>0</v>
      </c>
      <c r="BG34" s="17">
        <f t="shared" si="215"/>
        <v>0</v>
      </c>
      <c r="BH34" s="17">
        <f t="shared" si="215"/>
        <v>0</v>
      </c>
      <c r="BJ34" s="17">
        <f t="shared" ref="BJ34" si="216">SUBTOTAL(9,BJ28:BJ33)</f>
        <v>0</v>
      </c>
      <c r="BK34" s="17">
        <f t="shared" ref="BK34:BN34" si="217">SUBTOTAL(9,BK28:BK33)</f>
        <v>0</v>
      </c>
      <c r="BL34" s="17">
        <f t="shared" si="217"/>
        <v>0</v>
      </c>
      <c r="BM34" s="17">
        <f t="shared" si="217"/>
        <v>0</v>
      </c>
      <c r="BN34" s="17">
        <f t="shared" si="217"/>
        <v>0</v>
      </c>
      <c r="BP34" s="17">
        <f t="shared" ref="BP34" si="218">SUBTOTAL(9,BP28:BP33)</f>
        <v>0</v>
      </c>
      <c r="BQ34" s="17">
        <f t="shared" ref="BQ34:BT34" si="219">SUBTOTAL(9,BQ28:BQ33)</f>
        <v>0</v>
      </c>
      <c r="BR34" s="17">
        <f t="shared" si="219"/>
        <v>0</v>
      </c>
      <c r="BS34" s="17">
        <f t="shared" si="219"/>
        <v>0</v>
      </c>
      <c r="BT34" s="17">
        <f t="shared" si="219"/>
        <v>0</v>
      </c>
      <c r="BV34" s="17">
        <f t="shared" ref="BV34" si="220">SUBTOTAL(9,BV28:BV33)</f>
        <v>0</v>
      </c>
      <c r="BW34" s="17">
        <f t="shared" ref="BW34:BZ34" si="221">SUBTOTAL(9,BW28:BW33)</f>
        <v>0</v>
      </c>
      <c r="BX34" s="17">
        <f t="shared" si="221"/>
        <v>0</v>
      </c>
      <c r="BY34" s="17">
        <f t="shared" si="221"/>
        <v>0</v>
      </c>
      <c r="BZ34" s="17">
        <f t="shared" si="221"/>
        <v>0</v>
      </c>
    </row>
    <row r="35" spans="2:78" s="16" customFormat="1" x14ac:dyDescent="0.25">
      <c r="E35" s="22"/>
      <c r="F35" s="22"/>
      <c r="G35" s="22"/>
      <c r="H35" s="22"/>
      <c r="I35" s="22"/>
      <c r="J35" s="22"/>
      <c r="K35" s="22"/>
      <c r="L35" s="22"/>
      <c r="M35" s="22"/>
      <c r="N35" s="22"/>
      <c r="O35" s="22"/>
      <c r="P35" s="22"/>
      <c r="R35" s="22"/>
      <c r="S35" s="22"/>
      <c r="T35" s="22"/>
      <c r="U35" s="22"/>
      <c r="V35" s="22"/>
      <c r="W35" s="22"/>
      <c r="X35" s="22"/>
      <c r="Y35" s="22"/>
      <c r="Z35" s="22"/>
      <c r="AA35" s="22"/>
      <c r="AB35" s="22"/>
      <c r="AC35" s="22"/>
      <c r="AE35" s="22"/>
      <c r="AF35" s="22"/>
      <c r="AG35" s="22"/>
      <c r="AH35" s="22"/>
      <c r="AI35" s="22"/>
      <c r="AJ35" s="22"/>
      <c r="AK35" s="22"/>
      <c r="AL35" s="22"/>
      <c r="AM35" s="22"/>
      <c r="AN35" s="22"/>
      <c r="AO35" s="22"/>
      <c r="AP35" s="22"/>
      <c r="BJ35" s="22"/>
      <c r="BK35" s="22"/>
      <c r="BL35" s="22"/>
      <c r="BM35" s="22"/>
      <c r="BN35" s="22"/>
      <c r="BP35" s="22"/>
      <c r="BQ35" s="22"/>
      <c r="BR35" s="22"/>
      <c r="BS35" s="22"/>
      <c r="BT35" s="22"/>
      <c r="BV35" s="22"/>
      <c r="BW35" s="22"/>
      <c r="BX35" s="22"/>
      <c r="BY35" s="22"/>
      <c r="BZ35" s="22"/>
    </row>
    <row r="36" spans="2:78" s="16" customFormat="1" x14ac:dyDescent="0.25">
      <c r="B36" s="16" t="s">
        <v>203</v>
      </c>
      <c r="AR36" s="16">
        <f t="shared" ref="AR36:AR39" si="222">SUM(E36:P36)</f>
        <v>0</v>
      </c>
      <c r="AS36" s="16">
        <f t="shared" ref="AS36:AS39" si="223">SUM(E36:G36)</f>
        <v>0</v>
      </c>
      <c r="AT36" s="16">
        <f t="shared" ref="AT36:AT39" si="224">SUM(H36:J36)</f>
        <v>0</v>
      </c>
      <c r="AU36" s="16">
        <f t="shared" ref="AU36:AU39" si="225">SUM(K36:M36)</f>
        <v>0</v>
      </c>
      <c r="AV36" s="16">
        <f t="shared" ref="AV36:AV39" si="226">SUM(N36:P36)</f>
        <v>0</v>
      </c>
      <c r="AX36" s="16">
        <f t="shared" ref="AX36:AX39" si="227">SUM(R36:AC36)</f>
        <v>0</v>
      </c>
      <c r="AY36" s="16">
        <f t="shared" ref="AY36:AY39" si="228">SUM(R36:T36)</f>
        <v>0</v>
      </c>
      <c r="AZ36" s="16">
        <f t="shared" ref="AZ36:AZ39" si="229">SUM(U36:W36)</f>
        <v>0</v>
      </c>
      <c r="BA36" s="16">
        <f t="shared" ref="BA36:BA39" si="230">SUM(X36:Z36)</f>
        <v>0</v>
      </c>
      <c r="BB36" s="16">
        <f t="shared" ref="BB36:BB39" si="231">SUM(AA36:AC36)</f>
        <v>0</v>
      </c>
      <c r="BD36" s="16">
        <f t="shared" ref="BD36:BD39" si="232">SUM(AE36:AP36)</f>
        <v>0</v>
      </c>
      <c r="BE36" s="16">
        <f t="shared" ref="BE36:BE39" si="233">SUM(AE36:AG36)</f>
        <v>0</v>
      </c>
      <c r="BF36" s="16">
        <f t="shared" ref="BF36:BF39" si="234">SUM(AH36:AJ36)</f>
        <v>0</v>
      </c>
      <c r="BG36" s="16">
        <f t="shared" ref="BG36:BG39" si="235">SUM(AK36:AM36)</f>
        <v>0</v>
      </c>
      <c r="BH36" s="16">
        <f t="shared" ref="BH36:BH39" si="236">SUM(AN36:AP36)</f>
        <v>0</v>
      </c>
      <c r="BJ36" s="16">
        <f t="shared" ref="BJ36:BJ39" si="237">SUM(BK36:BN36)</f>
        <v>0</v>
      </c>
      <c r="BP36" s="16">
        <f t="shared" ref="BP36:BP39" si="238">SUM(BQ36:BT36)</f>
        <v>0</v>
      </c>
      <c r="BV36" s="16">
        <f t="shared" ref="BV36:BV39" si="239">SUM(BW36:BZ36)</f>
        <v>0</v>
      </c>
    </row>
    <row r="37" spans="2:78" s="16" customFormat="1" x14ac:dyDescent="0.25">
      <c r="B37" s="16" t="s">
        <v>204</v>
      </c>
      <c r="AR37" s="16">
        <f t="shared" si="222"/>
        <v>0</v>
      </c>
      <c r="AS37" s="16">
        <f t="shared" si="223"/>
        <v>0</v>
      </c>
      <c r="AT37" s="16">
        <f t="shared" si="224"/>
        <v>0</v>
      </c>
      <c r="AU37" s="16">
        <f t="shared" si="225"/>
        <v>0</v>
      </c>
      <c r="AV37" s="16">
        <f t="shared" si="226"/>
        <v>0</v>
      </c>
      <c r="AX37" s="16">
        <f t="shared" si="227"/>
        <v>0</v>
      </c>
      <c r="AY37" s="16">
        <f t="shared" si="228"/>
        <v>0</v>
      </c>
      <c r="AZ37" s="16">
        <f t="shared" si="229"/>
        <v>0</v>
      </c>
      <c r="BA37" s="16">
        <f t="shared" si="230"/>
        <v>0</v>
      </c>
      <c r="BB37" s="16">
        <f t="shared" si="231"/>
        <v>0</v>
      </c>
      <c r="BD37" s="16">
        <f t="shared" si="232"/>
        <v>0</v>
      </c>
      <c r="BE37" s="16">
        <f t="shared" si="233"/>
        <v>0</v>
      </c>
      <c r="BF37" s="16">
        <f t="shared" si="234"/>
        <v>0</v>
      </c>
      <c r="BG37" s="16">
        <f t="shared" si="235"/>
        <v>0</v>
      </c>
      <c r="BH37" s="16">
        <f t="shared" si="236"/>
        <v>0</v>
      </c>
      <c r="BJ37" s="16">
        <f t="shared" si="237"/>
        <v>0</v>
      </c>
      <c r="BP37" s="16">
        <f t="shared" si="238"/>
        <v>0</v>
      </c>
      <c r="BV37" s="16">
        <f t="shared" si="239"/>
        <v>0</v>
      </c>
    </row>
    <row r="38" spans="2:78" s="16" customFormat="1" x14ac:dyDescent="0.25">
      <c r="B38" s="16" t="s">
        <v>205</v>
      </c>
      <c r="AR38" s="16">
        <f t="shared" si="222"/>
        <v>0</v>
      </c>
      <c r="AS38" s="16">
        <f t="shared" si="223"/>
        <v>0</v>
      </c>
      <c r="AT38" s="16">
        <f t="shared" si="224"/>
        <v>0</v>
      </c>
      <c r="AU38" s="16">
        <f t="shared" si="225"/>
        <v>0</v>
      </c>
      <c r="AV38" s="16">
        <f t="shared" si="226"/>
        <v>0</v>
      </c>
      <c r="AX38" s="16">
        <f t="shared" si="227"/>
        <v>0</v>
      </c>
      <c r="AY38" s="16">
        <f t="shared" si="228"/>
        <v>0</v>
      </c>
      <c r="AZ38" s="16">
        <f t="shared" si="229"/>
        <v>0</v>
      </c>
      <c r="BA38" s="16">
        <f t="shared" si="230"/>
        <v>0</v>
      </c>
      <c r="BB38" s="16">
        <f t="shared" si="231"/>
        <v>0</v>
      </c>
      <c r="BD38" s="16">
        <f t="shared" si="232"/>
        <v>0</v>
      </c>
      <c r="BE38" s="16">
        <f t="shared" si="233"/>
        <v>0</v>
      </c>
      <c r="BF38" s="16">
        <f t="shared" si="234"/>
        <v>0</v>
      </c>
      <c r="BG38" s="16">
        <f t="shared" si="235"/>
        <v>0</v>
      </c>
      <c r="BH38" s="16">
        <f t="shared" si="236"/>
        <v>0</v>
      </c>
      <c r="BJ38" s="16">
        <f t="shared" si="237"/>
        <v>0</v>
      </c>
      <c r="BP38" s="16">
        <f t="shared" si="238"/>
        <v>0</v>
      </c>
      <c r="BV38" s="16">
        <f t="shared" si="239"/>
        <v>0</v>
      </c>
    </row>
    <row r="39" spans="2:78" s="16" customFormat="1" x14ac:dyDescent="0.25">
      <c r="B39" s="16" t="s">
        <v>174</v>
      </c>
      <c r="AR39" s="16">
        <f t="shared" si="222"/>
        <v>0</v>
      </c>
      <c r="AS39" s="16">
        <f t="shared" si="223"/>
        <v>0</v>
      </c>
      <c r="AT39" s="16">
        <f t="shared" si="224"/>
        <v>0</v>
      </c>
      <c r="AU39" s="16">
        <f t="shared" si="225"/>
        <v>0</v>
      </c>
      <c r="AV39" s="16">
        <f t="shared" si="226"/>
        <v>0</v>
      </c>
      <c r="AX39" s="16">
        <f t="shared" si="227"/>
        <v>0</v>
      </c>
      <c r="AY39" s="16">
        <f t="shared" si="228"/>
        <v>0</v>
      </c>
      <c r="AZ39" s="16">
        <f t="shared" si="229"/>
        <v>0</v>
      </c>
      <c r="BA39" s="16">
        <f t="shared" si="230"/>
        <v>0</v>
      </c>
      <c r="BB39" s="16">
        <f t="shared" si="231"/>
        <v>0</v>
      </c>
      <c r="BD39" s="16">
        <f t="shared" si="232"/>
        <v>0</v>
      </c>
      <c r="BE39" s="16">
        <f t="shared" si="233"/>
        <v>0</v>
      </c>
      <c r="BF39" s="16">
        <f t="shared" si="234"/>
        <v>0</v>
      </c>
      <c r="BG39" s="16">
        <f t="shared" si="235"/>
        <v>0</v>
      </c>
      <c r="BH39" s="16">
        <f t="shared" si="236"/>
        <v>0</v>
      </c>
      <c r="BJ39" s="16">
        <f t="shared" si="237"/>
        <v>0</v>
      </c>
      <c r="BP39" s="16">
        <f t="shared" si="238"/>
        <v>0</v>
      </c>
      <c r="BV39" s="16">
        <f t="shared" si="239"/>
        <v>0</v>
      </c>
    </row>
    <row r="40" spans="2:78" s="16" customFormat="1" x14ac:dyDescent="0.25">
      <c r="E40" s="22"/>
      <c r="F40" s="22"/>
      <c r="G40" s="22"/>
      <c r="H40" s="22"/>
      <c r="I40" s="22"/>
      <c r="J40" s="22"/>
      <c r="K40" s="22"/>
      <c r="L40" s="22"/>
      <c r="M40" s="22"/>
      <c r="N40" s="22"/>
      <c r="O40" s="22"/>
      <c r="P40" s="22"/>
      <c r="R40" s="22"/>
      <c r="S40" s="22"/>
      <c r="T40" s="22"/>
      <c r="U40" s="22"/>
      <c r="V40" s="22"/>
      <c r="W40" s="22"/>
      <c r="X40" s="22"/>
      <c r="Y40" s="22"/>
      <c r="Z40" s="22"/>
      <c r="AA40" s="22"/>
      <c r="AB40" s="22"/>
      <c r="AC40" s="22"/>
      <c r="AE40" s="22"/>
      <c r="AF40" s="22"/>
      <c r="AG40" s="22"/>
      <c r="AH40" s="22"/>
      <c r="AI40" s="22"/>
      <c r="AJ40" s="22"/>
      <c r="AK40" s="22"/>
      <c r="AL40" s="22"/>
      <c r="AM40" s="22"/>
      <c r="AN40" s="22"/>
      <c r="AO40" s="22"/>
      <c r="AP40" s="22"/>
      <c r="BJ40" s="22"/>
      <c r="BK40" s="22"/>
      <c r="BL40" s="22"/>
      <c r="BM40" s="22"/>
      <c r="BN40" s="22"/>
      <c r="BP40" s="22"/>
      <c r="BQ40" s="22"/>
      <c r="BR40" s="22"/>
      <c r="BS40" s="22"/>
      <c r="BT40" s="22"/>
      <c r="BV40" s="22"/>
      <c r="BW40" s="22"/>
      <c r="BX40" s="22"/>
      <c r="BY40" s="22"/>
      <c r="BZ40" s="22"/>
    </row>
    <row r="41" spans="2:78" s="16" customFormat="1" x14ac:dyDescent="0.25">
      <c r="B41" s="16" t="s">
        <v>165</v>
      </c>
      <c r="E41" s="17">
        <f t="shared" ref="E41:P41" si="240">SUBTOTAL(9,E36:E40)</f>
        <v>0</v>
      </c>
      <c r="F41" s="17">
        <f t="shared" si="240"/>
        <v>0</v>
      </c>
      <c r="G41" s="17">
        <f t="shared" si="240"/>
        <v>0</v>
      </c>
      <c r="H41" s="17">
        <f t="shared" si="240"/>
        <v>0</v>
      </c>
      <c r="I41" s="17">
        <f t="shared" si="240"/>
        <v>0</v>
      </c>
      <c r="J41" s="17">
        <f t="shared" si="240"/>
        <v>0</v>
      </c>
      <c r="K41" s="17">
        <f t="shared" si="240"/>
        <v>0</v>
      </c>
      <c r="L41" s="17">
        <f t="shared" si="240"/>
        <v>0</v>
      </c>
      <c r="M41" s="17">
        <f t="shared" si="240"/>
        <v>0</v>
      </c>
      <c r="N41" s="17">
        <f t="shared" si="240"/>
        <v>0</v>
      </c>
      <c r="O41" s="17">
        <f t="shared" si="240"/>
        <v>0</v>
      </c>
      <c r="P41" s="17">
        <f t="shared" si="240"/>
        <v>0</v>
      </c>
      <c r="R41" s="17">
        <f t="shared" ref="R41:AC41" si="241">SUBTOTAL(9,R36:R40)</f>
        <v>0</v>
      </c>
      <c r="S41" s="17">
        <f t="shared" si="241"/>
        <v>0</v>
      </c>
      <c r="T41" s="17">
        <f t="shared" si="241"/>
        <v>0</v>
      </c>
      <c r="U41" s="17">
        <f t="shared" si="241"/>
        <v>0</v>
      </c>
      <c r="V41" s="17">
        <f t="shared" si="241"/>
        <v>0</v>
      </c>
      <c r="W41" s="17">
        <f t="shared" si="241"/>
        <v>0</v>
      </c>
      <c r="X41" s="17">
        <f t="shared" si="241"/>
        <v>0</v>
      </c>
      <c r="Y41" s="17">
        <f t="shared" si="241"/>
        <v>0</v>
      </c>
      <c r="Z41" s="17">
        <f t="shared" si="241"/>
        <v>0</v>
      </c>
      <c r="AA41" s="17">
        <f t="shared" si="241"/>
        <v>0</v>
      </c>
      <c r="AB41" s="17">
        <f t="shared" si="241"/>
        <v>0</v>
      </c>
      <c r="AC41" s="17">
        <f t="shared" si="241"/>
        <v>0</v>
      </c>
      <c r="AE41" s="17">
        <f t="shared" ref="AE41:AP41" si="242">SUBTOTAL(9,AE36:AE40)</f>
        <v>0</v>
      </c>
      <c r="AF41" s="17">
        <f t="shared" si="242"/>
        <v>0</v>
      </c>
      <c r="AG41" s="17">
        <f t="shared" si="242"/>
        <v>0</v>
      </c>
      <c r="AH41" s="17">
        <f t="shared" si="242"/>
        <v>0</v>
      </c>
      <c r="AI41" s="17">
        <f t="shared" si="242"/>
        <v>0</v>
      </c>
      <c r="AJ41" s="17">
        <f t="shared" si="242"/>
        <v>0</v>
      </c>
      <c r="AK41" s="17">
        <f t="shared" si="242"/>
        <v>0</v>
      </c>
      <c r="AL41" s="17">
        <f t="shared" si="242"/>
        <v>0</v>
      </c>
      <c r="AM41" s="17">
        <f t="shared" si="242"/>
        <v>0</v>
      </c>
      <c r="AN41" s="17">
        <f t="shared" si="242"/>
        <v>0</v>
      </c>
      <c r="AO41" s="17">
        <f t="shared" si="242"/>
        <v>0</v>
      </c>
      <c r="AP41" s="17">
        <f t="shared" si="242"/>
        <v>0</v>
      </c>
      <c r="AR41" s="17">
        <f t="shared" ref="AR41:AV41" si="243">SUBTOTAL(9,AR36:AR40)</f>
        <v>0</v>
      </c>
      <c r="AS41" s="17">
        <f t="shared" si="243"/>
        <v>0</v>
      </c>
      <c r="AT41" s="17">
        <f t="shared" si="243"/>
        <v>0</v>
      </c>
      <c r="AU41" s="17">
        <f t="shared" si="243"/>
        <v>0</v>
      </c>
      <c r="AV41" s="17">
        <f t="shared" si="243"/>
        <v>0</v>
      </c>
      <c r="AX41" s="17">
        <f t="shared" ref="AX41" si="244">SUBTOTAL(9,AX36:AX40)</f>
        <v>0</v>
      </c>
      <c r="AY41" s="17">
        <f t="shared" ref="AY41" si="245">SUBTOTAL(9,AY36:AY40)</f>
        <v>0</v>
      </c>
      <c r="AZ41" s="17">
        <f t="shared" ref="AZ41" si="246">SUBTOTAL(9,AZ36:AZ40)</f>
        <v>0</v>
      </c>
      <c r="BA41" s="17">
        <f t="shared" ref="BA41" si="247">SUBTOTAL(9,BA36:BA40)</f>
        <v>0</v>
      </c>
      <c r="BB41" s="17">
        <f t="shared" ref="BB41" si="248">SUBTOTAL(9,BB36:BB40)</f>
        <v>0</v>
      </c>
      <c r="BD41" s="17">
        <f t="shared" ref="BD41" si="249">SUBTOTAL(9,BD36:BD40)</f>
        <v>0</v>
      </c>
      <c r="BE41" s="17">
        <f t="shared" ref="BE41" si="250">SUBTOTAL(9,BE36:BE40)</f>
        <v>0</v>
      </c>
      <c r="BF41" s="17">
        <f t="shared" ref="BF41" si="251">SUBTOTAL(9,BF36:BF40)</f>
        <v>0</v>
      </c>
      <c r="BG41" s="17">
        <f t="shared" ref="BG41" si="252">SUBTOTAL(9,BG36:BG40)</f>
        <v>0</v>
      </c>
      <c r="BH41" s="17">
        <f t="shared" ref="BH41" si="253">SUBTOTAL(9,BH36:BH40)</f>
        <v>0</v>
      </c>
      <c r="BJ41" s="17">
        <f t="shared" ref="BJ41" si="254">SUBTOTAL(9,BJ36:BJ40)</f>
        <v>0</v>
      </c>
      <c r="BK41" s="17">
        <f t="shared" ref="BK41:BN41" si="255">SUBTOTAL(9,BK36:BK40)</f>
        <v>0</v>
      </c>
      <c r="BL41" s="17">
        <f t="shared" si="255"/>
        <v>0</v>
      </c>
      <c r="BM41" s="17">
        <f t="shared" si="255"/>
        <v>0</v>
      </c>
      <c r="BN41" s="17">
        <f t="shared" si="255"/>
        <v>0</v>
      </c>
      <c r="BP41" s="17">
        <f t="shared" ref="BP41" si="256">SUBTOTAL(9,BP36:BP40)</f>
        <v>0</v>
      </c>
      <c r="BQ41" s="17">
        <f t="shared" ref="BQ41:BT41" si="257">SUBTOTAL(9,BQ36:BQ40)</f>
        <v>0</v>
      </c>
      <c r="BR41" s="17">
        <f t="shared" si="257"/>
        <v>0</v>
      </c>
      <c r="BS41" s="17">
        <f t="shared" si="257"/>
        <v>0</v>
      </c>
      <c r="BT41" s="17">
        <f t="shared" si="257"/>
        <v>0</v>
      </c>
      <c r="BV41" s="17">
        <f t="shared" ref="BV41" si="258">SUBTOTAL(9,BV36:BV40)</f>
        <v>0</v>
      </c>
      <c r="BW41" s="17">
        <f t="shared" ref="BW41:BZ41" si="259">SUBTOTAL(9,BW36:BW40)</f>
        <v>0</v>
      </c>
      <c r="BX41" s="17">
        <f t="shared" si="259"/>
        <v>0</v>
      </c>
      <c r="BY41" s="17">
        <f t="shared" si="259"/>
        <v>0</v>
      </c>
      <c r="BZ41" s="17">
        <f t="shared" si="259"/>
        <v>0</v>
      </c>
    </row>
    <row r="42" spans="2:78" s="16" customFormat="1" x14ac:dyDescent="0.25"/>
    <row r="43" spans="2:78" s="16" customFormat="1" x14ac:dyDescent="0.25">
      <c r="B43" s="16" t="s">
        <v>134</v>
      </c>
      <c r="AR43" s="16">
        <f t="shared" ref="AR43:AR52" si="260">SUM(E43:P43)</f>
        <v>0</v>
      </c>
      <c r="AS43" s="16">
        <f t="shared" ref="AS43:AS52" si="261">SUM(E43:G43)</f>
        <v>0</v>
      </c>
      <c r="AT43" s="16">
        <f t="shared" ref="AT43:AT52" si="262">SUM(H43:J43)</f>
        <v>0</v>
      </c>
      <c r="AU43" s="16">
        <f t="shared" ref="AU43:AU52" si="263">SUM(K43:M43)</f>
        <v>0</v>
      </c>
      <c r="AV43" s="16">
        <f t="shared" ref="AV43:AV52" si="264">SUM(N43:P43)</f>
        <v>0</v>
      </c>
      <c r="AX43" s="16">
        <f t="shared" ref="AX43:AX52" si="265">SUM(R43:AC43)</f>
        <v>0</v>
      </c>
      <c r="AY43" s="16">
        <f t="shared" ref="AY43:AY52" si="266">SUM(R43:T43)</f>
        <v>0</v>
      </c>
      <c r="AZ43" s="16">
        <f t="shared" ref="AZ43:AZ52" si="267">SUM(U43:W43)</f>
        <v>0</v>
      </c>
      <c r="BA43" s="16">
        <f t="shared" ref="BA43:BA52" si="268">SUM(X43:Z43)</f>
        <v>0</v>
      </c>
      <c r="BB43" s="16">
        <f t="shared" ref="BB43:BB52" si="269">SUM(AA43:AC43)</f>
        <v>0</v>
      </c>
      <c r="BD43" s="16">
        <f t="shared" ref="BD43:BD52" si="270">SUM(AE43:AP43)</f>
        <v>0</v>
      </c>
      <c r="BE43" s="16">
        <f t="shared" ref="BE43:BE52" si="271">SUM(AE43:AG43)</f>
        <v>0</v>
      </c>
      <c r="BF43" s="16">
        <f t="shared" ref="BF43:BF52" si="272">SUM(AH43:AJ43)</f>
        <v>0</v>
      </c>
      <c r="BG43" s="16">
        <f t="shared" ref="BG43:BG52" si="273">SUM(AK43:AM43)</f>
        <v>0</v>
      </c>
      <c r="BH43" s="16">
        <f t="shared" ref="BH43:BH52" si="274">SUM(AN43:AP43)</f>
        <v>0</v>
      </c>
      <c r="BJ43" s="16">
        <f t="shared" ref="BJ43:BJ52" si="275">SUM(BK43:BN43)</f>
        <v>0</v>
      </c>
      <c r="BP43" s="16">
        <f t="shared" ref="BP43:BP52" si="276">SUM(BQ43:BT43)</f>
        <v>0</v>
      </c>
      <c r="BV43" s="16">
        <f t="shared" ref="BV43:BV52" si="277">SUM(BW43:BZ43)</f>
        <v>0</v>
      </c>
    </row>
    <row r="44" spans="2:78" s="16" customFormat="1" x14ac:dyDescent="0.25">
      <c r="B44" s="16" t="s">
        <v>135</v>
      </c>
      <c r="AR44" s="16">
        <f t="shared" si="260"/>
        <v>0</v>
      </c>
      <c r="AS44" s="16">
        <f t="shared" si="261"/>
        <v>0</v>
      </c>
      <c r="AT44" s="16">
        <f t="shared" si="262"/>
        <v>0</v>
      </c>
      <c r="AU44" s="16">
        <f t="shared" si="263"/>
        <v>0</v>
      </c>
      <c r="AV44" s="16">
        <f t="shared" si="264"/>
        <v>0</v>
      </c>
      <c r="AX44" s="16">
        <f t="shared" si="265"/>
        <v>0</v>
      </c>
      <c r="AY44" s="16">
        <f t="shared" si="266"/>
        <v>0</v>
      </c>
      <c r="AZ44" s="16">
        <f t="shared" si="267"/>
        <v>0</v>
      </c>
      <c r="BA44" s="16">
        <f t="shared" si="268"/>
        <v>0</v>
      </c>
      <c r="BB44" s="16">
        <f t="shared" si="269"/>
        <v>0</v>
      </c>
      <c r="BD44" s="16">
        <f t="shared" si="270"/>
        <v>0</v>
      </c>
      <c r="BE44" s="16">
        <f t="shared" si="271"/>
        <v>0</v>
      </c>
      <c r="BF44" s="16">
        <f t="shared" si="272"/>
        <v>0</v>
      </c>
      <c r="BG44" s="16">
        <f t="shared" si="273"/>
        <v>0</v>
      </c>
      <c r="BH44" s="16">
        <f t="shared" si="274"/>
        <v>0</v>
      </c>
      <c r="BJ44" s="16">
        <f t="shared" si="275"/>
        <v>0</v>
      </c>
      <c r="BP44" s="16">
        <f t="shared" si="276"/>
        <v>0</v>
      </c>
      <c r="BV44" s="16">
        <f t="shared" si="277"/>
        <v>0</v>
      </c>
    </row>
    <row r="45" spans="2:78" s="16" customFormat="1" x14ac:dyDescent="0.25">
      <c r="B45" s="16" t="s">
        <v>136</v>
      </c>
      <c r="AR45" s="16">
        <f t="shared" si="260"/>
        <v>0</v>
      </c>
      <c r="AS45" s="16">
        <f t="shared" si="261"/>
        <v>0</v>
      </c>
      <c r="AT45" s="16">
        <f t="shared" si="262"/>
        <v>0</v>
      </c>
      <c r="AU45" s="16">
        <f t="shared" si="263"/>
        <v>0</v>
      </c>
      <c r="AV45" s="16">
        <f t="shared" si="264"/>
        <v>0</v>
      </c>
      <c r="AX45" s="16">
        <f t="shared" si="265"/>
        <v>0</v>
      </c>
      <c r="AY45" s="16">
        <f t="shared" si="266"/>
        <v>0</v>
      </c>
      <c r="AZ45" s="16">
        <f t="shared" si="267"/>
        <v>0</v>
      </c>
      <c r="BA45" s="16">
        <f t="shared" si="268"/>
        <v>0</v>
      </c>
      <c r="BB45" s="16">
        <f t="shared" si="269"/>
        <v>0</v>
      </c>
      <c r="BD45" s="16">
        <f t="shared" si="270"/>
        <v>0</v>
      </c>
      <c r="BE45" s="16">
        <f t="shared" si="271"/>
        <v>0</v>
      </c>
      <c r="BF45" s="16">
        <f t="shared" si="272"/>
        <v>0</v>
      </c>
      <c r="BG45" s="16">
        <f t="shared" si="273"/>
        <v>0</v>
      </c>
      <c r="BH45" s="16">
        <f t="shared" si="274"/>
        <v>0</v>
      </c>
      <c r="BJ45" s="16">
        <f t="shared" si="275"/>
        <v>0</v>
      </c>
      <c r="BP45" s="16">
        <f t="shared" si="276"/>
        <v>0</v>
      </c>
      <c r="BV45" s="16">
        <f t="shared" si="277"/>
        <v>0</v>
      </c>
    </row>
    <row r="46" spans="2:78" s="16" customFormat="1" x14ac:dyDescent="0.25">
      <c r="B46" s="16" t="s">
        <v>37</v>
      </c>
      <c r="AR46" s="16">
        <f t="shared" si="260"/>
        <v>0</v>
      </c>
      <c r="AS46" s="16">
        <f t="shared" si="261"/>
        <v>0</v>
      </c>
      <c r="AT46" s="16">
        <f t="shared" si="262"/>
        <v>0</v>
      </c>
      <c r="AU46" s="16">
        <f t="shared" si="263"/>
        <v>0</v>
      </c>
      <c r="AV46" s="16">
        <f t="shared" si="264"/>
        <v>0</v>
      </c>
      <c r="AX46" s="16">
        <f t="shared" si="265"/>
        <v>0</v>
      </c>
      <c r="AY46" s="16">
        <f t="shared" si="266"/>
        <v>0</v>
      </c>
      <c r="AZ46" s="16">
        <f t="shared" si="267"/>
        <v>0</v>
      </c>
      <c r="BA46" s="16">
        <f t="shared" si="268"/>
        <v>0</v>
      </c>
      <c r="BB46" s="16">
        <f t="shared" si="269"/>
        <v>0</v>
      </c>
      <c r="BD46" s="16">
        <f t="shared" si="270"/>
        <v>0</v>
      </c>
      <c r="BE46" s="16">
        <f t="shared" si="271"/>
        <v>0</v>
      </c>
      <c r="BF46" s="16">
        <f t="shared" si="272"/>
        <v>0</v>
      </c>
      <c r="BG46" s="16">
        <f t="shared" si="273"/>
        <v>0</v>
      </c>
      <c r="BH46" s="16">
        <f t="shared" si="274"/>
        <v>0</v>
      </c>
      <c r="BJ46" s="16">
        <f t="shared" si="275"/>
        <v>0</v>
      </c>
      <c r="BP46" s="16">
        <f t="shared" si="276"/>
        <v>0</v>
      </c>
      <c r="BV46" s="16">
        <f t="shared" si="277"/>
        <v>0</v>
      </c>
    </row>
    <row r="47" spans="2:78" s="16" customFormat="1" x14ac:dyDescent="0.25">
      <c r="B47" s="16" t="s">
        <v>137</v>
      </c>
      <c r="C47" s="16" t="s">
        <v>138</v>
      </c>
      <c r="AR47" s="16">
        <f t="shared" si="260"/>
        <v>0</v>
      </c>
      <c r="AS47" s="16">
        <f t="shared" si="261"/>
        <v>0</v>
      </c>
      <c r="AT47" s="16">
        <f t="shared" si="262"/>
        <v>0</v>
      </c>
      <c r="AU47" s="16">
        <f t="shared" si="263"/>
        <v>0</v>
      </c>
      <c r="AV47" s="16">
        <f t="shared" si="264"/>
        <v>0</v>
      </c>
      <c r="AX47" s="16">
        <f t="shared" si="265"/>
        <v>0</v>
      </c>
      <c r="AY47" s="16">
        <f t="shared" si="266"/>
        <v>0</v>
      </c>
      <c r="AZ47" s="16">
        <f t="shared" si="267"/>
        <v>0</v>
      </c>
      <c r="BA47" s="16">
        <f t="shared" si="268"/>
        <v>0</v>
      </c>
      <c r="BB47" s="16">
        <f t="shared" si="269"/>
        <v>0</v>
      </c>
      <c r="BD47" s="16">
        <f t="shared" si="270"/>
        <v>0</v>
      </c>
      <c r="BE47" s="16">
        <f t="shared" si="271"/>
        <v>0</v>
      </c>
      <c r="BF47" s="16">
        <f t="shared" si="272"/>
        <v>0</v>
      </c>
      <c r="BG47" s="16">
        <f t="shared" si="273"/>
        <v>0</v>
      </c>
      <c r="BH47" s="16">
        <f t="shared" si="274"/>
        <v>0</v>
      </c>
      <c r="BJ47" s="16">
        <f t="shared" si="275"/>
        <v>0</v>
      </c>
      <c r="BP47" s="16">
        <f t="shared" si="276"/>
        <v>0</v>
      </c>
      <c r="BV47" s="16">
        <f t="shared" si="277"/>
        <v>0</v>
      </c>
    </row>
    <row r="48" spans="2:78" s="16" customFormat="1" x14ac:dyDescent="0.25">
      <c r="B48" s="16" t="s">
        <v>38</v>
      </c>
      <c r="AR48" s="16">
        <f t="shared" si="260"/>
        <v>0</v>
      </c>
      <c r="AS48" s="16">
        <f t="shared" si="261"/>
        <v>0</v>
      </c>
      <c r="AT48" s="16">
        <f t="shared" si="262"/>
        <v>0</v>
      </c>
      <c r="AU48" s="16">
        <f t="shared" si="263"/>
        <v>0</v>
      </c>
      <c r="AV48" s="16">
        <f t="shared" si="264"/>
        <v>0</v>
      </c>
      <c r="AX48" s="16">
        <f t="shared" si="265"/>
        <v>0</v>
      </c>
      <c r="AY48" s="16">
        <f t="shared" si="266"/>
        <v>0</v>
      </c>
      <c r="AZ48" s="16">
        <f t="shared" si="267"/>
        <v>0</v>
      </c>
      <c r="BA48" s="16">
        <f t="shared" si="268"/>
        <v>0</v>
      </c>
      <c r="BB48" s="16">
        <f t="shared" si="269"/>
        <v>0</v>
      </c>
      <c r="BD48" s="16">
        <f t="shared" si="270"/>
        <v>0</v>
      </c>
      <c r="BE48" s="16">
        <f t="shared" si="271"/>
        <v>0</v>
      </c>
      <c r="BF48" s="16">
        <f t="shared" si="272"/>
        <v>0</v>
      </c>
      <c r="BG48" s="16">
        <f t="shared" si="273"/>
        <v>0</v>
      </c>
      <c r="BH48" s="16">
        <f t="shared" si="274"/>
        <v>0</v>
      </c>
      <c r="BJ48" s="16">
        <f t="shared" si="275"/>
        <v>0</v>
      </c>
      <c r="BP48" s="16">
        <f t="shared" si="276"/>
        <v>0</v>
      </c>
      <c r="BV48" s="16">
        <f t="shared" si="277"/>
        <v>0</v>
      </c>
    </row>
    <row r="49" spans="2:78" s="16" customFormat="1" x14ac:dyDescent="0.25">
      <c r="B49" s="16" t="s">
        <v>39</v>
      </c>
      <c r="AR49" s="16">
        <f t="shared" si="260"/>
        <v>0</v>
      </c>
      <c r="AS49" s="16">
        <f t="shared" si="261"/>
        <v>0</v>
      </c>
      <c r="AT49" s="16">
        <f t="shared" si="262"/>
        <v>0</v>
      </c>
      <c r="AU49" s="16">
        <f t="shared" si="263"/>
        <v>0</v>
      </c>
      <c r="AV49" s="16">
        <f t="shared" si="264"/>
        <v>0</v>
      </c>
      <c r="AX49" s="16">
        <f t="shared" si="265"/>
        <v>0</v>
      </c>
      <c r="AY49" s="16">
        <f t="shared" si="266"/>
        <v>0</v>
      </c>
      <c r="AZ49" s="16">
        <f t="shared" si="267"/>
        <v>0</v>
      </c>
      <c r="BA49" s="16">
        <f t="shared" si="268"/>
        <v>0</v>
      </c>
      <c r="BB49" s="16">
        <f t="shared" si="269"/>
        <v>0</v>
      </c>
      <c r="BD49" s="16">
        <f t="shared" si="270"/>
        <v>0</v>
      </c>
      <c r="BE49" s="16">
        <f t="shared" si="271"/>
        <v>0</v>
      </c>
      <c r="BF49" s="16">
        <f t="shared" si="272"/>
        <v>0</v>
      </c>
      <c r="BG49" s="16">
        <f t="shared" si="273"/>
        <v>0</v>
      </c>
      <c r="BH49" s="16">
        <f t="shared" si="274"/>
        <v>0</v>
      </c>
      <c r="BJ49" s="16">
        <f t="shared" si="275"/>
        <v>0</v>
      </c>
      <c r="BP49" s="16">
        <f t="shared" si="276"/>
        <v>0</v>
      </c>
      <c r="BV49" s="16">
        <f t="shared" si="277"/>
        <v>0</v>
      </c>
    </row>
    <row r="50" spans="2:78" s="16" customFormat="1" x14ac:dyDescent="0.25">
      <c r="B50" s="16" t="s">
        <v>40</v>
      </c>
      <c r="AR50" s="16">
        <f t="shared" si="260"/>
        <v>0</v>
      </c>
      <c r="AS50" s="16">
        <f t="shared" si="261"/>
        <v>0</v>
      </c>
      <c r="AT50" s="16">
        <f t="shared" si="262"/>
        <v>0</v>
      </c>
      <c r="AU50" s="16">
        <f t="shared" si="263"/>
        <v>0</v>
      </c>
      <c r="AV50" s="16">
        <f t="shared" si="264"/>
        <v>0</v>
      </c>
      <c r="AX50" s="16">
        <f t="shared" si="265"/>
        <v>0</v>
      </c>
      <c r="AY50" s="16">
        <f t="shared" si="266"/>
        <v>0</v>
      </c>
      <c r="AZ50" s="16">
        <f t="shared" si="267"/>
        <v>0</v>
      </c>
      <c r="BA50" s="16">
        <f t="shared" si="268"/>
        <v>0</v>
      </c>
      <c r="BB50" s="16">
        <f t="shared" si="269"/>
        <v>0</v>
      </c>
      <c r="BD50" s="16">
        <f t="shared" si="270"/>
        <v>0</v>
      </c>
      <c r="BE50" s="16">
        <f t="shared" si="271"/>
        <v>0</v>
      </c>
      <c r="BF50" s="16">
        <f t="shared" si="272"/>
        <v>0</v>
      </c>
      <c r="BG50" s="16">
        <f t="shared" si="273"/>
        <v>0</v>
      </c>
      <c r="BH50" s="16">
        <f t="shared" si="274"/>
        <v>0</v>
      </c>
      <c r="BJ50" s="16">
        <f t="shared" si="275"/>
        <v>0</v>
      </c>
      <c r="BP50" s="16">
        <f t="shared" si="276"/>
        <v>0</v>
      </c>
      <c r="BV50" s="16">
        <f t="shared" si="277"/>
        <v>0</v>
      </c>
    </row>
    <row r="51" spans="2:78" s="16" customFormat="1" x14ac:dyDescent="0.25">
      <c r="B51" s="16" t="s">
        <v>126</v>
      </c>
      <c r="E51" s="16">
        <f>+E177</f>
        <v>0</v>
      </c>
      <c r="F51" s="16">
        <f t="shared" ref="F51:P51" si="278">+F177</f>
        <v>0</v>
      </c>
      <c r="G51" s="16">
        <f t="shared" si="278"/>
        <v>0</v>
      </c>
      <c r="H51" s="16">
        <f t="shared" si="278"/>
        <v>0</v>
      </c>
      <c r="I51" s="16">
        <f t="shared" si="278"/>
        <v>0</v>
      </c>
      <c r="J51" s="16">
        <f t="shared" si="278"/>
        <v>500</v>
      </c>
      <c r="K51" s="16">
        <f t="shared" si="278"/>
        <v>0</v>
      </c>
      <c r="L51" s="16">
        <f t="shared" si="278"/>
        <v>0</v>
      </c>
      <c r="M51" s="16">
        <f t="shared" si="278"/>
        <v>0</v>
      </c>
      <c r="N51" s="16">
        <f t="shared" si="278"/>
        <v>0</v>
      </c>
      <c r="O51" s="16">
        <f t="shared" si="278"/>
        <v>0</v>
      </c>
      <c r="P51" s="16">
        <f t="shared" si="278"/>
        <v>500</v>
      </c>
      <c r="R51" s="16">
        <f t="shared" ref="R51:AC51" si="279">+R177</f>
        <v>5000</v>
      </c>
      <c r="S51" s="16">
        <f t="shared" si="279"/>
        <v>0</v>
      </c>
      <c r="T51" s="16">
        <f t="shared" si="279"/>
        <v>0</v>
      </c>
      <c r="U51" s="16">
        <f t="shared" si="279"/>
        <v>0</v>
      </c>
      <c r="V51" s="16">
        <f t="shared" si="279"/>
        <v>0</v>
      </c>
      <c r="W51" s="16">
        <f t="shared" si="279"/>
        <v>500</v>
      </c>
      <c r="X51" s="16">
        <f t="shared" si="279"/>
        <v>0</v>
      </c>
      <c r="Y51" s="16">
        <f t="shared" si="279"/>
        <v>0</v>
      </c>
      <c r="Z51" s="16">
        <f t="shared" si="279"/>
        <v>0</v>
      </c>
      <c r="AA51" s="16">
        <f t="shared" si="279"/>
        <v>0</v>
      </c>
      <c r="AB51" s="16">
        <f t="shared" si="279"/>
        <v>0</v>
      </c>
      <c r="AC51" s="16">
        <f t="shared" si="279"/>
        <v>0</v>
      </c>
      <c r="AE51" s="16">
        <f t="shared" ref="AE51:AP51" si="280">+AE177</f>
        <v>5000</v>
      </c>
      <c r="AF51" s="16">
        <f t="shared" si="280"/>
        <v>0</v>
      </c>
      <c r="AG51" s="16">
        <f t="shared" si="280"/>
        <v>0</v>
      </c>
      <c r="AH51" s="16">
        <f t="shared" si="280"/>
        <v>0</v>
      </c>
      <c r="AI51" s="16">
        <f t="shared" si="280"/>
        <v>0</v>
      </c>
      <c r="AJ51" s="16">
        <f t="shared" si="280"/>
        <v>0</v>
      </c>
      <c r="AK51" s="16">
        <f t="shared" si="280"/>
        <v>0</v>
      </c>
      <c r="AL51" s="16">
        <f t="shared" si="280"/>
        <v>0</v>
      </c>
      <c r="AM51" s="16">
        <f t="shared" si="280"/>
        <v>0</v>
      </c>
      <c r="AN51" s="16">
        <f t="shared" si="280"/>
        <v>0</v>
      </c>
      <c r="AO51" s="16">
        <f t="shared" si="280"/>
        <v>0</v>
      </c>
      <c r="AP51" s="16">
        <f t="shared" si="280"/>
        <v>0</v>
      </c>
      <c r="AR51" s="16">
        <f t="shared" si="260"/>
        <v>1000</v>
      </c>
      <c r="AS51" s="16">
        <f t="shared" si="261"/>
        <v>0</v>
      </c>
      <c r="AT51" s="16">
        <f t="shared" si="262"/>
        <v>500</v>
      </c>
      <c r="AU51" s="16">
        <f t="shared" si="263"/>
        <v>0</v>
      </c>
      <c r="AV51" s="16">
        <f t="shared" si="264"/>
        <v>500</v>
      </c>
      <c r="AX51" s="16">
        <f t="shared" si="265"/>
        <v>5500</v>
      </c>
      <c r="AY51" s="16">
        <f t="shared" si="266"/>
        <v>5000</v>
      </c>
      <c r="AZ51" s="16">
        <f t="shared" si="267"/>
        <v>500</v>
      </c>
      <c r="BA51" s="16">
        <f t="shared" si="268"/>
        <v>0</v>
      </c>
      <c r="BB51" s="16">
        <f t="shared" si="269"/>
        <v>0</v>
      </c>
      <c r="BD51" s="16">
        <f t="shared" si="270"/>
        <v>5000</v>
      </c>
      <c r="BE51" s="16">
        <f t="shared" si="271"/>
        <v>5000</v>
      </c>
      <c r="BF51" s="16">
        <f t="shared" si="272"/>
        <v>0</v>
      </c>
      <c r="BG51" s="16">
        <f t="shared" si="273"/>
        <v>0</v>
      </c>
      <c r="BH51" s="16">
        <f t="shared" si="274"/>
        <v>0</v>
      </c>
      <c r="BJ51" s="16">
        <f t="shared" si="275"/>
        <v>0</v>
      </c>
      <c r="BK51" s="16">
        <f t="shared" ref="BK51:BN51" si="281">+BK177</f>
        <v>0</v>
      </c>
      <c r="BL51" s="16">
        <f t="shared" si="281"/>
        <v>0</v>
      </c>
      <c r="BM51" s="16">
        <f t="shared" si="281"/>
        <v>0</v>
      </c>
      <c r="BN51" s="16">
        <f t="shared" si="281"/>
        <v>0</v>
      </c>
      <c r="BP51" s="16">
        <f t="shared" si="276"/>
        <v>0</v>
      </c>
      <c r="BQ51" s="16">
        <f t="shared" ref="BQ51:BT51" si="282">+BQ177</f>
        <v>0</v>
      </c>
      <c r="BR51" s="16">
        <f t="shared" si="282"/>
        <v>0</v>
      </c>
      <c r="BS51" s="16">
        <f t="shared" si="282"/>
        <v>0</v>
      </c>
      <c r="BT51" s="16">
        <f t="shared" si="282"/>
        <v>0</v>
      </c>
      <c r="BV51" s="16">
        <f t="shared" si="277"/>
        <v>0</v>
      </c>
      <c r="BW51" s="16">
        <f t="shared" ref="BW51:BZ51" si="283">+BW177</f>
        <v>0</v>
      </c>
      <c r="BX51" s="16">
        <f t="shared" si="283"/>
        <v>0</v>
      </c>
      <c r="BY51" s="16">
        <f t="shared" si="283"/>
        <v>0</v>
      </c>
      <c r="BZ51" s="16">
        <f t="shared" si="283"/>
        <v>0</v>
      </c>
    </row>
    <row r="52" spans="2:78" s="16" customFormat="1" x14ac:dyDescent="0.25">
      <c r="B52" s="16" t="s">
        <v>41</v>
      </c>
      <c r="AR52" s="16">
        <f t="shared" si="260"/>
        <v>0</v>
      </c>
      <c r="AS52" s="16">
        <f t="shared" si="261"/>
        <v>0</v>
      </c>
      <c r="AT52" s="16">
        <f t="shared" si="262"/>
        <v>0</v>
      </c>
      <c r="AU52" s="16">
        <f t="shared" si="263"/>
        <v>0</v>
      </c>
      <c r="AV52" s="16">
        <f t="shared" si="264"/>
        <v>0</v>
      </c>
      <c r="AX52" s="16">
        <f t="shared" si="265"/>
        <v>0</v>
      </c>
      <c r="AY52" s="16">
        <f t="shared" si="266"/>
        <v>0</v>
      </c>
      <c r="AZ52" s="16">
        <f t="shared" si="267"/>
        <v>0</v>
      </c>
      <c r="BA52" s="16">
        <f t="shared" si="268"/>
        <v>0</v>
      </c>
      <c r="BB52" s="16">
        <f t="shared" si="269"/>
        <v>0</v>
      </c>
      <c r="BD52" s="16">
        <f t="shared" si="270"/>
        <v>0</v>
      </c>
      <c r="BE52" s="16">
        <f t="shared" si="271"/>
        <v>0</v>
      </c>
      <c r="BF52" s="16">
        <f t="shared" si="272"/>
        <v>0</v>
      </c>
      <c r="BG52" s="16">
        <f t="shared" si="273"/>
        <v>0</v>
      </c>
      <c r="BH52" s="16">
        <f t="shared" si="274"/>
        <v>0</v>
      </c>
      <c r="BJ52" s="16">
        <f t="shared" si="275"/>
        <v>0</v>
      </c>
      <c r="BP52" s="16">
        <f t="shared" si="276"/>
        <v>0</v>
      </c>
      <c r="BV52" s="16">
        <f t="shared" si="277"/>
        <v>0</v>
      </c>
    </row>
    <row r="53" spans="2:78" s="16" customFormat="1" x14ac:dyDescent="0.25"/>
    <row r="54" spans="2:78" s="16" customFormat="1" x14ac:dyDescent="0.25">
      <c r="B54" s="16" t="s">
        <v>42</v>
      </c>
      <c r="E54" s="17">
        <f>SUBTOTAL(9,E43:E53)</f>
        <v>0</v>
      </c>
      <c r="F54" s="17">
        <f t="shared" ref="F54:P54" si="284">SUBTOTAL(9,F43:F53)</f>
        <v>0</v>
      </c>
      <c r="G54" s="17">
        <f t="shared" si="284"/>
        <v>0</v>
      </c>
      <c r="H54" s="17">
        <f t="shared" si="284"/>
        <v>0</v>
      </c>
      <c r="I54" s="17">
        <f t="shared" si="284"/>
        <v>0</v>
      </c>
      <c r="J54" s="17">
        <f t="shared" si="284"/>
        <v>500</v>
      </c>
      <c r="K54" s="17">
        <f t="shared" si="284"/>
        <v>0</v>
      </c>
      <c r="L54" s="17">
        <f t="shared" si="284"/>
        <v>0</v>
      </c>
      <c r="M54" s="17">
        <f t="shared" si="284"/>
        <v>0</v>
      </c>
      <c r="N54" s="17">
        <f t="shared" si="284"/>
        <v>0</v>
      </c>
      <c r="O54" s="17">
        <f t="shared" si="284"/>
        <v>0</v>
      </c>
      <c r="P54" s="17">
        <f t="shared" si="284"/>
        <v>500</v>
      </c>
      <c r="R54" s="17">
        <f>SUBTOTAL(9,R43:R53)</f>
        <v>5000</v>
      </c>
      <c r="S54" s="17">
        <f t="shared" ref="S54" si="285">SUBTOTAL(9,S43:S53)</f>
        <v>0</v>
      </c>
      <c r="T54" s="17">
        <f t="shared" ref="T54" si="286">SUBTOTAL(9,T43:T53)</f>
        <v>0</v>
      </c>
      <c r="U54" s="17">
        <f t="shared" ref="U54" si="287">SUBTOTAL(9,U43:U53)</f>
        <v>0</v>
      </c>
      <c r="V54" s="17">
        <f t="shared" ref="V54" si="288">SUBTOTAL(9,V43:V53)</f>
        <v>0</v>
      </c>
      <c r="W54" s="17">
        <f t="shared" ref="W54" si="289">SUBTOTAL(9,W43:W53)</f>
        <v>500</v>
      </c>
      <c r="X54" s="17">
        <f t="shared" ref="X54" si="290">SUBTOTAL(9,X43:X53)</f>
        <v>0</v>
      </c>
      <c r="Y54" s="17">
        <f t="shared" ref="Y54" si="291">SUBTOTAL(9,Y43:Y53)</f>
        <v>0</v>
      </c>
      <c r="Z54" s="17">
        <f t="shared" ref="Z54" si="292">SUBTOTAL(9,Z43:Z53)</f>
        <v>0</v>
      </c>
      <c r="AA54" s="17">
        <f t="shared" ref="AA54" si="293">SUBTOTAL(9,AA43:AA53)</f>
        <v>0</v>
      </c>
      <c r="AB54" s="17">
        <f t="shared" ref="AB54" si="294">SUBTOTAL(9,AB43:AB53)</f>
        <v>0</v>
      </c>
      <c r="AC54" s="17">
        <f t="shared" ref="AC54:AP54" si="295">SUBTOTAL(9,AC43:AC53)</f>
        <v>0</v>
      </c>
      <c r="AE54" s="17">
        <f t="shared" si="295"/>
        <v>5000</v>
      </c>
      <c r="AF54" s="17">
        <f t="shared" si="295"/>
        <v>0</v>
      </c>
      <c r="AG54" s="17">
        <f t="shared" si="295"/>
        <v>0</v>
      </c>
      <c r="AH54" s="17">
        <f t="shared" si="295"/>
        <v>0</v>
      </c>
      <c r="AI54" s="17">
        <f t="shared" si="295"/>
        <v>0</v>
      </c>
      <c r="AJ54" s="17">
        <f t="shared" si="295"/>
        <v>0</v>
      </c>
      <c r="AK54" s="17">
        <f t="shared" si="295"/>
        <v>0</v>
      </c>
      <c r="AL54" s="17">
        <f t="shared" si="295"/>
        <v>0</v>
      </c>
      <c r="AM54" s="17">
        <f t="shared" si="295"/>
        <v>0</v>
      </c>
      <c r="AN54" s="17">
        <f t="shared" si="295"/>
        <v>0</v>
      </c>
      <c r="AO54" s="17">
        <f t="shared" si="295"/>
        <v>0</v>
      </c>
      <c r="AP54" s="17">
        <f t="shared" si="295"/>
        <v>0</v>
      </c>
      <c r="AR54" s="17">
        <f t="shared" ref="AR54:AV54" si="296">SUBTOTAL(9,AR43:AR53)</f>
        <v>1000</v>
      </c>
      <c r="AS54" s="17">
        <f t="shared" si="296"/>
        <v>0</v>
      </c>
      <c r="AT54" s="17">
        <f t="shared" si="296"/>
        <v>500</v>
      </c>
      <c r="AU54" s="17">
        <f t="shared" si="296"/>
        <v>0</v>
      </c>
      <c r="AV54" s="17">
        <f t="shared" si="296"/>
        <v>500</v>
      </c>
      <c r="AX54" s="17">
        <f t="shared" ref="AX54:BB54" si="297">SUBTOTAL(9,AX43:AX53)</f>
        <v>5500</v>
      </c>
      <c r="AY54" s="17">
        <f t="shared" si="297"/>
        <v>5000</v>
      </c>
      <c r="AZ54" s="17">
        <f t="shared" si="297"/>
        <v>500</v>
      </c>
      <c r="BA54" s="17">
        <f t="shared" si="297"/>
        <v>0</v>
      </c>
      <c r="BB54" s="17">
        <f t="shared" si="297"/>
        <v>0</v>
      </c>
      <c r="BD54" s="17">
        <f t="shared" ref="BD54:BH54" si="298">SUBTOTAL(9,BD43:BD53)</f>
        <v>5000</v>
      </c>
      <c r="BE54" s="17">
        <f t="shared" si="298"/>
        <v>5000</v>
      </c>
      <c r="BF54" s="17">
        <f t="shared" si="298"/>
        <v>0</v>
      </c>
      <c r="BG54" s="17">
        <f t="shared" si="298"/>
        <v>0</v>
      </c>
      <c r="BH54" s="17">
        <f t="shared" si="298"/>
        <v>0</v>
      </c>
      <c r="BJ54" s="17">
        <f t="shared" ref="BJ54" si="299">SUBTOTAL(9,BJ43:BJ53)</f>
        <v>0</v>
      </c>
      <c r="BK54" s="17">
        <f t="shared" ref="BK54:BN54" si="300">SUBTOTAL(9,BK43:BK53)</f>
        <v>0</v>
      </c>
      <c r="BL54" s="17">
        <f t="shared" si="300"/>
        <v>0</v>
      </c>
      <c r="BM54" s="17">
        <f t="shared" si="300"/>
        <v>0</v>
      </c>
      <c r="BN54" s="17">
        <f t="shared" si="300"/>
        <v>0</v>
      </c>
      <c r="BP54" s="17">
        <f t="shared" ref="BP54" si="301">SUBTOTAL(9,BP43:BP53)</f>
        <v>0</v>
      </c>
      <c r="BQ54" s="17">
        <f t="shared" ref="BQ54:BT54" si="302">SUBTOTAL(9,BQ43:BQ53)</f>
        <v>0</v>
      </c>
      <c r="BR54" s="17">
        <f t="shared" si="302"/>
        <v>0</v>
      </c>
      <c r="BS54" s="17">
        <f t="shared" si="302"/>
        <v>0</v>
      </c>
      <c r="BT54" s="17">
        <f t="shared" si="302"/>
        <v>0</v>
      </c>
      <c r="BV54" s="17">
        <f t="shared" ref="BV54" si="303">SUBTOTAL(9,BV43:BV53)</f>
        <v>0</v>
      </c>
      <c r="BW54" s="17">
        <f t="shared" ref="BW54:BZ54" si="304">SUBTOTAL(9,BW43:BW53)</f>
        <v>0</v>
      </c>
      <c r="BX54" s="17">
        <f t="shared" si="304"/>
        <v>0</v>
      </c>
      <c r="BY54" s="17">
        <f t="shared" si="304"/>
        <v>0</v>
      </c>
      <c r="BZ54" s="17">
        <f t="shared" si="304"/>
        <v>0</v>
      </c>
    </row>
    <row r="55" spans="2:78" s="16" customFormat="1" x14ac:dyDescent="0.25"/>
    <row r="56" spans="2:78" s="16" customFormat="1" x14ac:dyDescent="0.25">
      <c r="B56" s="16" t="s">
        <v>43</v>
      </c>
      <c r="AR56" s="16">
        <f t="shared" ref="AR56" si="305">SUM(E56:P56)</f>
        <v>0</v>
      </c>
      <c r="AS56" s="16">
        <f t="shared" ref="AS56" si="306">SUM(E56:G56)</f>
        <v>0</v>
      </c>
      <c r="AT56" s="16">
        <f t="shared" ref="AT56" si="307">SUM(H56:J56)</f>
        <v>0</v>
      </c>
      <c r="AU56" s="16">
        <f t="shared" ref="AU56" si="308">SUM(K56:M56)</f>
        <v>0</v>
      </c>
      <c r="AV56" s="16">
        <f t="shared" ref="AV56" si="309">SUM(N56:P56)</f>
        <v>0</v>
      </c>
      <c r="AX56" s="16">
        <f t="shared" ref="AX56" si="310">SUM(R56:AC56)</f>
        <v>0</v>
      </c>
      <c r="AY56" s="16">
        <f t="shared" ref="AY56" si="311">SUM(R56:T56)</f>
        <v>0</v>
      </c>
      <c r="AZ56" s="16">
        <f t="shared" ref="AZ56" si="312">SUM(U56:W56)</f>
        <v>0</v>
      </c>
      <c r="BA56" s="16">
        <f t="shared" ref="BA56" si="313">SUM(X56:Z56)</f>
        <v>0</v>
      </c>
      <c r="BB56" s="16">
        <f t="shared" ref="BB56" si="314">SUM(AA56:AC56)</f>
        <v>0</v>
      </c>
      <c r="BD56" s="16">
        <f t="shared" ref="BD56" si="315">SUM(AE56:AP56)</f>
        <v>0</v>
      </c>
      <c r="BE56" s="16">
        <f t="shared" ref="BE56" si="316">SUM(AE56:AG56)</f>
        <v>0</v>
      </c>
      <c r="BF56" s="16">
        <f t="shared" ref="BF56" si="317">SUM(AH56:AJ56)</f>
        <v>0</v>
      </c>
      <c r="BG56" s="16">
        <f t="shared" ref="BG56" si="318">SUM(AK56:AM56)</f>
        <v>0</v>
      </c>
      <c r="BH56" s="16">
        <f t="shared" ref="BH56" si="319">SUM(AN56:AP56)</f>
        <v>0</v>
      </c>
      <c r="BJ56" s="16">
        <f t="shared" ref="BJ56:BJ63" si="320">SUM(BK56:BN56)</f>
        <v>0</v>
      </c>
      <c r="BP56" s="16">
        <f t="shared" ref="BP56:BP63" si="321">SUM(BQ56:BT56)</f>
        <v>0</v>
      </c>
      <c r="BV56" s="16">
        <f t="shared" ref="BV56:BV63" si="322">SUM(BW56:BZ56)</f>
        <v>0</v>
      </c>
    </row>
    <row r="57" spans="2:78" s="16" customFormat="1" x14ac:dyDescent="0.25">
      <c r="B57" s="16" t="s">
        <v>92</v>
      </c>
      <c r="AR57" s="16">
        <f t="shared" ref="AR57:AR63" si="323">SUM(E57:P57)</f>
        <v>0</v>
      </c>
      <c r="AS57" s="16">
        <f t="shared" ref="AS57:AS63" si="324">SUM(E57:G57)</f>
        <v>0</v>
      </c>
      <c r="AT57" s="16">
        <f t="shared" ref="AT57:AT63" si="325">SUM(H57:J57)</f>
        <v>0</v>
      </c>
      <c r="AU57" s="16">
        <f t="shared" ref="AU57:AU63" si="326">SUM(K57:M57)</f>
        <v>0</v>
      </c>
      <c r="AV57" s="16">
        <f t="shared" ref="AV57:AV63" si="327">SUM(N57:P57)</f>
        <v>0</v>
      </c>
      <c r="AX57" s="16">
        <f t="shared" ref="AX57:AX63" si="328">SUM(R57:AC57)</f>
        <v>0</v>
      </c>
      <c r="AY57" s="16">
        <f t="shared" ref="AY57:AY63" si="329">SUM(R57:T57)</f>
        <v>0</v>
      </c>
      <c r="AZ57" s="16">
        <f t="shared" ref="AZ57:AZ63" si="330">SUM(U57:W57)</f>
        <v>0</v>
      </c>
      <c r="BA57" s="16">
        <f t="shared" ref="BA57:BA63" si="331">SUM(X57:Z57)</f>
        <v>0</v>
      </c>
      <c r="BB57" s="16">
        <f t="shared" ref="BB57:BB63" si="332">SUM(AA57:AC57)</f>
        <v>0</v>
      </c>
      <c r="BD57" s="16">
        <f t="shared" ref="BD57:BD63" si="333">SUM(AE57:AP57)</f>
        <v>0</v>
      </c>
      <c r="BE57" s="16">
        <f t="shared" ref="BE57:BE63" si="334">SUM(AE57:AG57)</f>
        <v>0</v>
      </c>
      <c r="BF57" s="16">
        <f t="shared" ref="BF57:BF63" si="335">SUM(AH57:AJ57)</f>
        <v>0</v>
      </c>
      <c r="BG57" s="16">
        <f t="shared" ref="BG57:BG63" si="336">SUM(AK57:AM57)</f>
        <v>0</v>
      </c>
      <c r="BH57" s="16">
        <f t="shared" ref="BH57:BH63" si="337">SUM(AN57:AP57)</f>
        <v>0</v>
      </c>
      <c r="BJ57" s="16">
        <f t="shared" si="320"/>
        <v>0</v>
      </c>
      <c r="BP57" s="16">
        <f t="shared" si="321"/>
        <v>0</v>
      </c>
      <c r="BV57" s="16">
        <f t="shared" si="322"/>
        <v>0</v>
      </c>
    </row>
    <row r="58" spans="2:78" s="16" customFormat="1" x14ac:dyDescent="0.25">
      <c r="B58" s="16" t="s">
        <v>44</v>
      </c>
      <c r="AR58" s="16">
        <f t="shared" si="323"/>
        <v>0</v>
      </c>
      <c r="AS58" s="16">
        <f t="shared" si="324"/>
        <v>0</v>
      </c>
      <c r="AT58" s="16">
        <f t="shared" si="325"/>
        <v>0</v>
      </c>
      <c r="AU58" s="16">
        <f t="shared" si="326"/>
        <v>0</v>
      </c>
      <c r="AV58" s="16">
        <f t="shared" si="327"/>
        <v>0</v>
      </c>
      <c r="AX58" s="16">
        <f t="shared" si="328"/>
        <v>0</v>
      </c>
      <c r="AY58" s="16">
        <f t="shared" si="329"/>
        <v>0</v>
      </c>
      <c r="AZ58" s="16">
        <f t="shared" si="330"/>
        <v>0</v>
      </c>
      <c r="BA58" s="16">
        <f t="shared" si="331"/>
        <v>0</v>
      </c>
      <c r="BB58" s="16">
        <f t="shared" si="332"/>
        <v>0</v>
      </c>
      <c r="BD58" s="16">
        <f t="shared" si="333"/>
        <v>0</v>
      </c>
      <c r="BE58" s="16">
        <f t="shared" si="334"/>
        <v>0</v>
      </c>
      <c r="BF58" s="16">
        <f t="shared" si="335"/>
        <v>0</v>
      </c>
      <c r="BG58" s="16">
        <f t="shared" si="336"/>
        <v>0</v>
      </c>
      <c r="BH58" s="16">
        <f t="shared" si="337"/>
        <v>0</v>
      </c>
      <c r="BJ58" s="16">
        <f t="shared" si="320"/>
        <v>0</v>
      </c>
      <c r="BP58" s="16">
        <f t="shared" si="321"/>
        <v>0</v>
      </c>
      <c r="BV58" s="16">
        <f t="shared" si="322"/>
        <v>0</v>
      </c>
    </row>
    <row r="59" spans="2:78" s="16" customFormat="1" x14ac:dyDescent="0.25">
      <c r="B59" s="16" t="s">
        <v>45</v>
      </c>
      <c r="AR59" s="16">
        <f t="shared" si="323"/>
        <v>0</v>
      </c>
      <c r="AS59" s="16">
        <f t="shared" si="324"/>
        <v>0</v>
      </c>
      <c r="AT59" s="16">
        <f t="shared" si="325"/>
        <v>0</v>
      </c>
      <c r="AU59" s="16">
        <f t="shared" si="326"/>
        <v>0</v>
      </c>
      <c r="AV59" s="16">
        <f t="shared" si="327"/>
        <v>0</v>
      </c>
      <c r="AX59" s="16">
        <f t="shared" si="328"/>
        <v>0</v>
      </c>
      <c r="AY59" s="16">
        <f t="shared" si="329"/>
        <v>0</v>
      </c>
      <c r="AZ59" s="16">
        <f t="shared" si="330"/>
        <v>0</v>
      </c>
      <c r="BA59" s="16">
        <f t="shared" si="331"/>
        <v>0</v>
      </c>
      <c r="BB59" s="16">
        <f t="shared" si="332"/>
        <v>0</v>
      </c>
      <c r="BD59" s="16">
        <f t="shared" si="333"/>
        <v>0</v>
      </c>
      <c r="BE59" s="16">
        <f t="shared" si="334"/>
        <v>0</v>
      </c>
      <c r="BF59" s="16">
        <f t="shared" si="335"/>
        <v>0</v>
      </c>
      <c r="BG59" s="16">
        <f t="shared" si="336"/>
        <v>0</v>
      </c>
      <c r="BH59" s="16">
        <f t="shared" si="337"/>
        <v>0</v>
      </c>
      <c r="BJ59" s="16">
        <f t="shared" si="320"/>
        <v>0</v>
      </c>
      <c r="BP59" s="16">
        <f t="shared" si="321"/>
        <v>0</v>
      </c>
      <c r="BV59" s="16">
        <f t="shared" si="322"/>
        <v>0</v>
      </c>
    </row>
    <row r="60" spans="2:78" s="16" customFormat="1" x14ac:dyDescent="0.25">
      <c r="B60" s="16" t="s">
        <v>48</v>
      </c>
      <c r="AR60" s="16">
        <f t="shared" si="323"/>
        <v>0</v>
      </c>
      <c r="AS60" s="16">
        <f t="shared" si="324"/>
        <v>0</v>
      </c>
      <c r="AT60" s="16">
        <f t="shared" si="325"/>
        <v>0</v>
      </c>
      <c r="AU60" s="16">
        <f t="shared" si="326"/>
        <v>0</v>
      </c>
      <c r="AV60" s="16">
        <f t="shared" si="327"/>
        <v>0</v>
      </c>
      <c r="AX60" s="16">
        <f t="shared" si="328"/>
        <v>0</v>
      </c>
      <c r="AY60" s="16">
        <f t="shared" si="329"/>
        <v>0</v>
      </c>
      <c r="AZ60" s="16">
        <f t="shared" si="330"/>
        <v>0</v>
      </c>
      <c r="BA60" s="16">
        <f t="shared" si="331"/>
        <v>0</v>
      </c>
      <c r="BB60" s="16">
        <f t="shared" si="332"/>
        <v>0</v>
      </c>
      <c r="BD60" s="16">
        <f t="shared" si="333"/>
        <v>0</v>
      </c>
      <c r="BE60" s="16">
        <f t="shared" si="334"/>
        <v>0</v>
      </c>
      <c r="BF60" s="16">
        <f t="shared" si="335"/>
        <v>0</v>
      </c>
      <c r="BG60" s="16">
        <f t="shared" si="336"/>
        <v>0</v>
      </c>
      <c r="BH60" s="16">
        <f t="shared" si="337"/>
        <v>0</v>
      </c>
      <c r="BJ60" s="16">
        <f t="shared" si="320"/>
        <v>0</v>
      </c>
      <c r="BP60" s="16">
        <f t="shared" si="321"/>
        <v>0</v>
      </c>
      <c r="BV60" s="16">
        <f t="shared" si="322"/>
        <v>0</v>
      </c>
    </row>
    <row r="61" spans="2:78" s="16" customFormat="1" x14ac:dyDescent="0.25">
      <c r="B61" s="16" t="s">
        <v>47</v>
      </c>
      <c r="AR61" s="16">
        <f t="shared" si="323"/>
        <v>0</v>
      </c>
      <c r="AS61" s="16">
        <f t="shared" si="324"/>
        <v>0</v>
      </c>
      <c r="AT61" s="16">
        <f t="shared" si="325"/>
        <v>0</v>
      </c>
      <c r="AU61" s="16">
        <f t="shared" si="326"/>
        <v>0</v>
      </c>
      <c r="AV61" s="16">
        <f t="shared" si="327"/>
        <v>0</v>
      </c>
      <c r="AX61" s="16">
        <f t="shared" si="328"/>
        <v>0</v>
      </c>
      <c r="AY61" s="16">
        <f t="shared" si="329"/>
        <v>0</v>
      </c>
      <c r="AZ61" s="16">
        <f t="shared" si="330"/>
        <v>0</v>
      </c>
      <c r="BA61" s="16">
        <f t="shared" si="331"/>
        <v>0</v>
      </c>
      <c r="BB61" s="16">
        <f t="shared" si="332"/>
        <v>0</v>
      </c>
      <c r="BD61" s="16">
        <f t="shared" si="333"/>
        <v>0</v>
      </c>
      <c r="BE61" s="16">
        <f t="shared" si="334"/>
        <v>0</v>
      </c>
      <c r="BF61" s="16">
        <f t="shared" si="335"/>
        <v>0</v>
      </c>
      <c r="BG61" s="16">
        <f t="shared" si="336"/>
        <v>0</v>
      </c>
      <c r="BH61" s="16">
        <f t="shared" si="337"/>
        <v>0</v>
      </c>
      <c r="BJ61" s="16">
        <f t="shared" si="320"/>
        <v>0</v>
      </c>
      <c r="BP61" s="16">
        <f t="shared" si="321"/>
        <v>0</v>
      </c>
      <c r="BV61" s="16">
        <f t="shared" si="322"/>
        <v>0</v>
      </c>
    </row>
    <row r="62" spans="2:78" s="16" customFormat="1" x14ac:dyDescent="0.25">
      <c r="B62" s="16" t="s">
        <v>46</v>
      </c>
      <c r="AR62" s="16">
        <f t="shared" si="323"/>
        <v>0</v>
      </c>
      <c r="AS62" s="16">
        <f t="shared" si="324"/>
        <v>0</v>
      </c>
      <c r="AT62" s="16">
        <f t="shared" si="325"/>
        <v>0</v>
      </c>
      <c r="AU62" s="16">
        <f t="shared" si="326"/>
        <v>0</v>
      </c>
      <c r="AV62" s="16">
        <f t="shared" si="327"/>
        <v>0</v>
      </c>
      <c r="AX62" s="16">
        <f t="shared" si="328"/>
        <v>0</v>
      </c>
      <c r="AY62" s="16">
        <f t="shared" si="329"/>
        <v>0</v>
      </c>
      <c r="AZ62" s="16">
        <f t="shared" si="330"/>
        <v>0</v>
      </c>
      <c r="BA62" s="16">
        <f t="shared" si="331"/>
        <v>0</v>
      </c>
      <c r="BB62" s="16">
        <f t="shared" si="332"/>
        <v>0</v>
      </c>
      <c r="BD62" s="16">
        <f t="shared" si="333"/>
        <v>0</v>
      </c>
      <c r="BE62" s="16">
        <f t="shared" si="334"/>
        <v>0</v>
      </c>
      <c r="BF62" s="16">
        <f t="shared" si="335"/>
        <v>0</v>
      </c>
      <c r="BG62" s="16">
        <f t="shared" si="336"/>
        <v>0</v>
      </c>
      <c r="BH62" s="16">
        <f t="shared" si="337"/>
        <v>0</v>
      </c>
      <c r="BJ62" s="16">
        <f t="shared" si="320"/>
        <v>0</v>
      </c>
      <c r="BP62" s="16">
        <f t="shared" si="321"/>
        <v>0</v>
      </c>
      <c r="BV62" s="16">
        <f t="shared" si="322"/>
        <v>0</v>
      </c>
    </row>
    <row r="63" spans="2:78" s="16" customFormat="1" x14ac:dyDescent="0.25">
      <c r="B63" s="16" t="s">
        <v>93</v>
      </c>
      <c r="AR63" s="16">
        <f t="shared" si="323"/>
        <v>0</v>
      </c>
      <c r="AS63" s="16">
        <f t="shared" si="324"/>
        <v>0</v>
      </c>
      <c r="AT63" s="16">
        <f t="shared" si="325"/>
        <v>0</v>
      </c>
      <c r="AU63" s="16">
        <f t="shared" si="326"/>
        <v>0</v>
      </c>
      <c r="AV63" s="16">
        <f t="shared" si="327"/>
        <v>0</v>
      </c>
      <c r="AX63" s="16">
        <f t="shared" si="328"/>
        <v>0</v>
      </c>
      <c r="AY63" s="16">
        <f t="shared" si="329"/>
        <v>0</v>
      </c>
      <c r="AZ63" s="16">
        <f t="shared" si="330"/>
        <v>0</v>
      </c>
      <c r="BA63" s="16">
        <f t="shared" si="331"/>
        <v>0</v>
      </c>
      <c r="BB63" s="16">
        <f t="shared" si="332"/>
        <v>0</v>
      </c>
      <c r="BD63" s="16">
        <f t="shared" si="333"/>
        <v>0</v>
      </c>
      <c r="BE63" s="16">
        <f t="shared" si="334"/>
        <v>0</v>
      </c>
      <c r="BF63" s="16">
        <f t="shared" si="335"/>
        <v>0</v>
      </c>
      <c r="BG63" s="16">
        <f t="shared" si="336"/>
        <v>0</v>
      </c>
      <c r="BH63" s="16">
        <f t="shared" si="337"/>
        <v>0</v>
      </c>
      <c r="BJ63" s="16">
        <f t="shared" si="320"/>
        <v>0</v>
      </c>
      <c r="BP63" s="16">
        <f t="shared" si="321"/>
        <v>0</v>
      </c>
      <c r="BV63" s="16">
        <f t="shared" si="322"/>
        <v>0</v>
      </c>
    </row>
    <row r="64" spans="2:78" s="16" customFormat="1" x14ac:dyDescent="0.25"/>
    <row r="65" spans="1:78" s="16" customFormat="1" x14ac:dyDescent="0.25">
      <c r="B65" s="16" t="s">
        <v>49</v>
      </c>
      <c r="E65" s="17">
        <f>SUBTOTAL(9,E57:E64)</f>
        <v>0</v>
      </c>
      <c r="F65" s="17">
        <f t="shared" ref="F65:P65" si="338">SUBTOTAL(9,F57:F64)</f>
        <v>0</v>
      </c>
      <c r="G65" s="17">
        <f t="shared" si="338"/>
        <v>0</v>
      </c>
      <c r="H65" s="17">
        <f t="shared" si="338"/>
        <v>0</v>
      </c>
      <c r="I65" s="17">
        <f t="shared" si="338"/>
        <v>0</v>
      </c>
      <c r="J65" s="17">
        <f t="shared" si="338"/>
        <v>0</v>
      </c>
      <c r="K65" s="17">
        <f t="shared" si="338"/>
        <v>0</v>
      </c>
      <c r="L65" s="17">
        <f t="shared" si="338"/>
        <v>0</v>
      </c>
      <c r="M65" s="17">
        <f t="shared" si="338"/>
        <v>0</v>
      </c>
      <c r="N65" s="17">
        <f t="shared" si="338"/>
        <v>0</v>
      </c>
      <c r="O65" s="17">
        <f t="shared" si="338"/>
        <v>0</v>
      </c>
      <c r="P65" s="17">
        <f t="shared" si="338"/>
        <v>0</v>
      </c>
      <c r="R65" s="17">
        <f>SUBTOTAL(9,R57:R64)</f>
        <v>0</v>
      </c>
      <c r="S65" s="17">
        <f t="shared" ref="S65" si="339">SUBTOTAL(9,S57:S64)</f>
        <v>0</v>
      </c>
      <c r="T65" s="17">
        <f t="shared" ref="T65" si="340">SUBTOTAL(9,T57:T64)</f>
        <v>0</v>
      </c>
      <c r="U65" s="17">
        <f t="shared" ref="U65" si="341">SUBTOTAL(9,U57:U64)</f>
        <v>0</v>
      </c>
      <c r="V65" s="17">
        <f t="shared" ref="V65" si="342">SUBTOTAL(9,V57:V64)</f>
        <v>0</v>
      </c>
      <c r="W65" s="17">
        <f t="shared" ref="W65" si="343">SUBTOTAL(9,W57:W64)</f>
        <v>0</v>
      </c>
      <c r="X65" s="17">
        <f t="shared" ref="X65" si="344">SUBTOTAL(9,X57:X64)</f>
        <v>0</v>
      </c>
      <c r="Y65" s="17">
        <f t="shared" ref="Y65" si="345">SUBTOTAL(9,Y57:Y64)</f>
        <v>0</v>
      </c>
      <c r="Z65" s="17">
        <f t="shared" ref="Z65" si="346">SUBTOTAL(9,Z57:Z64)</f>
        <v>0</v>
      </c>
      <c r="AA65" s="17">
        <f t="shared" ref="AA65" si="347">SUBTOTAL(9,AA57:AA64)</f>
        <v>0</v>
      </c>
      <c r="AB65" s="17">
        <f t="shared" ref="AB65" si="348">SUBTOTAL(9,AB57:AB64)</f>
        <v>0</v>
      </c>
      <c r="AC65" s="17">
        <f t="shared" ref="AC65:AP65" si="349">SUBTOTAL(9,AC57:AC64)</f>
        <v>0</v>
      </c>
      <c r="AE65" s="17">
        <f t="shared" si="349"/>
        <v>0</v>
      </c>
      <c r="AF65" s="17">
        <f t="shared" si="349"/>
        <v>0</v>
      </c>
      <c r="AG65" s="17">
        <f t="shared" si="349"/>
        <v>0</v>
      </c>
      <c r="AH65" s="17">
        <f t="shared" si="349"/>
        <v>0</v>
      </c>
      <c r="AI65" s="17">
        <f t="shared" si="349"/>
        <v>0</v>
      </c>
      <c r="AJ65" s="17">
        <f t="shared" si="349"/>
        <v>0</v>
      </c>
      <c r="AK65" s="17">
        <f t="shared" si="349"/>
        <v>0</v>
      </c>
      <c r="AL65" s="17">
        <f t="shared" si="349"/>
        <v>0</v>
      </c>
      <c r="AM65" s="17">
        <f t="shared" si="349"/>
        <v>0</v>
      </c>
      <c r="AN65" s="17">
        <f t="shared" si="349"/>
        <v>0</v>
      </c>
      <c r="AO65" s="17">
        <f t="shared" si="349"/>
        <v>0</v>
      </c>
      <c r="AP65" s="17">
        <f t="shared" si="349"/>
        <v>0</v>
      </c>
      <c r="AR65" s="17">
        <f t="shared" ref="AR65:AV65" si="350">SUBTOTAL(9,AR57:AR64)</f>
        <v>0</v>
      </c>
      <c r="AS65" s="17">
        <f t="shared" si="350"/>
        <v>0</v>
      </c>
      <c r="AT65" s="17">
        <f t="shared" si="350"/>
        <v>0</v>
      </c>
      <c r="AU65" s="17">
        <f t="shared" si="350"/>
        <v>0</v>
      </c>
      <c r="AV65" s="17">
        <f t="shared" si="350"/>
        <v>0</v>
      </c>
      <c r="AX65" s="17">
        <f t="shared" ref="AX65:BB65" si="351">SUBTOTAL(9,AX57:AX64)</f>
        <v>0</v>
      </c>
      <c r="AY65" s="17">
        <f t="shared" si="351"/>
        <v>0</v>
      </c>
      <c r="AZ65" s="17">
        <f t="shared" si="351"/>
        <v>0</v>
      </c>
      <c r="BA65" s="17">
        <f t="shared" si="351"/>
        <v>0</v>
      </c>
      <c r="BB65" s="17">
        <f t="shared" si="351"/>
        <v>0</v>
      </c>
      <c r="BD65" s="17">
        <f t="shared" ref="BD65:BH65" si="352">SUBTOTAL(9,BD57:BD64)</f>
        <v>0</v>
      </c>
      <c r="BE65" s="17">
        <f t="shared" si="352"/>
        <v>0</v>
      </c>
      <c r="BF65" s="17">
        <f t="shared" si="352"/>
        <v>0</v>
      </c>
      <c r="BG65" s="17">
        <f t="shared" si="352"/>
        <v>0</v>
      </c>
      <c r="BH65" s="17">
        <f t="shared" si="352"/>
        <v>0</v>
      </c>
      <c r="BJ65" s="17">
        <f t="shared" ref="BJ65" si="353">SUBTOTAL(9,BJ57:BJ64)</f>
        <v>0</v>
      </c>
      <c r="BK65" s="17">
        <f t="shared" ref="BK65:BN65" si="354">SUBTOTAL(9,BK57:BK64)</f>
        <v>0</v>
      </c>
      <c r="BL65" s="17">
        <f t="shared" si="354"/>
        <v>0</v>
      </c>
      <c r="BM65" s="17">
        <f t="shared" si="354"/>
        <v>0</v>
      </c>
      <c r="BN65" s="17">
        <f t="shared" si="354"/>
        <v>0</v>
      </c>
      <c r="BP65" s="17">
        <f t="shared" ref="BP65" si="355">SUBTOTAL(9,BP57:BP64)</f>
        <v>0</v>
      </c>
      <c r="BQ65" s="17">
        <f t="shared" ref="BQ65:BT65" si="356">SUBTOTAL(9,BQ57:BQ64)</f>
        <v>0</v>
      </c>
      <c r="BR65" s="17">
        <f t="shared" si="356"/>
        <v>0</v>
      </c>
      <c r="BS65" s="17">
        <f t="shared" si="356"/>
        <v>0</v>
      </c>
      <c r="BT65" s="17">
        <f t="shared" si="356"/>
        <v>0</v>
      </c>
      <c r="BV65" s="17">
        <f t="shared" ref="BV65" si="357">SUBTOTAL(9,BV57:BV64)</f>
        <v>0</v>
      </c>
      <c r="BW65" s="17">
        <f t="shared" ref="BW65:BZ65" si="358">SUBTOTAL(9,BW57:BW64)</f>
        <v>0</v>
      </c>
      <c r="BX65" s="17">
        <f t="shared" si="358"/>
        <v>0</v>
      </c>
      <c r="BY65" s="17">
        <f t="shared" si="358"/>
        <v>0</v>
      </c>
      <c r="BZ65" s="17">
        <f t="shared" si="358"/>
        <v>0</v>
      </c>
    </row>
    <row r="66" spans="1:78" s="16" customFormat="1" x14ac:dyDescent="0.25"/>
    <row r="67" spans="1:78" s="16" customFormat="1" x14ac:dyDescent="0.25">
      <c r="B67" s="16" t="s">
        <v>50</v>
      </c>
      <c r="AR67" s="16">
        <f t="shared" ref="AR67:AR71" si="359">SUM(E67:P67)</f>
        <v>0</v>
      </c>
      <c r="AS67" s="16">
        <f t="shared" ref="AS67:AS71" si="360">SUM(E67:G67)</f>
        <v>0</v>
      </c>
      <c r="AT67" s="16">
        <f t="shared" ref="AT67:AT71" si="361">SUM(H67:J67)</f>
        <v>0</v>
      </c>
      <c r="AU67" s="16">
        <f t="shared" ref="AU67:AU71" si="362">SUM(K67:M67)</f>
        <v>0</v>
      </c>
      <c r="AV67" s="16">
        <f t="shared" ref="AV67:AV71" si="363">SUM(N67:P67)</f>
        <v>0</v>
      </c>
      <c r="AX67" s="16">
        <f t="shared" ref="AX67:AX71" si="364">SUM(R67:AC67)</f>
        <v>0</v>
      </c>
      <c r="AY67" s="16">
        <f t="shared" ref="AY67:AY71" si="365">SUM(R67:T67)</f>
        <v>0</v>
      </c>
      <c r="AZ67" s="16">
        <f t="shared" ref="AZ67:AZ71" si="366">SUM(U67:W67)</f>
        <v>0</v>
      </c>
      <c r="BA67" s="16">
        <f t="shared" ref="BA67:BA71" si="367">SUM(X67:Z67)</f>
        <v>0</v>
      </c>
      <c r="BB67" s="16">
        <f t="shared" ref="BB67:BB71" si="368">SUM(AA67:AC67)</f>
        <v>0</v>
      </c>
      <c r="BD67" s="16">
        <f t="shared" ref="BD67:BD71" si="369">SUM(AE67:AP67)</f>
        <v>0</v>
      </c>
      <c r="BE67" s="16">
        <f t="shared" ref="BE67:BE71" si="370">SUM(AE67:AG67)</f>
        <v>0</v>
      </c>
      <c r="BF67" s="16">
        <f t="shared" ref="BF67:BF71" si="371">SUM(AH67:AJ67)</f>
        <v>0</v>
      </c>
      <c r="BG67" s="16">
        <f t="shared" ref="BG67:BG71" si="372">SUM(AK67:AM67)</f>
        <v>0</v>
      </c>
      <c r="BH67" s="16">
        <f t="shared" ref="BH67:BH71" si="373">SUM(AN67:AP67)</f>
        <v>0</v>
      </c>
      <c r="BJ67" s="16">
        <f t="shared" ref="BJ67:BJ71" si="374">SUM(BK67:BN67)</f>
        <v>0</v>
      </c>
      <c r="BP67" s="16">
        <f t="shared" ref="BP67:BP71" si="375">SUM(BQ67:BT67)</f>
        <v>0</v>
      </c>
      <c r="BV67" s="16">
        <f t="shared" ref="BV67:BV71" si="376">SUM(BW67:BZ67)</f>
        <v>0</v>
      </c>
    </row>
    <row r="68" spans="1:78" s="16" customFormat="1" x14ac:dyDescent="0.25">
      <c r="B68" s="16" t="s">
        <v>51</v>
      </c>
      <c r="AR68" s="16">
        <f t="shared" si="359"/>
        <v>0</v>
      </c>
      <c r="AS68" s="16">
        <f t="shared" si="360"/>
        <v>0</v>
      </c>
      <c r="AT68" s="16">
        <f t="shared" si="361"/>
        <v>0</v>
      </c>
      <c r="AU68" s="16">
        <f t="shared" si="362"/>
        <v>0</v>
      </c>
      <c r="AV68" s="16">
        <f t="shared" si="363"/>
        <v>0</v>
      </c>
      <c r="AX68" s="16">
        <f t="shared" si="364"/>
        <v>0</v>
      </c>
      <c r="AY68" s="16">
        <f t="shared" si="365"/>
        <v>0</v>
      </c>
      <c r="AZ68" s="16">
        <f t="shared" si="366"/>
        <v>0</v>
      </c>
      <c r="BA68" s="16">
        <f t="shared" si="367"/>
        <v>0</v>
      </c>
      <c r="BB68" s="16">
        <f t="shared" si="368"/>
        <v>0</v>
      </c>
      <c r="BD68" s="16">
        <f t="shared" si="369"/>
        <v>0</v>
      </c>
      <c r="BE68" s="16">
        <f t="shared" si="370"/>
        <v>0</v>
      </c>
      <c r="BF68" s="16">
        <f t="shared" si="371"/>
        <v>0</v>
      </c>
      <c r="BG68" s="16">
        <f t="shared" si="372"/>
        <v>0</v>
      </c>
      <c r="BH68" s="16">
        <f t="shared" si="373"/>
        <v>0</v>
      </c>
      <c r="BJ68" s="16">
        <f t="shared" si="374"/>
        <v>0</v>
      </c>
      <c r="BP68" s="16">
        <f t="shared" si="375"/>
        <v>0</v>
      </c>
      <c r="BV68" s="16">
        <f t="shared" si="376"/>
        <v>0</v>
      </c>
    </row>
    <row r="69" spans="1:78" s="16" customFormat="1" x14ac:dyDescent="0.25">
      <c r="B69" s="16" t="s">
        <v>52</v>
      </c>
      <c r="AR69" s="16">
        <f t="shared" si="359"/>
        <v>0</v>
      </c>
      <c r="AS69" s="16">
        <f t="shared" si="360"/>
        <v>0</v>
      </c>
      <c r="AT69" s="16">
        <f t="shared" si="361"/>
        <v>0</v>
      </c>
      <c r="AU69" s="16">
        <f t="shared" si="362"/>
        <v>0</v>
      </c>
      <c r="AV69" s="16">
        <f t="shared" si="363"/>
        <v>0</v>
      </c>
      <c r="AX69" s="16">
        <f t="shared" si="364"/>
        <v>0</v>
      </c>
      <c r="AY69" s="16">
        <f t="shared" si="365"/>
        <v>0</v>
      </c>
      <c r="AZ69" s="16">
        <f t="shared" si="366"/>
        <v>0</v>
      </c>
      <c r="BA69" s="16">
        <f t="shared" si="367"/>
        <v>0</v>
      </c>
      <c r="BB69" s="16">
        <f t="shared" si="368"/>
        <v>0</v>
      </c>
      <c r="BD69" s="16">
        <f t="shared" si="369"/>
        <v>0</v>
      </c>
      <c r="BE69" s="16">
        <f t="shared" si="370"/>
        <v>0</v>
      </c>
      <c r="BF69" s="16">
        <f t="shared" si="371"/>
        <v>0</v>
      </c>
      <c r="BG69" s="16">
        <f t="shared" si="372"/>
        <v>0</v>
      </c>
      <c r="BH69" s="16">
        <f t="shared" si="373"/>
        <v>0</v>
      </c>
      <c r="BJ69" s="16">
        <f t="shared" si="374"/>
        <v>0</v>
      </c>
      <c r="BP69" s="16">
        <f t="shared" si="375"/>
        <v>0</v>
      </c>
      <c r="BV69" s="16">
        <f t="shared" si="376"/>
        <v>0</v>
      </c>
    </row>
    <row r="70" spans="1:78" s="16" customFormat="1" x14ac:dyDescent="0.25">
      <c r="B70" s="16" t="s">
        <v>206</v>
      </c>
      <c r="AR70" s="16">
        <f t="shared" si="359"/>
        <v>0</v>
      </c>
      <c r="AS70" s="16">
        <f t="shared" si="360"/>
        <v>0</v>
      </c>
      <c r="AT70" s="16">
        <f t="shared" si="361"/>
        <v>0</v>
      </c>
      <c r="AU70" s="16">
        <f t="shared" si="362"/>
        <v>0</v>
      </c>
      <c r="AV70" s="16">
        <f t="shared" si="363"/>
        <v>0</v>
      </c>
      <c r="AX70" s="16">
        <f t="shared" si="364"/>
        <v>0</v>
      </c>
      <c r="AY70" s="16">
        <f t="shared" si="365"/>
        <v>0</v>
      </c>
      <c r="AZ70" s="16">
        <f t="shared" si="366"/>
        <v>0</v>
      </c>
      <c r="BA70" s="16">
        <f t="shared" si="367"/>
        <v>0</v>
      </c>
      <c r="BB70" s="16">
        <f t="shared" si="368"/>
        <v>0</v>
      </c>
      <c r="BD70" s="16">
        <f t="shared" si="369"/>
        <v>0</v>
      </c>
      <c r="BE70" s="16">
        <f t="shared" si="370"/>
        <v>0</v>
      </c>
      <c r="BF70" s="16">
        <f t="shared" si="371"/>
        <v>0</v>
      </c>
      <c r="BG70" s="16">
        <f t="shared" si="372"/>
        <v>0</v>
      </c>
      <c r="BH70" s="16">
        <f t="shared" si="373"/>
        <v>0</v>
      </c>
      <c r="BJ70" s="16">
        <f t="shared" si="374"/>
        <v>0</v>
      </c>
      <c r="BP70" s="16">
        <f t="shared" si="375"/>
        <v>0</v>
      </c>
      <c r="BV70" s="16">
        <f t="shared" si="376"/>
        <v>0</v>
      </c>
    </row>
    <row r="71" spans="1:78" s="16" customFormat="1" x14ac:dyDescent="0.25">
      <c r="B71" s="16" t="s">
        <v>53</v>
      </c>
      <c r="E71" s="16">
        <f>+CAPEX!E70</f>
        <v>1255</v>
      </c>
      <c r="F71" s="16">
        <f>+CAPEX!F70</f>
        <v>1255</v>
      </c>
      <c r="G71" s="16">
        <f>+CAPEX!G70</f>
        <v>1255</v>
      </c>
      <c r="H71" s="16">
        <f>+CAPEX!H70</f>
        <v>2370.416666666667</v>
      </c>
      <c r="I71" s="16">
        <f>+CAPEX!I70</f>
        <v>2370.416666666667</v>
      </c>
      <c r="J71" s="16">
        <f>+CAPEX!J70</f>
        <v>2370.416666666667</v>
      </c>
      <c r="K71" s="16">
        <f>+CAPEX!K70</f>
        <v>2370.416666666667</v>
      </c>
      <c r="L71" s="16">
        <f>+CAPEX!L70</f>
        <v>2370.416666666667</v>
      </c>
      <c r="M71" s="16">
        <f>+CAPEX!M70</f>
        <v>2370.416666666667</v>
      </c>
      <c r="N71" s="16">
        <f>+CAPEX!N70</f>
        <v>2370.416666666667</v>
      </c>
      <c r="O71" s="16">
        <f>+CAPEX!O70</f>
        <v>2370.416666666667</v>
      </c>
      <c r="P71" s="16">
        <f>+CAPEX!P70</f>
        <v>2370.416666666667</v>
      </c>
      <c r="R71" s="16">
        <f>+CAPEX!R70</f>
        <v>2370.416666666667</v>
      </c>
      <c r="S71" s="16">
        <f>+CAPEX!S70</f>
        <v>2370.416666666667</v>
      </c>
      <c r="T71" s="16">
        <f>+CAPEX!T70</f>
        <v>2370.416666666667</v>
      </c>
      <c r="U71" s="16">
        <f>+CAPEX!U70</f>
        <v>2370.416666666667</v>
      </c>
      <c r="V71" s="16">
        <f>+CAPEX!V70</f>
        <v>2370.416666666667</v>
      </c>
      <c r="W71" s="16">
        <f>+CAPEX!W70</f>
        <v>2370.416666666667</v>
      </c>
      <c r="X71" s="16">
        <f>+CAPEX!X70</f>
        <v>2370.416666666667</v>
      </c>
      <c r="Y71" s="16">
        <f>+CAPEX!Y70</f>
        <v>2370.416666666667</v>
      </c>
      <c r="Z71" s="16">
        <f>+CAPEX!Z70</f>
        <v>2370.416666666667</v>
      </c>
      <c r="AA71" s="16">
        <f>+CAPEX!AA70</f>
        <v>2370.416666666667</v>
      </c>
      <c r="AB71" s="16">
        <f>+CAPEX!AB70</f>
        <v>2370.416666666667</v>
      </c>
      <c r="AC71" s="16">
        <f>+CAPEX!AC70</f>
        <v>2370.416666666667</v>
      </c>
      <c r="AE71" s="16">
        <f>+CAPEX!AE70</f>
        <v>2370.416666666667</v>
      </c>
      <c r="AF71" s="16">
        <f>+CAPEX!AF70</f>
        <v>2370.416666666667</v>
      </c>
      <c r="AG71" s="16">
        <f>+CAPEX!AG70</f>
        <v>2370.416666666667</v>
      </c>
      <c r="AH71" s="16">
        <f>+CAPEX!AH70</f>
        <v>2370.416666666667</v>
      </c>
      <c r="AI71" s="16">
        <f>+CAPEX!AI70</f>
        <v>2370.416666666667</v>
      </c>
      <c r="AJ71" s="16">
        <f>+CAPEX!AJ70</f>
        <v>8203.75</v>
      </c>
      <c r="AK71" s="16">
        <f>+CAPEX!AK70</f>
        <v>8203.75</v>
      </c>
      <c r="AL71" s="16">
        <f>+CAPEX!AL70</f>
        <v>8203.75</v>
      </c>
      <c r="AM71" s="16">
        <f>+CAPEX!AM70</f>
        <v>8203.75</v>
      </c>
      <c r="AN71" s="16">
        <f>+CAPEX!AN70</f>
        <v>8203.75</v>
      </c>
      <c r="AO71" s="16">
        <f>+CAPEX!AO70</f>
        <v>8203.75</v>
      </c>
      <c r="AP71" s="16">
        <f>+CAPEX!AP70</f>
        <v>8203.75</v>
      </c>
      <c r="AR71" s="16">
        <f t="shared" si="359"/>
        <v>25098.750000000007</v>
      </c>
      <c r="AS71" s="16">
        <f t="shared" si="360"/>
        <v>3765</v>
      </c>
      <c r="AT71" s="16">
        <f t="shared" si="361"/>
        <v>7111.2500000000009</v>
      </c>
      <c r="AU71" s="16">
        <f t="shared" si="362"/>
        <v>7111.2500000000009</v>
      </c>
      <c r="AV71" s="16">
        <f t="shared" si="363"/>
        <v>7111.2500000000009</v>
      </c>
      <c r="AX71" s="16">
        <f t="shared" si="364"/>
        <v>28445.000000000011</v>
      </c>
      <c r="AY71" s="16">
        <f t="shared" si="365"/>
        <v>7111.2500000000009</v>
      </c>
      <c r="AZ71" s="16">
        <f t="shared" si="366"/>
        <v>7111.2500000000009</v>
      </c>
      <c r="BA71" s="16">
        <f t="shared" si="367"/>
        <v>7111.2500000000009</v>
      </c>
      <c r="BB71" s="16">
        <f t="shared" si="368"/>
        <v>7111.2500000000009</v>
      </c>
      <c r="BD71" s="16">
        <f t="shared" si="369"/>
        <v>69278.333333333343</v>
      </c>
      <c r="BE71" s="16">
        <f t="shared" si="370"/>
        <v>7111.2500000000009</v>
      </c>
      <c r="BF71" s="16">
        <f t="shared" si="371"/>
        <v>12944.583333333334</v>
      </c>
      <c r="BG71" s="16">
        <f t="shared" si="372"/>
        <v>24611.25</v>
      </c>
      <c r="BH71" s="16">
        <f t="shared" si="373"/>
        <v>24611.25</v>
      </c>
      <c r="BJ71" s="16">
        <f t="shared" si="374"/>
        <v>98445</v>
      </c>
      <c r="BK71" s="16">
        <f>+CAPEX!BK70</f>
        <v>24611.25</v>
      </c>
      <c r="BL71" s="16">
        <f>+CAPEX!BL70</f>
        <v>24611.25</v>
      </c>
      <c r="BM71" s="16">
        <f>+CAPEX!BM70</f>
        <v>24611.25</v>
      </c>
      <c r="BN71" s="16">
        <f>+CAPEX!BN70</f>
        <v>24611.25</v>
      </c>
      <c r="BP71" s="16">
        <f t="shared" si="375"/>
        <v>98445</v>
      </c>
      <c r="BQ71" s="16">
        <f>+CAPEX!BQ70</f>
        <v>24611.25</v>
      </c>
      <c r="BR71" s="16">
        <f>+CAPEX!BR70</f>
        <v>24611.25</v>
      </c>
      <c r="BS71" s="16">
        <f>+CAPEX!BS70</f>
        <v>24611.25</v>
      </c>
      <c r="BT71" s="16">
        <f>+CAPEX!BT70</f>
        <v>24611.25</v>
      </c>
      <c r="BV71" s="16">
        <f t="shared" si="376"/>
        <v>98445</v>
      </c>
      <c r="BW71" s="16">
        <f>+CAPEX!BW70</f>
        <v>24611.25</v>
      </c>
      <c r="BX71" s="16">
        <f>+CAPEX!BX70</f>
        <v>24611.25</v>
      </c>
      <c r="BY71" s="16">
        <f>+CAPEX!BY70</f>
        <v>24611.25</v>
      </c>
      <c r="BZ71" s="16">
        <f>+CAPEX!BZ70</f>
        <v>24611.25</v>
      </c>
    </row>
    <row r="72" spans="1:78" s="16" customFormat="1" x14ac:dyDescent="0.25"/>
    <row r="73" spans="1:78" s="16" customFormat="1" x14ac:dyDescent="0.25">
      <c r="B73" s="16" t="s">
        <v>54</v>
      </c>
      <c r="E73" s="17">
        <f>SUBTOTAL(9,E67:E72)</f>
        <v>1255</v>
      </c>
      <c r="F73" s="17">
        <f t="shared" ref="F73:P73" si="377">SUBTOTAL(9,F67:F72)</f>
        <v>1255</v>
      </c>
      <c r="G73" s="17">
        <f t="shared" si="377"/>
        <v>1255</v>
      </c>
      <c r="H73" s="17">
        <f t="shared" si="377"/>
        <v>2370.416666666667</v>
      </c>
      <c r="I73" s="17">
        <f t="shared" si="377"/>
        <v>2370.416666666667</v>
      </c>
      <c r="J73" s="17">
        <f t="shared" si="377"/>
        <v>2370.416666666667</v>
      </c>
      <c r="K73" s="17">
        <f t="shared" si="377"/>
        <v>2370.416666666667</v>
      </c>
      <c r="L73" s="17">
        <f t="shared" si="377"/>
        <v>2370.416666666667</v>
      </c>
      <c r="M73" s="17">
        <f t="shared" si="377"/>
        <v>2370.416666666667</v>
      </c>
      <c r="N73" s="17">
        <f t="shared" si="377"/>
        <v>2370.416666666667</v>
      </c>
      <c r="O73" s="17">
        <f t="shared" si="377"/>
        <v>2370.416666666667</v>
      </c>
      <c r="P73" s="17">
        <f t="shared" si="377"/>
        <v>2370.416666666667</v>
      </c>
      <c r="R73" s="17">
        <f>SUBTOTAL(9,R67:R72)</f>
        <v>2370.416666666667</v>
      </c>
      <c r="S73" s="17">
        <f t="shared" ref="S73" si="378">SUBTOTAL(9,S67:S72)</f>
        <v>2370.416666666667</v>
      </c>
      <c r="T73" s="17">
        <f t="shared" ref="T73" si="379">SUBTOTAL(9,T67:T72)</f>
        <v>2370.416666666667</v>
      </c>
      <c r="U73" s="17">
        <f t="shared" ref="U73" si="380">SUBTOTAL(9,U67:U72)</f>
        <v>2370.416666666667</v>
      </c>
      <c r="V73" s="17">
        <f t="shared" ref="V73" si="381">SUBTOTAL(9,V67:V72)</f>
        <v>2370.416666666667</v>
      </c>
      <c r="W73" s="17">
        <f t="shared" ref="W73" si="382">SUBTOTAL(9,W67:W72)</f>
        <v>2370.416666666667</v>
      </c>
      <c r="X73" s="17">
        <f t="shared" ref="X73" si="383">SUBTOTAL(9,X67:X72)</f>
        <v>2370.416666666667</v>
      </c>
      <c r="Y73" s="17">
        <f t="shared" ref="Y73" si="384">SUBTOTAL(9,Y67:Y72)</f>
        <v>2370.416666666667</v>
      </c>
      <c r="Z73" s="17">
        <f t="shared" ref="Z73" si="385">SUBTOTAL(9,Z67:Z72)</f>
        <v>2370.416666666667</v>
      </c>
      <c r="AA73" s="17">
        <f t="shared" ref="AA73" si="386">SUBTOTAL(9,AA67:AA72)</f>
        <v>2370.416666666667</v>
      </c>
      <c r="AB73" s="17">
        <f t="shared" ref="AB73" si="387">SUBTOTAL(9,AB67:AB72)</f>
        <v>2370.416666666667</v>
      </c>
      <c r="AC73" s="17">
        <f t="shared" ref="AC73:AP73" si="388">SUBTOTAL(9,AC67:AC72)</f>
        <v>2370.416666666667</v>
      </c>
      <c r="AE73" s="17">
        <f t="shared" si="388"/>
        <v>2370.416666666667</v>
      </c>
      <c r="AF73" s="17">
        <f t="shared" si="388"/>
        <v>2370.416666666667</v>
      </c>
      <c r="AG73" s="17">
        <f t="shared" si="388"/>
        <v>2370.416666666667</v>
      </c>
      <c r="AH73" s="17">
        <f t="shared" si="388"/>
        <v>2370.416666666667</v>
      </c>
      <c r="AI73" s="17">
        <f t="shared" si="388"/>
        <v>2370.416666666667</v>
      </c>
      <c r="AJ73" s="17">
        <f t="shared" si="388"/>
        <v>8203.75</v>
      </c>
      <c r="AK73" s="17">
        <f t="shared" si="388"/>
        <v>8203.75</v>
      </c>
      <c r="AL73" s="17">
        <f t="shared" si="388"/>
        <v>8203.75</v>
      </c>
      <c r="AM73" s="17">
        <f t="shared" si="388"/>
        <v>8203.75</v>
      </c>
      <c r="AN73" s="17">
        <f t="shared" si="388"/>
        <v>8203.75</v>
      </c>
      <c r="AO73" s="17">
        <f t="shared" si="388"/>
        <v>8203.75</v>
      </c>
      <c r="AP73" s="17">
        <f t="shared" si="388"/>
        <v>8203.75</v>
      </c>
      <c r="AR73" s="17">
        <f t="shared" ref="AR73:AV73" si="389">SUBTOTAL(9,AR67:AR72)</f>
        <v>25098.750000000007</v>
      </c>
      <c r="AS73" s="17">
        <f t="shared" si="389"/>
        <v>3765</v>
      </c>
      <c r="AT73" s="17">
        <f t="shared" si="389"/>
        <v>7111.2500000000009</v>
      </c>
      <c r="AU73" s="17">
        <f t="shared" si="389"/>
        <v>7111.2500000000009</v>
      </c>
      <c r="AV73" s="17">
        <f t="shared" si="389"/>
        <v>7111.2500000000009</v>
      </c>
      <c r="AX73" s="17">
        <f t="shared" ref="AX73:BB73" si="390">SUBTOTAL(9,AX67:AX72)</f>
        <v>28445.000000000011</v>
      </c>
      <c r="AY73" s="17">
        <f t="shared" si="390"/>
        <v>7111.2500000000009</v>
      </c>
      <c r="AZ73" s="17">
        <f t="shared" si="390"/>
        <v>7111.2500000000009</v>
      </c>
      <c r="BA73" s="17">
        <f t="shared" si="390"/>
        <v>7111.2500000000009</v>
      </c>
      <c r="BB73" s="17">
        <f t="shared" si="390"/>
        <v>7111.2500000000009</v>
      </c>
      <c r="BD73" s="17">
        <f t="shared" ref="BD73:BH73" si="391">SUBTOTAL(9,BD67:BD72)</f>
        <v>69278.333333333343</v>
      </c>
      <c r="BE73" s="17">
        <f t="shared" si="391"/>
        <v>7111.2500000000009</v>
      </c>
      <c r="BF73" s="17">
        <f t="shared" si="391"/>
        <v>12944.583333333334</v>
      </c>
      <c r="BG73" s="17">
        <f t="shared" si="391"/>
        <v>24611.25</v>
      </c>
      <c r="BH73" s="17">
        <f t="shared" si="391"/>
        <v>24611.25</v>
      </c>
      <c r="BJ73" s="17">
        <f t="shared" ref="BJ73" si="392">SUBTOTAL(9,BJ67:BJ72)</f>
        <v>98445</v>
      </c>
      <c r="BK73" s="17">
        <f t="shared" ref="BK73:BN73" si="393">SUBTOTAL(9,BK67:BK72)</f>
        <v>24611.25</v>
      </c>
      <c r="BL73" s="17">
        <f t="shared" si="393"/>
        <v>24611.25</v>
      </c>
      <c r="BM73" s="17">
        <f t="shared" si="393"/>
        <v>24611.25</v>
      </c>
      <c r="BN73" s="17">
        <f t="shared" si="393"/>
        <v>24611.25</v>
      </c>
      <c r="BP73" s="17">
        <f t="shared" ref="BP73" si="394">SUBTOTAL(9,BP67:BP72)</f>
        <v>98445</v>
      </c>
      <c r="BQ73" s="17">
        <f t="shared" ref="BQ73:BT73" si="395">SUBTOTAL(9,BQ67:BQ72)</f>
        <v>24611.25</v>
      </c>
      <c r="BR73" s="17">
        <f t="shared" si="395"/>
        <v>24611.25</v>
      </c>
      <c r="BS73" s="17">
        <f t="shared" si="395"/>
        <v>24611.25</v>
      </c>
      <c r="BT73" s="17">
        <f t="shared" si="395"/>
        <v>24611.25</v>
      </c>
      <c r="BV73" s="17">
        <f t="shared" ref="BV73" si="396">SUBTOTAL(9,BV67:BV72)</f>
        <v>98445</v>
      </c>
      <c r="BW73" s="17">
        <f t="shared" ref="BW73:BZ73" si="397">SUBTOTAL(9,BW67:BW72)</f>
        <v>24611.25</v>
      </c>
      <c r="BX73" s="17">
        <f t="shared" si="397"/>
        <v>24611.25</v>
      </c>
      <c r="BY73" s="17">
        <f t="shared" si="397"/>
        <v>24611.25</v>
      </c>
      <c r="BZ73" s="17">
        <f t="shared" si="397"/>
        <v>24611.25</v>
      </c>
    </row>
    <row r="74" spans="1:78" s="16" customFormat="1" x14ac:dyDescent="0.25"/>
    <row r="75" spans="1:78" s="16" customFormat="1" x14ac:dyDescent="0.25">
      <c r="B75" s="16" t="s">
        <v>55</v>
      </c>
      <c r="E75" s="17">
        <f>SUBTOTAL(9,E5:E74)</f>
        <v>1255</v>
      </c>
      <c r="F75" s="17">
        <f t="shared" ref="F75:P75" si="398">SUBTOTAL(9,F5:F74)</f>
        <v>1255</v>
      </c>
      <c r="G75" s="17">
        <f t="shared" si="398"/>
        <v>1255</v>
      </c>
      <c r="H75" s="17">
        <f t="shared" si="398"/>
        <v>2370.416666666667</v>
      </c>
      <c r="I75" s="17">
        <f t="shared" si="398"/>
        <v>2370.416666666667</v>
      </c>
      <c r="J75" s="17">
        <f t="shared" si="398"/>
        <v>2870.416666666667</v>
      </c>
      <c r="K75" s="17">
        <f t="shared" si="398"/>
        <v>2370.416666666667</v>
      </c>
      <c r="L75" s="17">
        <f t="shared" si="398"/>
        <v>2370.416666666667</v>
      </c>
      <c r="M75" s="17">
        <f t="shared" si="398"/>
        <v>2370.416666666667</v>
      </c>
      <c r="N75" s="17">
        <f t="shared" si="398"/>
        <v>2370.416666666667</v>
      </c>
      <c r="O75" s="17">
        <f t="shared" si="398"/>
        <v>2370.416666666667</v>
      </c>
      <c r="P75" s="17">
        <f t="shared" si="398"/>
        <v>2870.416666666667</v>
      </c>
      <c r="R75" s="17">
        <f>SUBTOTAL(9,R5:R74)</f>
        <v>13205</v>
      </c>
      <c r="S75" s="17">
        <f t="shared" ref="S75" si="399">SUBTOTAL(9,S5:S74)</f>
        <v>21955</v>
      </c>
      <c r="T75" s="17">
        <f t="shared" ref="T75" si="400">SUBTOTAL(9,T5:T74)</f>
        <v>8205</v>
      </c>
      <c r="U75" s="17">
        <f t="shared" ref="U75" si="401">SUBTOTAL(9,U5:U74)</f>
        <v>42682.083333333328</v>
      </c>
      <c r="V75" s="17">
        <f t="shared" ref="V75" si="402">SUBTOTAL(9,V5:V74)</f>
        <v>91398.749999999985</v>
      </c>
      <c r="W75" s="17">
        <f t="shared" ref="W75" si="403">SUBTOTAL(9,W5:W74)</f>
        <v>122744.58333333334</v>
      </c>
      <c r="X75" s="17">
        <f t="shared" ref="X75" si="404">SUBTOTAL(9,X5:X74)</f>
        <v>143461.25</v>
      </c>
      <c r="Y75" s="17">
        <f t="shared" ref="Y75" si="405">SUBTOTAL(9,Y5:Y74)</f>
        <v>157211.25</v>
      </c>
      <c r="Z75" s="17">
        <f t="shared" ref="Z75" si="406">SUBTOTAL(9,Z5:Z74)</f>
        <v>157211.25</v>
      </c>
      <c r="AA75" s="17">
        <f t="shared" ref="AA75" si="407">SUBTOTAL(9,AA5:AA74)</f>
        <v>143461.25</v>
      </c>
      <c r="AB75" s="17">
        <f t="shared" ref="AB75" si="408">SUBTOTAL(9,AB5:AB74)</f>
        <v>157211.25</v>
      </c>
      <c r="AC75" s="17">
        <f t="shared" ref="AC75:AP75" si="409">SUBTOTAL(9,AC5:AC74)</f>
        <v>143461.25</v>
      </c>
      <c r="AE75" s="17">
        <f t="shared" si="409"/>
        <v>148461.25</v>
      </c>
      <c r="AF75" s="17">
        <f t="shared" si="409"/>
        <v>143461.25</v>
      </c>
      <c r="AG75" s="17">
        <f t="shared" si="409"/>
        <v>143461.25</v>
      </c>
      <c r="AH75" s="17">
        <f t="shared" si="409"/>
        <v>25708.75</v>
      </c>
      <c r="AI75" s="17">
        <f t="shared" si="409"/>
        <v>25708.75</v>
      </c>
      <c r="AJ75" s="17">
        <f t="shared" si="409"/>
        <v>31542.083333333332</v>
      </c>
      <c r="AK75" s="17">
        <f t="shared" si="409"/>
        <v>31542.083333333332</v>
      </c>
      <c r="AL75" s="17">
        <f t="shared" si="409"/>
        <v>31542.083333333332</v>
      </c>
      <c r="AM75" s="17">
        <f t="shared" si="409"/>
        <v>31542.083333333332</v>
      </c>
      <c r="AN75" s="17">
        <f t="shared" si="409"/>
        <v>31542.083333333332</v>
      </c>
      <c r="AO75" s="17">
        <f t="shared" si="409"/>
        <v>31542.083333333332</v>
      </c>
      <c r="AP75" s="17">
        <f t="shared" si="409"/>
        <v>37376.666666666664</v>
      </c>
      <c r="AR75" s="17">
        <f t="shared" ref="AR75:AV75" si="410">SUBTOTAL(9,AR5:AR74)</f>
        <v>26098.750000000007</v>
      </c>
      <c r="AS75" s="17">
        <f t="shared" si="410"/>
        <v>3765</v>
      </c>
      <c r="AT75" s="17">
        <f t="shared" si="410"/>
        <v>7611.2500000000009</v>
      </c>
      <c r="AU75" s="17">
        <f t="shared" si="410"/>
        <v>7111.2500000000009</v>
      </c>
      <c r="AV75" s="17">
        <f t="shared" si="410"/>
        <v>7611.2500000000009</v>
      </c>
      <c r="AX75" s="17">
        <f t="shared" ref="AX75:BB75" si="411">SUBTOTAL(9,AX5:AX74)</f>
        <v>1202207.9166666667</v>
      </c>
      <c r="AY75" s="17">
        <f t="shared" si="411"/>
        <v>43365</v>
      </c>
      <c r="AZ75" s="17">
        <f t="shared" si="411"/>
        <v>256825.41666666666</v>
      </c>
      <c r="BA75" s="17">
        <f t="shared" si="411"/>
        <v>457883.75000000006</v>
      </c>
      <c r="BB75" s="17">
        <f t="shared" si="411"/>
        <v>444133.75000000006</v>
      </c>
      <c r="BD75" s="17">
        <f t="shared" ref="BD75:BH75" si="412">SUBTOTAL(9,BD5:BD74)</f>
        <v>713430.41666666663</v>
      </c>
      <c r="BE75" s="17">
        <f t="shared" si="412"/>
        <v>435383.75000000006</v>
      </c>
      <c r="BF75" s="17">
        <f t="shared" si="412"/>
        <v>82959.583333333328</v>
      </c>
      <c r="BG75" s="17">
        <f t="shared" si="412"/>
        <v>94626.25</v>
      </c>
      <c r="BH75" s="17">
        <f t="shared" si="412"/>
        <v>100460.83333333333</v>
      </c>
      <c r="BJ75" s="17">
        <f t="shared" ref="BJ75:BN75" si="413">SUBTOTAL(9,BJ5:BJ74)</f>
        <v>900435</v>
      </c>
      <c r="BK75" s="17">
        <f t="shared" si="413"/>
        <v>161458.75</v>
      </c>
      <c r="BL75" s="17">
        <f t="shared" si="413"/>
        <v>225108.75</v>
      </c>
      <c r="BM75" s="17">
        <f t="shared" si="413"/>
        <v>241021.25</v>
      </c>
      <c r="BN75" s="17">
        <f t="shared" si="413"/>
        <v>272846.25</v>
      </c>
      <c r="BP75" s="17">
        <f t="shared" ref="BP75" si="414">SUBTOTAL(9,BP5:BP74)</f>
        <v>1521022.5</v>
      </c>
      <c r="BQ75" s="17">
        <f t="shared" ref="BQ75:BT75" si="415">SUBTOTAL(9,BQ5:BQ74)</f>
        <v>288758.75</v>
      </c>
      <c r="BR75" s="17">
        <f t="shared" si="415"/>
        <v>384233.75</v>
      </c>
      <c r="BS75" s="17">
        <f t="shared" si="415"/>
        <v>400146.25</v>
      </c>
      <c r="BT75" s="17">
        <f t="shared" si="415"/>
        <v>447883.75</v>
      </c>
      <c r="BV75" s="17">
        <f t="shared" ref="BV75" si="416">SUBTOTAL(9,BV5:BV74)</f>
        <v>2284822.5</v>
      </c>
      <c r="BW75" s="17">
        <f t="shared" ref="BW75:BZ75" si="417">SUBTOTAL(9,BW5:BW74)</f>
        <v>479708.75</v>
      </c>
      <c r="BX75" s="17">
        <f t="shared" si="417"/>
        <v>559271.25</v>
      </c>
      <c r="BY75" s="17">
        <f t="shared" si="417"/>
        <v>607008.75</v>
      </c>
      <c r="BZ75" s="17">
        <f t="shared" si="417"/>
        <v>638833.75</v>
      </c>
    </row>
    <row r="76" spans="1:78" s="16" customFormat="1" x14ac:dyDescent="0.25"/>
    <row r="77" spans="1:78" s="16" customFormat="1" x14ac:dyDescent="0.25">
      <c r="A77" s="16" t="s">
        <v>56</v>
      </c>
    </row>
    <row r="78" spans="1:78" s="16" customFormat="1" x14ac:dyDescent="0.25">
      <c r="B78" s="16" t="s">
        <v>59</v>
      </c>
      <c r="C78" s="16" t="s">
        <v>60</v>
      </c>
      <c r="D78" s="16" t="s">
        <v>61</v>
      </c>
    </row>
    <row r="79" spans="1:78" s="16" customFormat="1" x14ac:dyDescent="0.25">
      <c r="B79" s="16" t="s">
        <v>62</v>
      </c>
      <c r="BK79" s="16">
        <v>0</v>
      </c>
    </row>
    <row r="80" spans="1:78" s="16" customFormat="1" x14ac:dyDescent="0.25">
      <c r="B80" s="16" t="s">
        <v>646</v>
      </c>
      <c r="C80" s="16">
        <v>55000</v>
      </c>
      <c r="D80" s="16" t="s">
        <v>375</v>
      </c>
      <c r="R80" s="16">
        <f>$C80/12</f>
        <v>4583.333333333333</v>
      </c>
      <c r="S80" s="16">
        <f t="shared" ref="S80:T80" si="418">$C80/12</f>
        <v>4583.333333333333</v>
      </c>
      <c r="T80" s="16">
        <f t="shared" si="418"/>
        <v>4583.333333333333</v>
      </c>
      <c r="U80" s="16">
        <f>IF(Production!U$30&gt;=1,$C80/12,"")</f>
        <v>4583.333333333333</v>
      </c>
      <c r="V80" s="16">
        <f>IF(Production!V$30&gt;=1,$C80/12,"")</f>
        <v>4583.333333333333</v>
      </c>
      <c r="W80" s="16">
        <f>IF(Production!W$30&gt;=1,$C80/12,"")</f>
        <v>4583.333333333333</v>
      </c>
      <c r="X80" s="16">
        <f>IF(Production!X$30&gt;=1,$C80/12,"")</f>
        <v>4583.333333333333</v>
      </c>
      <c r="Y80" s="16">
        <f>IF(Production!Y$30&gt;=1,$C80/12,"")</f>
        <v>4583.333333333333</v>
      </c>
      <c r="Z80" s="16">
        <f>IF(Production!Z$30&gt;=1,$C80/12,"")</f>
        <v>4583.333333333333</v>
      </c>
      <c r="AA80" s="16">
        <f>IF(Production!AA$30&gt;=1,$C80/12,"")</f>
        <v>4583.333333333333</v>
      </c>
      <c r="AB80" s="16">
        <f>IF(Production!AB$30&gt;=1,$C80/12,"")</f>
        <v>4583.333333333333</v>
      </c>
      <c r="AC80" s="16">
        <f>IF(Production!AC$30&gt;=1,$C80/12,"")</f>
        <v>4583.333333333333</v>
      </c>
      <c r="AE80" s="16">
        <f>IF(Production!AE$30&gt;=1,$C80/12,"")</f>
        <v>4583.333333333333</v>
      </c>
      <c r="AF80" s="16">
        <f>IF(Production!AF$30&gt;=1,$C80/12,"")</f>
        <v>4583.333333333333</v>
      </c>
      <c r="AG80" s="16">
        <f>IF(Production!AG$30&gt;=1,$C80/12,"")</f>
        <v>4583.333333333333</v>
      </c>
      <c r="AH80" s="16">
        <f>IF(Production!AH$30&gt;=1,$C80/12,"")</f>
        <v>4583.333333333333</v>
      </c>
      <c r="AI80" s="16">
        <f>IF(Production!AI$30&gt;=1,$C80/12,"")</f>
        <v>4583.333333333333</v>
      </c>
      <c r="AJ80" s="16">
        <f>IF(Production!AJ$30&gt;=1,$C80/12,"")</f>
        <v>4583.333333333333</v>
      </c>
      <c r="AK80" s="16">
        <f>IF(Production!AK$30&gt;=1,$C80/12,"")</f>
        <v>4583.333333333333</v>
      </c>
      <c r="AL80" s="16">
        <f>IF(Production!AL$30&gt;=1,$C80/12,"")</f>
        <v>4583.333333333333</v>
      </c>
      <c r="AM80" s="16">
        <f>IF(Production!AM$30&gt;=1,$C80/12,"")</f>
        <v>4583.333333333333</v>
      </c>
      <c r="AN80" s="16">
        <f>IF(Production!AN$30&gt;=1,$C80/12,"")</f>
        <v>4583.333333333333</v>
      </c>
      <c r="AO80" s="16">
        <f>IF(Production!AO$30&gt;=1,$C80/12,"")</f>
        <v>4583.333333333333</v>
      </c>
      <c r="AP80" s="16">
        <f>IF(Production!AP$30&gt;=1,$C80/12,"")</f>
        <v>4583.333333333333</v>
      </c>
      <c r="AR80" s="16">
        <f t="shared" ref="AR80:AR87" si="419">SUM(E80:P80)</f>
        <v>0</v>
      </c>
      <c r="AS80" s="16">
        <f t="shared" ref="AS80:AS87" si="420">SUM(E80:G80)</f>
        <v>0</v>
      </c>
      <c r="AT80" s="16">
        <f t="shared" ref="AT80:AT87" si="421">SUM(H80:J80)</f>
        <v>0</v>
      </c>
      <c r="AU80" s="16">
        <f t="shared" ref="AU80:AU87" si="422">SUM(K80:M80)</f>
        <v>0</v>
      </c>
      <c r="AV80" s="16">
        <f t="shared" ref="AV80:AV87" si="423">SUM(N80:P80)</f>
        <v>0</v>
      </c>
      <c r="AX80" s="16">
        <f t="shared" ref="AX80:AX87" si="424">SUM(R80:AC80)</f>
        <v>55000.000000000007</v>
      </c>
      <c r="AY80" s="16">
        <f t="shared" ref="AY80:AY87" si="425">SUM(R80:T80)</f>
        <v>13750</v>
      </c>
      <c r="AZ80" s="16">
        <f t="shared" ref="AZ80:AZ87" si="426">SUM(U80:W80)</f>
        <v>13750</v>
      </c>
      <c r="BA80" s="16">
        <f t="shared" ref="BA80:BA87" si="427">SUM(X80:Z80)</f>
        <v>13750</v>
      </c>
      <c r="BB80" s="16">
        <f t="shared" ref="BB80:BB87" si="428">SUM(AA80:AC80)</f>
        <v>13750</v>
      </c>
      <c r="BD80" s="16">
        <f t="shared" ref="BD80:BD87" si="429">SUM(AE80:AP80)</f>
        <v>55000.000000000007</v>
      </c>
      <c r="BE80" s="16">
        <f>SUM(AE80:AH80)</f>
        <v>18333.333333333332</v>
      </c>
      <c r="BF80" s="16">
        <f>SUM(AH80:AJ80)</f>
        <v>13750</v>
      </c>
      <c r="BG80" s="16">
        <f t="shared" ref="BG80:BG87" si="430">SUM(AK80:AM80)</f>
        <v>13750</v>
      </c>
      <c r="BH80" s="16">
        <f t="shared" ref="BH80:BH87" si="431">SUM(AN80:AP80)</f>
        <v>13750</v>
      </c>
      <c r="BJ80" s="16">
        <f t="shared" ref="BJ80:BJ87" si="432">SUM(BK80:BN80)</f>
        <v>55000</v>
      </c>
      <c r="BK80" s="16">
        <f>$C80/4*(1+$BK$79)</f>
        <v>13750</v>
      </c>
      <c r="BL80" s="16">
        <f t="shared" ref="BL80:BN83" si="433">$C80/4*(1+$BK$79)</f>
        <v>13750</v>
      </c>
      <c r="BM80" s="16">
        <f t="shared" si="433"/>
        <v>13750</v>
      </c>
      <c r="BN80" s="16">
        <f t="shared" si="433"/>
        <v>13750</v>
      </c>
      <c r="BP80" s="16">
        <f t="shared" ref="BP80:BP85" si="434">SUM(BQ80:BT80)</f>
        <v>55000</v>
      </c>
      <c r="BQ80" s="16">
        <f t="shared" ref="BQ80:BT83" si="435">$C80/4*(1+$BK$79)</f>
        <v>13750</v>
      </c>
      <c r="BR80" s="16">
        <f t="shared" si="435"/>
        <v>13750</v>
      </c>
      <c r="BS80" s="16">
        <f t="shared" si="435"/>
        <v>13750</v>
      </c>
      <c r="BT80" s="16">
        <f t="shared" si="435"/>
        <v>13750</v>
      </c>
      <c r="BV80" s="16">
        <f t="shared" ref="BV80:BV85" si="436">SUM(BW80:BZ80)</f>
        <v>55000</v>
      </c>
      <c r="BW80" s="16">
        <f t="shared" ref="BW80:BZ83" si="437">$C80/4*(1+$BK$79)</f>
        <v>13750</v>
      </c>
      <c r="BX80" s="16">
        <f t="shared" si="437"/>
        <v>13750</v>
      </c>
      <c r="BY80" s="16">
        <f t="shared" si="437"/>
        <v>13750</v>
      </c>
      <c r="BZ80" s="16">
        <f t="shared" si="437"/>
        <v>13750</v>
      </c>
    </row>
    <row r="81" spans="2:78" s="16" customFormat="1" x14ac:dyDescent="0.25">
      <c r="B81" s="16" t="s">
        <v>647</v>
      </c>
      <c r="C81" s="16">
        <v>55000</v>
      </c>
      <c r="D81" s="16" t="s">
        <v>376</v>
      </c>
      <c r="U81" s="16">
        <f>IF(Production!U$30&gt;=2,$C81/12,"")</f>
        <v>4583.333333333333</v>
      </c>
      <c r="V81" s="16">
        <f>IF(Production!V$30&gt;=2,$C81/12,"")</f>
        <v>4583.333333333333</v>
      </c>
      <c r="W81" s="16">
        <f>IF(Production!W$30&gt;=2,$C81/12,"")</f>
        <v>4583.333333333333</v>
      </c>
      <c r="X81" s="16">
        <f>IF(Production!X$30&gt;=2,$C81/12,"")</f>
        <v>4583.333333333333</v>
      </c>
      <c r="Y81" s="16">
        <f>IF(Production!Y$30&gt;=2,$C81/12,"")</f>
        <v>4583.333333333333</v>
      </c>
      <c r="Z81" s="16">
        <f>IF(Production!Z$30&gt;=2,$C81/12,"")</f>
        <v>4583.333333333333</v>
      </c>
      <c r="AA81" s="16">
        <f>IF(Production!AA$30&gt;=2,$C81/12,"")</f>
        <v>4583.333333333333</v>
      </c>
      <c r="AB81" s="16">
        <f>IF(Production!AB$30&gt;=2,$C81/12,"")</f>
        <v>4583.333333333333</v>
      </c>
      <c r="AC81" s="16">
        <f>IF(Production!AC$30&gt;=2,$C81/12,"")</f>
        <v>4583.333333333333</v>
      </c>
      <c r="AE81" s="16">
        <f>IF(Production!AE$30&gt;=2,$C81/12,"")</f>
        <v>4583.333333333333</v>
      </c>
      <c r="AF81" s="16">
        <f>IF(Production!AF$30&gt;=2,$C81/12,"")</f>
        <v>4583.333333333333</v>
      </c>
      <c r="AG81" s="16">
        <f>IF(Production!AG$30&gt;=2,$C81/12,"")</f>
        <v>4583.333333333333</v>
      </c>
      <c r="AH81" s="16">
        <f>IF(Production!AH$30&gt;=2,$C81/12,"")</f>
        <v>4583.333333333333</v>
      </c>
      <c r="AI81" s="16">
        <f>IF(Production!AI$30&gt;=2,$C81/12,"")</f>
        <v>4583.333333333333</v>
      </c>
      <c r="AJ81" s="16">
        <f>IF(Production!AJ$30&gt;=2,$C81/12,"")</f>
        <v>4583.333333333333</v>
      </c>
      <c r="AK81" s="16">
        <f>IF(Production!AK$30&gt;=2,$C81/12,"")</f>
        <v>4583.333333333333</v>
      </c>
      <c r="AL81" s="16">
        <f>IF(Production!AL$30&gt;=2,$C81/12,"")</f>
        <v>4583.333333333333</v>
      </c>
      <c r="AM81" s="16">
        <f>IF(Production!AM$30&gt;=2,$C81/12,"")</f>
        <v>4583.333333333333</v>
      </c>
      <c r="AN81" s="16">
        <f>IF(Production!AN$30&gt;=2,$C81/12,"")</f>
        <v>4583.333333333333</v>
      </c>
      <c r="AO81" s="16">
        <f>IF(Production!AO$30&gt;=2,$C81/12,"")</f>
        <v>4583.333333333333</v>
      </c>
      <c r="AP81" s="16">
        <f>IF(Production!AP$30&gt;=2,$C81/12,"")</f>
        <v>4583.333333333333</v>
      </c>
      <c r="AR81" s="16">
        <f t="shared" si="419"/>
        <v>0</v>
      </c>
      <c r="AS81" s="16">
        <f t="shared" si="420"/>
        <v>0</v>
      </c>
      <c r="AT81" s="16">
        <f t="shared" si="421"/>
        <v>0</v>
      </c>
      <c r="AU81" s="16">
        <f t="shared" si="422"/>
        <v>0</v>
      </c>
      <c r="AV81" s="16">
        <f t="shared" si="423"/>
        <v>0</v>
      </c>
      <c r="AX81" s="16">
        <f t="shared" si="424"/>
        <v>41250</v>
      </c>
      <c r="AY81" s="16">
        <f t="shared" si="425"/>
        <v>0</v>
      </c>
      <c r="AZ81" s="16">
        <f t="shared" si="426"/>
        <v>13750</v>
      </c>
      <c r="BA81" s="16">
        <f t="shared" si="427"/>
        <v>13750</v>
      </c>
      <c r="BB81" s="16">
        <f t="shared" si="428"/>
        <v>13750</v>
      </c>
      <c r="BD81" s="16">
        <f t="shared" si="429"/>
        <v>55000.000000000007</v>
      </c>
      <c r="BE81" s="16">
        <f>SUM(AE81:AH81)</f>
        <v>18333.333333333332</v>
      </c>
      <c r="BF81" s="16">
        <f>SUM(AH81:AJ81)</f>
        <v>13750</v>
      </c>
      <c r="BG81" s="16">
        <f t="shared" si="430"/>
        <v>13750</v>
      </c>
      <c r="BH81" s="16">
        <f t="shared" si="431"/>
        <v>13750</v>
      </c>
      <c r="BJ81" s="16">
        <f t="shared" si="432"/>
        <v>55000</v>
      </c>
      <c r="BK81" s="16">
        <f t="shared" ref="BK81:BK83" si="438">$C81/4*(1+$BK$79)</f>
        <v>13750</v>
      </c>
      <c r="BL81" s="16">
        <f t="shared" si="433"/>
        <v>13750</v>
      </c>
      <c r="BM81" s="16">
        <f t="shared" si="433"/>
        <v>13750</v>
      </c>
      <c r="BN81" s="16">
        <f t="shared" si="433"/>
        <v>13750</v>
      </c>
      <c r="BP81" s="16">
        <f t="shared" si="434"/>
        <v>55000</v>
      </c>
      <c r="BQ81" s="16">
        <f t="shared" si="435"/>
        <v>13750</v>
      </c>
      <c r="BR81" s="16">
        <f t="shared" si="435"/>
        <v>13750</v>
      </c>
      <c r="BS81" s="16">
        <f t="shared" si="435"/>
        <v>13750</v>
      </c>
      <c r="BT81" s="16">
        <f t="shared" si="435"/>
        <v>13750</v>
      </c>
      <c r="BV81" s="16">
        <f t="shared" si="436"/>
        <v>55000</v>
      </c>
      <c r="BW81" s="16">
        <f t="shared" si="437"/>
        <v>13750</v>
      </c>
      <c r="BX81" s="16">
        <f t="shared" si="437"/>
        <v>13750</v>
      </c>
      <c r="BY81" s="16">
        <f t="shared" si="437"/>
        <v>13750</v>
      </c>
      <c r="BZ81" s="16">
        <f t="shared" si="437"/>
        <v>13750</v>
      </c>
    </row>
    <row r="82" spans="2:78" s="16" customFormat="1" x14ac:dyDescent="0.25">
      <c r="B82" s="16" t="s">
        <v>87</v>
      </c>
      <c r="C82" s="16">
        <v>55000</v>
      </c>
      <c r="D82" s="16" t="s">
        <v>376</v>
      </c>
      <c r="U82" s="16">
        <f>IF(Production!U$30&gt;=3,$C82/12,"")</f>
        <v>4583.333333333333</v>
      </c>
      <c r="V82" s="16">
        <f>IF(Production!V$30&gt;=3,$C82/12,"")</f>
        <v>4583.333333333333</v>
      </c>
      <c r="W82" s="16">
        <f>IF(Production!W$30&gt;=3,$C82/12,"")</f>
        <v>4583.333333333333</v>
      </c>
      <c r="X82" s="16">
        <f>IF(Production!X$30&gt;=3,$C82/12,"")</f>
        <v>4583.333333333333</v>
      </c>
      <c r="Y82" s="16">
        <f>IF(Production!Y$30&gt;=3,$C82/12,"")</f>
        <v>4583.333333333333</v>
      </c>
      <c r="Z82" s="16">
        <f>IF(Production!Z$30&gt;=3,$C82/12,"")</f>
        <v>4583.333333333333</v>
      </c>
      <c r="AA82" s="16">
        <f>IF(Production!AA$30&gt;=3,$C82/12,"")</f>
        <v>4583.333333333333</v>
      </c>
      <c r="AB82" s="16">
        <f>IF(Production!AB$30&gt;=3,$C82/12,"")</f>
        <v>4583.333333333333</v>
      </c>
      <c r="AC82" s="16">
        <f>IF(Production!AC$30&gt;=3,$C82/12,"")</f>
        <v>4583.333333333333</v>
      </c>
      <c r="AE82" s="16">
        <f>IF(Production!AE$30&gt;=3,$C82/12,"")</f>
        <v>4583.333333333333</v>
      </c>
      <c r="AF82" s="16">
        <f>IF(Production!AF$30&gt;=3,$C82/12,"")</f>
        <v>4583.333333333333</v>
      </c>
      <c r="AG82" s="16">
        <f>IF(Production!AG$30&gt;=3,$C82/12,"")</f>
        <v>4583.333333333333</v>
      </c>
      <c r="AH82" s="16">
        <f>IF(Production!AH$30&gt;=3,$C82/12,"")</f>
        <v>4583.333333333333</v>
      </c>
      <c r="AI82" s="16">
        <f>IF(Production!AI$30&gt;=3,$C82/12,"")</f>
        <v>4583.333333333333</v>
      </c>
      <c r="AJ82" s="16">
        <f>IF(Production!AJ$30&gt;=3,$C82/12,"")</f>
        <v>4583.333333333333</v>
      </c>
      <c r="AK82" s="16">
        <f>IF(Production!AK$30&gt;=3,$C82/12,"")</f>
        <v>4583.333333333333</v>
      </c>
      <c r="AL82" s="16">
        <f>IF(Production!AL$30&gt;=3,$C82/12,"")</f>
        <v>4583.333333333333</v>
      </c>
      <c r="AM82" s="16">
        <f>IF(Production!AM$30&gt;=3,$C82/12,"")</f>
        <v>4583.333333333333</v>
      </c>
      <c r="AN82" s="16">
        <f>IF(Production!AN$30&gt;=3,$C82/12,"")</f>
        <v>4583.333333333333</v>
      </c>
      <c r="AO82" s="16">
        <f>IF(Production!AO$30&gt;=3,$C82/12,"")</f>
        <v>4583.333333333333</v>
      </c>
      <c r="AP82" s="16">
        <f>IF(Production!AP$30&gt;=3,$C82/12,"")</f>
        <v>4583.333333333333</v>
      </c>
      <c r="AR82" s="16">
        <f t="shared" si="419"/>
        <v>0</v>
      </c>
      <c r="AS82" s="16">
        <f t="shared" si="420"/>
        <v>0</v>
      </c>
      <c r="AT82" s="16">
        <f t="shared" si="421"/>
        <v>0</v>
      </c>
      <c r="AU82" s="16">
        <f t="shared" si="422"/>
        <v>0</v>
      </c>
      <c r="AV82" s="16">
        <f t="shared" si="423"/>
        <v>0</v>
      </c>
      <c r="AX82" s="16">
        <f t="shared" si="424"/>
        <v>41250</v>
      </c>
      <c r="AY82" s="16">
        <f t="shared" si="425"/>
        <v>0</v>
      </c>
      <c r="AZ82" s="16">
        <f t="shared" si="426"/>
        <v>13750</v>
      </c>
      <c r="BA82" s="16">
        <f t="shared" si="427"/>
        <v>13750</v>
      </c>
      <c r="BB82" s="16">
        <f t="shared" si="428"/>
        <v>13750</v>
      </c>
      <c r="BD82" s="16">
        <f t="shared" si="429"/>
        <v>55000.000000000007</v>
      </c>
      <c r="BE82" s="16">
        <f>SUM(AE82:AH82)</f>
        <v>18333.333333333332</v>
      </c>
      <c r="BF82" s="16">
        <f>SUM(AH82:AJ82)</f>
        <v>13750</v>
      </c>
      <c r="BG82" s="16">
        <f t="shared" si="430"/>
        <v>13750</v>
      </c>
      <c r="BH82" s="16">
        <f t="shared" si="431"/>
        <v>13750</v>
      </c>
      <c r="BJ82" s="16">
        <f t="shared" si="432"/>
        <v>55000</v>
      </c>
      <c r="BK82" s="16">
        <f t="shared" si="438"/>
        <v>13750</v>
      </c>
      <c r="BL82" s="16">
        <f t="shared" si="433"/>
        <v>13750</v>
      </c>
      <c r="BM82" s="16">
        <f t="shared" si="433"/>
        <v>13750</v>
      </c>
      <c r="BN82" s="16">
        <f t="shared" si="433"/>
        <v>13750</v>
      </c>
      <c r="BP82" s="16">
        <f t="shared" si="434"/>
        <v>55000</v>
      </c>
      <c r="BQ82" s="16">
        <f t="shared" si="435"/>
        <v>13750</v>
      </c>
      <c r="BR82" s="16">
        <f t="shared" si="435"/>
        <v>13750</v>
      </c>
      <c r="BS82" s="16">
        <f t="shared" si="435"/>
        <v>13750</v>
      </c>
      <c r="BT82" s="16">
        <f t="shared" si="435"/>
        <v>13750</v>
      </c>
      <c r="BV82" s="16">
        <f t="shared" si="436"/>
        <v>55000</v>
      </c>
      <c r="BW82" s="16">
        <f t="shared" si="437"/>
        <v>13750</v>
      </c>
      <c r="BX82" s="16">
        <f t="shared" si="437"/>
        <v>13750</v>
      </c>
      <c r="BY82" s="16">
        <f t="shared" si="437"/>
        <v>13750</v>
      </c>
      <c r="BZ82" s="16">
        <f t="shared" si="437"/>
        <v>13750</v>
      </c>
    </row>
    <row r="83" spans="2:78" s="16" customFormat="1" x14ac:dyDescent="0.25">
      <c r="B83" s="16" t="s">
        <v>88</v>
      </c>
      <c r="C83" s="16">
        <v>55000</v>
      </c>
      <c r="D83" s="16" t="s">
        <v>377</v>
      </c>
      <c r="U83" s="16">
        <f>IF(Production!U$30&gt;=4,$C83/12,"")</f>
        <v>4583.333333333333</v>
      </c>
      <c r="V83" s="16">
        <f>IF(Production!V$30&gt;=4,$C83/12,"")</f>
        <v>4583.333333333333</v>
      </c>
      <c r="W83" s="16">
        <f>IF(Production!W$30&gt;=4,$C83/12,"")</f>
        <v>4583.333333333333</v>
      </c>
      <c r="X83" s="16">
        <f>IF(Production!X$30&gt;=4,$C83/12,"")</f>
        <v>4583.333333333333</v>
      </c>
      <c r="Y83" s="16">
        <f>IF(Production!Y$30&gt;=4,$C83/12,"")</f>
        <v>4583.333333333333</v>
      </c>
      <c r="Z83" s="16">
        <f>IF(Production!Z$30&gt;=4,$C83/12,"")</f>
        <v>4583.333333333333</v>
      </c>
      <c r="AA83" s="16">
        <f>IF(Production!AA$30&gt;=4,$C83/12,"")</f>
        <v>4583.333333333333</v>
      </c>
      <c r="AB83" s="16">
        <f>IF(Production!AB$30&gt;=4,$C83/12,"")</f>
        <v>4583.333333333333</v>
      </c>
      <c r="AC83" s="16">
        <f>IF(Production!AC$30&gt;=4,$C83/12,"")</f>
        <v>4583.333333333333</v>
      </c>
      <c r="AE83" s="16">
        <f>IF(Production!AE$30&gt;=4,$C83/12,"")</f>
        <v>4583.333333333333</v>
      </c>
      <c r="AF83" s="16">
        <f>IF(Production!AF$30&gt;=4,$C83/12,"")</f>
        <v>4583.333333333333</v>
      </c>
      <c r="AG83" s="16">
        <f>IF(Production!AG$30&gt;=4,$C83/12,"")</f>
        <v>4583.333333333333</v>
      </c>
      <c r="AH83" s="16">
        <f>IF(Production!AH$30&gt;=4,$C83/12,"")</f>
        <v>4583.333333333333</v>
      </c>
      <c r="AI83" s="16">
        <f>IF(Production!AI$30&gt;=4,$C83/12,"")</f>
        <v>4583.333333333333</v>
      </c>
      <c r="AJ83" s="16">
        <f>IF(Production!AJ$30&gt;=4,$C83/12,"")</f>
        <v>4583.333333333333</v>
      </c>
      <c r="AK83" s="16">
        <f>IF(Production!AK$30&gt;=4,$C83/12,"")</f>
        <v>4583.333333333333</v>
      </c>
      <c r="AL83" s="16">
        <f>IF(Production!AL$30&gt;=4,$C83/12,"")</f>
        <v>4583.333333333333</v>
      </c>
      <c r="AM83" s="16">
        <f>IF(Production!AM$30&gt;=4,$C83/12,"")</f>
        <v>4583.333333333333</v>
      </c>
      <c r="AN83" s="16">
        <f>IF(Production!AN$30&gt;=4,$C83/12,"")</f>
        <v>4583.333333333333</v>
      </c>
      <c r="AO83" s="16">
        <f>IF(Production!AO$30&gt;=4,$C83/12,"")</f>
        <v>4583.333333333333</v>
      </c>
      <c r="AP83" s="16">
        <f>IF(Production!AP$30&gt;=4,$C83/12,"")</f>
        <v>4583.333333333333</v>
      </c>
      <c r="AR83" s="16">
        <f t="shared" si="419"/>
        <v>0</v>
      </c>
      <c r="AS83" s="16">
        <f t="shared" si="420"/>
        <v>0</v>
      </c>
      <c r="AT83" s="16">
        <f t="shared" si="421"/>
        <v>0</v>
      </c>
      <c r="AU83" s="16">
        <f t="shared" si="422"/>
        <v>0</v>
      </c>
      <c r="AV83" s="16">
        <f t="shared" si="423"/>
        <v>0</v>
      </c>
      <c r="AX83" s="16">
        <f t="shared" si="424"/>
        <v>41250</v>
      </c>
      <c r="AY83" s="16">
        <f t="shared" si="425"/>
        <v>0</v>
      </c>
      <c r="AZ83" s="16">
        <f t="shared" si="426"/>
        <v>13750</v>
      </c>
      <c r="BA83" s="16">
        <f t="shared" si="427"/>
        <v>13750</v>
      </c>
      <c r="BB83" s="16">
        <f t="shared" si="428"/>
        <v>13750</v>
      </c>
      <c r="BD83" s="16">
        <f t="shared" si="429"/>
        <v>55000.000000000007</v>
      </c>
      <c r="BE83" s="16">
        <f>SUM(AE83:AH83)</f>
        <v>18333.333333333332</v>
      </c>
      <c r="BF83" s="16">
        <f>SUM(AH83:AJ83)</f>
        <v>13750</v>
      </c>
      <c r="BG83" s="16">
        <f t="shared" si="430"/>
        <v>13750</v>
      </c>
      <c r="BH83" s="16">
        <f t="shared" si="431"/>
        <v>13750</v>
      </c>
      <c r="BJ83" s="16">
        <f t="shared" si="432"/>
        <v>55000</v>
      </c>
      <c r="BK83" s="16">
        <f t="shared" si="438"/>
        <v>13750</v>
      </c>
      <c r="BL83" s="16">
        <f t="shared" si="433"/>
        <v>13750</v>
      </c>
      <c r="BM83" s="16">
        <f t="shared" si="433"/>
        <v>13750</v>
      </c>
      <c r="BN83" s="16">
        <f t="shared" si="433"/>
        <v>13750</v>
      </c>
      <c r="BP83" s="16">
        <f t="shared" si="434"/>
        <v>55000</v>
      </c>
      <c r="BQ83" s="16">
        <f t="shared" si="435"/>
        <v>13750</v>
      </c>
      <c r="BR83" s="16">
        <f t="shared" si="435"/>
        <v>13750</v>
      </c>
      <c r="BS83" s="16">
        <f t="shared" si="435"/>
        <v>13750</v>
      </c>
      <c r="BT83" s="16">
        <f t="shared" si="435"/>
        <v>13750</v>
      </c>
      <c r="BV83" s="16">
        <f t="shared" si="436"/>
        <v>55000</v>
      </c>
      <c r="BW83" s="16">
        <f t="shared" si="437"/>
        <v>13750</v>
      </c>
      <c r="BX83" s="16">
        <f t="shared" si="437"/>
        <v>13750</v>
      </c>
      <c r="BY83" s="16">
        <f t="shared" si="437"/>
        <v>13750</v>
      </c>
      <c r="BZ83" s="16">
        <f t="shared" si="437"/>
        <v>13750</v>
      </c>
    </row>
    <row r="84" spans="2:78" s="16" customFormat="1" x14ac:dyDescent="0.25">
      <c r="B84" s="16" t="s">
        <v>371</v>
      </c>
      <c r="C84" s="16">
        <v>55000</v>
      </c>
      <c r="D84" s="16" t="s">
        <v>378</v>
      </c>
      <c r="U84" s="16">
        <f>IF(Production!U$30&gt;=5,$C84/12,"")</f>
        <v>4583.333333333333</v>
      </c>
      <c r="V84" s="16">
        <f>IF(Production!V$30&gt;=5,$C84/12,"")</f>
        <v>4583.333333333333</v>
      </c>
      <c r="W84" s="16">
        <f>IF(Production!W$30&gt;=5,$C84/12,"")</f>
        <v>4583.333333333333</v>
      </c>
      <c r="X84" s="16">
        <f>IF(Production!X$30&gt;=5,$C84/12,"")</f>
        <v>4583.333333333333</v>
      </c>
      <c r="Y84" s="16">
        <f>IF(Production!Y$30&gt;=5,$C84/12,"")</f>
        <v>4583.333333333333</v>
      </c>
      <c r="Z84" s="16">
        <f>IF(Production!Z$30&gt;=5,$C84/12,"")</f>
        <v>4583.333333333333</v>
      </c>
      <c r="AA84" s="16">
        <f>IF(Production!AA$30&gt;=5,$C84/12,"")</f>
        <v>4583.333333333333</v>
      </c>
      <c r="AB84" s="16">
        <f>IF(Production!AB$30&gt;=5,$C84/12,"")</f>
        <v>4583.333333333333</v>
      </c>
      <c r="AC84" s="16">
        <f>IF(Production!AC$30&gt;=5,$C84/12,"")</f>
        <v>4583.333333333333</v>
      </c>
      <c r="AE84" s="16">
        <f>IF(Production!AE$30&gt;=5,$C84/12,"")</f>
        <v>4583.333333333333</v>
      </c>
      <c r="AF84" s="16">
        <f>IF(Production!AF$30&gt;=5,$C84/12,"")</f>
        <v>4583.333333333333</v>
      </c>
      <c r="AG84" s="16">
        <f>IF(Production!AG$30&gt;=5,$C84/12,"")</f>
        <v>4583.333333333333</v>
      </c>
      <c r="AH84" s="16" t="str">
        <f>IF(Production!AH$30&gt;=5,$C84/12,"")</f>
        <v/>
      </c>
      <c r="AI84" s="16" t="str">
        <f>IF(Production!AI$30&gt;=5,$C84/12,"")</f>
        <v/>
      </c>
      <c r="AJ84" s="16" t="str">
        <f>IF(Production!AJ$30&gt;=5,$C84/12,"")</f>
        <v/>
      </c>
      <c r="AK84" s="16" t="str">
        <f>IF(Production!AK$30&gt;=5,$C84/12,"")</f>
        <v/>
      </c>
      <c r="AL84" s="16" t="str">
        <f>IF(Production!AL$30&gt;=5,$C84/12,"")</f>
        <v/>
      </c>
      <c r="AM84" s="16" t="str">
        <f>IF(Production!AM$30&gt;=5,$C84/12,"")</f>
        <v/>
      </c>
      <c r="AN84" s="16" t="str">
        <f>IF(Production!AN$30&gt;=5,$C84/12,"")</f>
        <v/>
      </c>
      <c r="AO84" s="16" t="str">
        <f>IF(Production!AO$30&gt;=5,$C84/12,"")</f>
        <v/>
      </c>
      <c r="AP84" s="16">
        <f>IF(Production!AP$30&gt;=5,$C84/12,"")</f>
        <v>4583.333333333333</v>
      </c>
      <c r="AR84" s="16">
        <f t="shared" si="419"/>
        <v>0</v>
      </c>
      <c r="AS84" s="16">
        <f t="shared" si="420"/>
        <v>0</v>
      </c>
      <c r="AT84" s="16">
        <f t="shared" si="421"/>
        <v>0</v>
      </c>
      <c r="AU84" s="16">
        <f t="shared" si="422"/>
        <v>0</v>
      </c>
      <c r="AV84" s="16">
        <f t="shared" si="423"/>
        <v>0</v>
      </c>
      <c r="AX84" s="16">
        <f t="shared" si="424"/>
        <v>41250</v>
      </c>
      <c r="AY84" s="16">
        <f t="shared" si="425"/>
        <v>0</v>
      </c>
      <c r="AZ84" s="16">
        <f t="shared" si="426"/>
        <v>13750</v>
      </c>
      <c r="BA84" s="16">
        <f t="shared" si="427"/>
        <v>13750</v>
      </c>
      <c r="BB84" s="16">
        <f t="shared" si="428"/>
        <v>13750</v>
      </c>
      <c r="BD84" s="16">
        <f t="shared" si="429"/>
        <v>18333.333333333332</v>
      </c>
      <c r="BE84" s="16">
        <f t="shared" ref="BE84:BE87" si="439">SUM(AE84:AG84)</f>
        <v>13750</v>
      </c>
      <c r="BF84" s="16">
        <f t="shared" ref="BF84:BF87" si="440">SUM(AH84:AJ84)</f>
        <v>0</v>
      </c>
      <c r="BG84" s="16">
        <f t="shared" si="430"/>
        <v>0</v>
      </c>
      <c r="BH84" s="16">
        <f t="shared" si="431"/>
        <v>4583.333333333333</v>
      </c>
      <c r="BJ84" s="16">
        <f t="shared" si="432"/>
        <v>55000</v>
      </c>
      <c r="BK84" s="16">
        <f>IF(BK133&gt;=5,+$C84/4,0)</f>
        <v>13750</v>
      </c>
      <c r="BL84" s="16">
        <f t="shared" ref="BL84:BN84" si="441">IF(BL133&gt;=5,+$C84/4,0)</f>
        <v>13750</v>
      </c>
      <c r="BM84" s="16">
        <f t="shared" si="441"/>
        <v>13750</v>
      </c>
      <c r="BN84" s="16">
        <f t="shared" si="441"/>
        <v>13750</v>
      </c>
      <c r="BP84" s="16">
        <f t="shared" si="434"/>
        <v>55000</v>
      </c>
      <c r="BQ84" s="16">
        <f t="shared" ref="BQ84:BT84" si="442">IF(BQ133&gt;=5,+$C84/4,0)</f>
        <v>13750</v>
      </c>
      <c r="BR84" s="16">
        <f t="shared" si="442"/>
        <v>13750</v>
      </c>
      <c r="BS84" s="16">
        <f t="shared" si="442"/>
        <v>13750</v>
      </c>
      <c r="BT84" s="16">
        <f t="shared" si="442"/>
        <v>13750</v>
      </c>
      <c r="BV84" s="16">
        <f t="shared" si="436"/>
        <v>55000</v>
      </c>
      <c r="BW84" s="16">
        <f t="shared" ref="BW84:BZ84" si="443">IF(BW133&gt;=5,+$C84/4,0)</f>
        <v>13750</v>
      </c>
      <c r="BX84" s="16">
        <f t="shared" si="443"/>
        <v>13750</v>
      </c>
      <c r="BY84" s="16">
        <f t="shared" si="443"/>
        <v>13750</v>
      </c>
      <c r="BZ84" s="16">
        <f t="shared" si="443"/>
        <v>13750</v>
      </c>
    </row>
    <row r="85" spans="2:78" s="16" customFormat="1" x14ac:dyDescent="0.25">
      <c r="B85" s="16" t="s">
        <v>372</v>
      </c>
      <c r="C85" s="16">
        <v>55000</v>
      </c>
      <c r="D85" s="16" t="s">
        <v>379</v>
      </c>
      <c r="U85" s="16">
        <f>IF(Production!U$30&gt;=6,$C85/12,"")</f>
        <v>4583.333333333333</v>
      </c>
      <c r="V85" s="16">
        <f>IF(Production!V$30&gt;=6,$C85/12,"")</f>
        <v>4583.333333333333</v>
      </c>
      <c r="W85" s="16">
        <f>IF(Production!W$30&gt;=6,$C85/12,"")</f>
        <v>4583.333333333333</v>
      </c>
      <c r="X85" s="16">
        <f>IF(Production!X$30&gt;=6,$C85/12,"")</f>
        <v>4583.333333333333</v>
      </c>
      <c r="Y85" s="16">
        <f>IF(Production!Y$30&gt;=6,$C85/12,"")</f>
        <v>4583.333333333333</v>
      </c>
      <c r="Z85" s="16">
        <f>IF(Production!Z$30&gt;=6,$C85/12,"")</f>
        <v>4583.333333333333</v>
      </c>
      <c r="AA85" s="16">
        <f>IF(Production!AA$30&gt;=6,$C85/12,"")</f>
        <v>4583.333333333333</v>
      </c>
      <c r="AB85" s="16">
        <f>IF(Production!AB$30&gt;=6,$C85/12,"")</f>
        <v>4583.333333333333</v>
      </c>
      <c r="AC85" s="16">
        <f>IF(Production!AC$30&gt;=6,$C85/12,"")</f>
        <v>4583.333333333333</v>
      </c>
      <c r="AE85" s="16">
        <f>IF(Production!AE$30&gt;=6,$C85/12,"")</f>
        <v>4583.333333333333</v>
      </c>
      <c r="AF85" s="16">
        <f>IF(Production!AF$30&gt;=6,$C85/12,"")</f>
        <v>4583.333333333333</v>
      </c>
      <c r="AG85" s="16">
        <f>IF(Production!AG$30&gt;=6,$C85/12,"")</f>
        <v>4583.333333333333</v>
      </c>
      <c r="AH85" s="16" t="str">
        <f>IF(Production!AH$30&gt;=6,$C85/12,"")</f>
        <v/>
      </c>
      <c r="AI85" s="16" t="str">
        <f>IF(Production!AI$30&gt;=6,$C85/12,"")</f>
        <v/>
      </c>
      <c r="AJ85" s="16" t="str">
        <f>IF(Production!AJ$30&gt;=6,$C85/12,"")</f>
        <v/>
      </c>
      <c r="AK85" s="16" t="str">
        <f>IF(Production!AK$30&gt;=6,$C85/12,"")</f>
        <v/>
      </c>
      <c r="AL85" s="16" t="str">
        <f>IF(Production!AL$30&gt;=6,$C85/12,"")</f>
        <v/>
      </c>
      <c r="AM85" s="16" t="str">
        <f>IF(Production!AM$30&gt;=6,$C85/12,"")</f>
        <v/>
      </c>
      <c r="AN85" s="16" t="str">
        <f>IF(Production!AN$30&gt;=6,$C85/12,"")</f>
        <v/>
      </c>
      <c r="AO85" s="16" t="str">
        <f>IF(Production!AO$30&gt;=6,$C85/12,"")</f>
        <v/>
      </c>
      <c r="AP85" s="16" t="str">
        <f>IF(Production!AP$30&gt;=6,$C85/12,"")</f>
        <v/>
      </c>
      <c r="AR85" s="16">
        <f t="shared" si="419"/>
        <v>0</v>
      </c>
      <c r="AS85" s="16">
        <f t="shared" si="420"/>
        <v>0</v>
      </c>
      <c r="AT85" s="16">
        <f t="shared" si="421"/>
        <v>0</v>
      </c>
      <c r="AU85" s="16">
        <f t="shared" si="422"/>
        <v>0</v>
      </c>
      <c r="AV85" s="16">
        <f t="shared" si="423"/>
        <v>0</v>
      </c>
      <c r="AX85" s="16">
        <f t="shared" si="424"/>
        <v>41250</v>
      </c>
      <c r="AY85" s="16">
        <f t="shared" si="425"/>
        <v>0</v>
      </c>
      <c r="AZ85" s="16">
        <f t="shared" si="426"/>
        <v>13750</v>
      </c>
      <c r="BA85" s="16">
        <f t="shared" si="427"/>
        <v>13750</v>
      </c>
      <c r="BB85" s="16">
        <f t="shared" si="428"/>
        <v>13750</v>
      </c>
      <c r="BD85" s="16">
        <f t="shared" si="429"/>
        <v>13750</v>
      </c>
      <c r="BE85" s="16">
        <f t="shared" si="439"/>
        <v>13750</v>
      </c>
      <c r="BF85" s="16">
        <f t="shared" si="440"/>
        <v>0</v>
      </c>
      <c r="BG85" s="16">
        <f t="shared" si="430"/>
        <v>0</v>
      </c>
      <c r="BH85" s="16">
        <f t="shared" si="431"/>
        <v>0</v>
      </c>
      <c r="BJ85" s="16">
        <f t="shared" si="432"/>
        <v>55000</v>
      </c>
      <c r="BK85" s="16">
        <f>IF(BK133&gt;=6,+$C85/4,0)</f>
        <v>13750</v>
      </c>
      <c r="BL85" s="16">
        <f>IF(BL133&gt;=6,+$C85/4,0)</f>
        <v>13750</v>
      </c>
      <c r="BM85" s="16">
        <f>IF(BM133&gt;=6,+$C85/4,0)</f>
        <v>13750</v>
      </c>
      <c r="BN85" s="16">
        <f>IF(BN133&gt;=6,+$C85/4,0)</f>
        <v>13750</v>
      </c>
      <c r="BP85" s="16">
        <f t="shared" si="434"/>
        <v>55000</v>
      </c>
      <c r="BQ85" s="16">
        <f>IF(BQ133&gt;=6,+$C85/4,0)</f>
        <v>13750</v>
      </c>
      <c r="BR85" s="16">
        <f>IF(BR133&gt;=6,+$C85/4,0)</f>
        <v>13750</v>
      </c>
      <c r="BS85" s="16">
        <f>IF(BS133&gt;=6,+$C85/4,0)</f>
        <v>13750</v>
      </c>
      <c r="BT85" s="16">
        <f>IF(BT133&gt;=6,+$C85/4,0)</f>
        <v>13750</v>
      </c>
      <c r="BV85" s="16">
        <f t="shared" si="436"/>
        <v>55000</v>
      </c>
      <c r="BW85" s="16">
        <f>IF(BW133&gt;=6,+$C85/4,0)</f>
        <v>13750</v>
      </c>
      <c r="BX85" s="16">
        <f>IF(BX133&gt;=6,+$C85/4,0)</f>
        <v>13750</v>
      </c>
      <c r="BY85" s="16">
        <f>IF(BY133&gt;=6,+$C85/4,0)</f>
        <v>13750</v>
      </c>
      <c r="BZ85" s="16">
        <f>IF(BZ133&gt;=6,+$C85/4,0)</f>
        <v>13750</v>
      </c>
    </row>
    <row r="86" spans="2:78" s="16" customFormat="1" x14ac:dyDescent="0.25">
      <c r="B86" s="16" t="s">
        <v>373</v>
      </c>
      <c r="C86" s="16">
        <v>50000</v>
      </c>
      <c r="U86" s="16">
        <f>IF(Production!U$30&gt;=7,$C86/12,"")</f>
        <v>4166.666666666667</v>
      </c>
      <c r="V86" s="16">
        <f>IF(Production!V$30&gt;=7,$C86/12,"")</f>
        <v>4166.666666666667</v>
      </c>
      <c r="W86" s="16">
        <f>IF(Production!W$30&gt;=7,$C86/12,"")</f>
        <v>4166.666666666667</v>
      </c>
      <c r="X86" s="16">
        <f>IF(Production!X$30&gt;=7,$C86/12,"")</f>
        <v>4166.666666666667</v>
      </c>
      <c r="Y86" s="16">
        <f>IF(Production!Y$30&gt;=7,$C86/12,"")</f>
        <v>4166.666666666667</v>
      </c>
      <c r="Z86" s="16">
        <f>IF(Production!Z$30&gt;=7,$C86/12,"")</f>
        <v>4166.666666666667</v>
      </c>
      <c r="AA86" s="16">
        <f>IF(Production!AA$30&gt;=7,$C86/12,"")</f>
        <v>4166.666666666667</v>
      </c>
      <c r="AB86" s="16">
        <f>IF(Production!AB$30&gt;=7,$C86/12,"")</f>
        <v>4166.666666666667</v>
      </c>
      <c r="AC86" s="16">
        <f>IF(Production!AC$30&gt;=7,$C86/12,"")</f>
        <v>4166.666666666667</v>
      </c>
      <c r="AE86" s="16">
        <f>IF(Production!AE$30&gt;=7,$C86/12,"")</f>
        <v>4166.666666666667</v>
      </c>
      <c r="AF86" s="16">
        <f>IF(Production!AF$30&gt;=7,$C86/12,"")</f>
        <v>4166.666666666667</v>
      </c>
      <c r="AG86" s="16">
        <f>IF(Production!AG$30&gt;=7,$C86/12,"")</f>
        <v>4166.666666666667</v>
      </c>
      <c r="AH86" s="16" t="str">
        <f>IF(Production!AH$30&gt;=7,$C86/12,"")</f>
        <v/>
      </c>
      <c r="AI86" s="16" t="str">
        <f>IF(Production!AI$30&gt;=7,$C86/12,"")</f>
        <v/>
      </c>
      <c r="AJ86" s="16" t="str">
        <f>IF(Production!AJ$30&gt;=7,$C86/12,"")</f>
        <v/>
      </c>
      <c r="AK86" s="16" t="str">
        <f>IF(Production!AK$30&gt;=7,$C86/12,"")</f>
        <v/>
      </c>
      <c r="AL86" s="16" t="str">
        <f>IF(Production!AL$30&gt;=7,$C86/12,"")</f>
        <v/>
      </c>
      <c r="AM86" s="16" t="str">
        <f>IF(Production!AM$30&gt;=7,$C86/12,"")</f>
        <v/>
      </c>
      <c r="AN86" s="16" t="str">
        <f>IF(Production!AN$30&gt;=7,$C86/12,"")</f>
        <v/>
      </c>
      <c r="AO86" s="16" t="str">
        <f>IF(Production!AO$30&gt;=7,$C86/12,"")</f>
        <v/>
      </c>
      <c r="AP86" s="16" t="str">
        <f>IF(Production!AP$30&gt;=7,$C86/12,"")</f>
        <v/>
      </c>
      <c r="AR86" s="16">
        <f t="shared" si="419"/>
        <v>0</v>
      </c>
      <c r="AS86" s="16">
        <f t="shared" si="420"/>
        <v>0</v>
      </c>
      <c r="AT86" s="16">
        <f t="shared" si="421"/>
        <v>0</v>
      </c>
      <c r="AU86" s="16">
        <f t="shared" si="422"/>
        <v>0</v>
      </c>
      <c r="AV86" s="16">
        <f t="shared" si="423"/>
        <v>0</v>
      </c>
      <c r="AX86" s="16">
        <f t="shared" si="424"/>
        <v>37500</v>
      </c>
      <c r="AY86" s="16">
        <f t="shared" si="425"/>
        <v>0</v>
      </c>
      <c r="AZ86" s="16">
        <f t="shared" si="426"/>
        <v>12500</v>
      </c>
      <c r="BA86" s="16">
        <f t="shared" si="427"/>
        <v>12500</v>
      </c>
      <c r="BB86" s="16">
        <f t="shared" si="428"/>
        <v>12500</v>
      </c>
      <c r="BD86" s="16">
        <f t="shared" si="429"/>
        <v>12500</v>
      </c>
      <c r="BE86" s="16">
        <f t="shared" si="439"/>
        <v>12500</v>
      </c>
      <c r="BF86" s="16">
        <f t="shared" si="440"/>
        <v>0</v>
      </c>
      <c r="BG86" s="16">
        <f t="shared" si="430"/>
        <v>0</v>
      </c>
      <c r="BH86" s="16">
        <f t="shared" si="431"/>
        <v>0</v>
      </c>
      <c r="BJ86" s="16">
        <f t="shared" si="432"/>
        <v>50000</v>
      </c>
      <c r="BK86" s="16">
        <f>IF(BK133&gt;=7,+$C86/4,0)</f>
        <v>12500</v>
      </c>
      <c r="BL86" s="16">
        <f>IF(BL133&gt;=7,+$C86/4,0)</f>
        <v>12500</v>
      </c>
      <c r="BM86" s="16">
        <f>IF(BM133&gt;=7,+$C86/4,0)</f>
        <v>12500</v>
      </c>
      <c r="BN86" s="16">
        <f>IF(BN133&gt;=7,+$C86/4,0)</f>
        <v>12500</v>
      </c>
      <c r="BP86" s="16">
        <f t="shared" ref="BP86:BP87" si="444">SUM(BQ86:BT86)</f>
        <v>50000</v>
      </c>
      <c r="BQ86" s="16">
        <f>IF(BQ133&gt;=7,+$C86/4,0)</f>
        <v>12500</v>
      </c>
      <c r="BR86" s="16">
        <f>IF(BR133&gt;=7,+$C86/4,0)</f>
        <v>12500</v>
      </c>
      <c r="BS86" s="16">
        <f>IF(BS133&gt;=7,+$C86/4,0)</f>
        <v>12500</v>
      </c>
      <c r="BT86" s="16">
        <f>IF(BT133&gt;=7,+$C86/4,0)</f>
        <v>12500</v>
      </c>
      <c r="BV86" s="16">
        <f t="shared" ref="BV86:BV87" si="445">SUM(BW86:BZ86)</f>
        <v>50000</v>
      </c>
      <c r="BW86" s="16">
        <f>IF(BW133&gt;=7,+$C86/4,0)</f>
        <v>12500</v>
      </c>
      <c r="BX86" s="16">
        <f>IF(BX133&gt;=7,+$C86/4,0)</f>
        <v>12500</v>
      </c>
      <c r="BY86" s="16">
        <f>IF(BY133&gt;=7,+$C86/4,0)</f>
        <v>12500</v>
      </c>
      <c r="BZ86" s="16">
        <f>IF(BZ133&gt;=7,+$C86/4,0)</f>
        <v>12500</v>
      </c>
    </row>
    <row r="87" spans="2:78" s="16" customFormat="1" x14ac:dyDescent="0.25">
      <c r="B87" s="16" t="s">
        <v>374</v>
      </c>
      <c r="C87" s="16">
        <v>50000</v>
      </c>
      <c r="U87" s="16" t="str">
        <f>IF(Production!U$30&gt;=8,$C87/12,"")</f>
        <v/>
      </c>
      <c r="V87" s="16">
        <f>IF(Production!V$30&gt;=8,$C87/12,"")</f>
        <v>4166.666666666667</v>
      </c>
      <c r="W87" s="16">
        <f>IF(Production!W$30&gt;=8,$C87/12,"")</f>
        <v>4166.666666666667</v>
      </c>
      <c r="X87" s="16">
        <f>IF(Production!X$30&gt;=8,$C87/12,"")</f>
        <v>4166.666666666667</v>
      </c>
      <c r="Y87" s="16">
        <f>IF(Production!Y$30&gt;=8,$C87/12,"")</f>
        <v>4166.666666666667</v>
      </c>
      <c r="Z87" s="16">
        <f>IF(Production!Z$30&gt;=8,$C87/12,"")</f>
        <v>4166.666666666667</v>
      </c>
      <c r="AA87" s="16">
        <f>IF(Production!AA$30&gt;=8,$C87/12,"")</f>
        <v>4166.666666666667</v>
      </c>
      <c r="AB87" s="16">
        <f>IF(Production!AB$30&gt;=8,$C87/12,"")</f>
        <v>4166.666666666667</v>
      </c>
      <c r="AC87" s="16">
        <f>IF(Production!AC$30&gt;=8,$C87/12,"")</f>
        <v>4166.666666666667</v>
      </c>
      <c r="AE87" s="16">
        <f>IF(Production!AE$30&gt;=8,$C87/12,"")</f>
        <v>4166.666666666667</v>
      </c>
      <c r="AF87" s="16">
        <f>IF(Production!AF$30&gt;=8,$C87/12,"")</f>
        <v>4166.666666666667</v>
      </c>
      <c r="AG87" s="16">
        <f>IF(Production!AG$30&gt;=8,$C87/12,"")</f>
        <v>4166.666666666667</v>
      </c>
      <c r="AH87" s="16" t="str">
        <f>IF(Production!AH$30&gt;=8,$C87/12,"")</f>
        <v/>
      </c>
      <c r="AI87" s="16" t="str">
        <f>IF(Production!AI$30&gt;=8,$C87/12,"")</f>
        <v/>
      </c>
      <c r="AJ87" s="16" t="str">
        <f>IF(Production!AJ$30&gt;=8,$C87/12,"")</f>
        <v/>
      </c>
      <c r="AK87" s="16" t="str">
        <f>IF(Production!AK$30&gt;=8,$C87/12,"")</f>
        <v/>
      </c>
      <c r="AL87" s="16" t="str">
        <f>IF(Production!AL$30&gt;=8,$C87/12,"")</f>
        <v/>
      </c>
      <c r="AM87" s="16" t="str">
        <f>IF(Production!AM$30&gt;=8,$C87/12,"")</f>
        <v/>
      </c>
      <c r="AN87" s="16" t="str">
        <f>IF(Production!AN$30&gt;=8,$C87/12,"")</f>
        <v/>
      </c>
      <c r="AO87" s="16" t="str">
        <f>IF(Production!AO$30&gt;=8,$C87/12,"")</f>
        <v/>
      </c>
      <c r="AP87" s="16" t="str">
        <f>IF(Production!AP$30&gt;=8,$C87/12,"")</f>
        <v/>
      </c>
      <c r="AR87" s="16">
        <f t="shared" si="419"/>
        <v>0</v>
      </c>
      <c r="AS87" s="16">
        <f t="shared" si="420"/>
        <v>0</v>
      </c>
      <c r="AT87" s="16">
        <f t="shared" si="421"/>
        <v>0</v>
      </c>
      <c r="AU87" s="16">
        <f t="shared" si="422"/>
        <v>0</v>
      </c>
      <c r="AV87" s="16">
        <f t="shared" si="423"/>
        <v>0</v>
      </c>
      <c r="AX87" s="16">
        <f t="shared" si="424"/>
        <v>33333.333333333336</v>
      </c>
      <c r="AY87" s="16">
        <f t="shared" si="425"/>
        <v>0</v>
      </c>
      <c r="AZ87" s="16">
        <f t="shared" si="426"/>
        <v>8333.3333333333339</v>
      </c>
      <c r="BA87" s="16">
        <f t="shared" si="427"/>
        <v>12500</v>
      </c>
      <c r="BB87" s="16">
        <f t="shared" si="428"/>
        <v>12500</v>
      </c>
      <c r="BD87" s="16">
        <f t="shared" si="429"/>
        <v>12500</v>
      </c>
      <c r="BE87" s="16">
        <f t="shared" si="439"/>
        <v>12500</v>
      </c>
      <c r="BF87" s="16">
        <f t="shared" si="440"/>
        <v>0</v>
      </c>
      <c r="BG87" s="16">
        <f t="shared" si="430"/>
        <v>0</v>
      </c>
      <c r="BH87" s="16">
        <f t="shared" si="431"/>
        <v>0</v>
      </c>
      <c r="BJ87" s="16">
        <f t="shared" si="432"/>
        <v>50000</v>
      </c>
      <c r="BK87" s="16">
        <f>IF(BK$133&gt;=8,+$C87/4,0)</f>
        <v>12500</v>
      </c>
      <c r="BL87" s="16">
        <f>IF(BL$133&gt;=8,+$C87/4,0)</f>
        <v>12500</v>
      </c>
      <c r="BM87" s="16">
        <f>IF(BM$133&gt;=8,+$C87/4,0)</f>
        <v>12500</v>
      </c>
      <c r="BN87" s="16">
        <f>IF(BN$133&gt;=8,+$C87/4,0)</f>
        <v>12500</v>
      </c>
      <c r="BP87" s="16">
        <f t="shared" si="444"/>
        <v>50000</v>
      </c>
      <c r="BQ87" s="16">
        <f>IF(BQ$133&gt;=8,+$C87/4,0)</f>
        <v>12500</v>
      </c>
      <c r="BR87" s="16">
        <f>IF(BR$133&gt;=8,+$C87/4,0)</f>
        <v>12500</v>
      </c>
      <c r="BS87" s="16">
        <f>IF(BS$133&gt;=8,+$C87/4,0)</f>
        <v>12500</v>
      </c>
      <c r="BT87" s="16">
        <f>IF(BT$133&gt;=8,+$C87/4,0)</f>
        <v>12500</v>
      </c>
      <c r="BV87" s="16">
        <f t="shared" si="445"/>
        <v>50000</v>
      </c>
      <c r="BW87" s="16">
        <f>IF(BW$133&gt;=8,+$C87/4,0)</f>
        <v>12500</v>
      </c>
      <c r="BX87" s="16">
        <f>IF(BX$133&gt;=8,+$C87/4,0)</f>
        <v>12500</v>
      </c>
      <c r="BY87" s="16">
        <f>IF(BY$133&gt;=8,+$C87/4,0)</f>
        <v>12500</v>
      </c>
      <c r="BZ87" s="16">
        <f>IF(BZ$133&gt;=8,+$C87/4,0)</f>
        <v>12500</v>
      </c>
    </row>
    <row r="88" spans="2:78" s="16" customFormat="1" x14ac:dyDescent="0.25">
      <c r="B88" s="16" t="s">
        <v>574</v>
      </c>
      <c r="C88" s="16">
        <v>50000</v>
      </c>
      <c r="U88" s="16" t="str">
        <f>IF(Production!U$30&gt;=9,$C88/12,"")</f>
        <v/>
      </c>
      <c r="V88" s="16">
        <f>IF(Production!V$30&gt;=9,$C88/12,"")</f>
        <v>4166.666666666667</v>
      </c>
      <c r="W88" s="16">
        <f>IF(Production!W$30&gt;=9,$C88/12,"")</f>
        <v>4166.666666666667</v>
      </c>
      <c r="X88" s="16">
        <f>IF(Production!X$30&gt;=9,$C88/12,"")</f>
        <v>4166.666666666667</v>
      </c>
      <c r="Y88" s="16">
        <f>IF(Production!Y$30&gt;=9,$C88/12,"")</f>
        <v>4166.666666666667</v>
      </c>
      <c r="Z88" s="16">
        <f>IF(Production!Z$30&gt;=9,$C88/12,"")</f>
        <v>4166.666666666667</v>
      </c>
      <c r="AA88" s="16">
        <f>IF(Production!AA$30&gt;=9,$C88/12,"")</f>
        <v>4166.666666666667</v>
      </c>
      <c r="AB88" s="16">
        <f>IF(Production!AB$30&gt;=9,$C88/12,"")</f>
        <v>4166.666666666667</v>
      </c>
      <c r="AC88" s="16">
        <f>IF(Production!AC$30&gt;=9,$C88/12,"")</f>
        <v>4166.666666666667</v>
      </c>
      <c r="AE88" s="16">
        <f>IF(Production!AE$30&gt;=9,$C88/12,"")</f>
        <v>4166.666666666667</v>
      </c>
      <c r="AF88" s="16">
        <f>IF(Production!AF$30&gt;=9,$C88/12,"")</f>
        <v>4166.666666666667</v>
      </c>
      <c r="AG88" s="16">
        <f>IF(Production!AG$30&gt;=9,$C88/12,"")</f>
        <v>4166.666666666667</v>
      </c>
      <c r="AH88" s="16" t="str">
        <f>IF(Production!AH$30&gt;=9,$C88/12,"")</f>
        <v/>
      </c>
      <c r="AI88" s="16" t="str">
        <f>IF(Production!AI$30&gt;=9,$C88/12,"")</f>
        <v/>
      </c>
      <c r="AJ88" s="16" t="str">
        <f>IF(Production!AJ$30&gt;=9,$C88/12,"")</f>
        <v/>
      </c>
      <c r="AK88" s="16" t="str">
        <f>IF(Production!AK$30&gt;=9,$C88/12,"")</f>
        <v/>
      </c>
      <c r="AL88" s="16" t="str">
        <f>IF(Production!AL$30&gt;=9,$C88/12,"")</f>
        <v/>
      </c>
      <c r="AM88" s="16" t="str">
        <f>IF(Production!AM$30&gt;=9,$C88/12,"")</f>
        <v/>
      </c>
      <c r="AN88" s="16" t="str">
        <f>IF(Production!AN$30&gt;=9,$C88/12,"")</f>
        <v/>
      </c>
      <c r="AO88" s="16" t="str">
        <f>IF(Production!AO$30&gt;=9,$C88/12,"")</f>
        <v/>
      </c>
      <c r="AP88" s="16" t="str">
        <f>IF(Production!AP$30&gt;=9,$C88/12,"")</f>
        <v/>
      </c>
      <c r="AR88" s="16">
        <f t="shared" ref="AR88:AR102" si="446">SUM(E88:P88)</f>
        <v>0</v>
      </c>
      <c r="AS88" s="16">
        <f t="shared" ref="AS88:AS102" si="447">SUM(E88:G88)</f>
        <v>0</v>
      </c>
      <c r="AT88" s="16">
        <f t="shared" ref="AT88:AT102" si="448">SUM(H88:J88)</f>
        <v>0</v>
      </c>
      <c r="AU88" s="16">
        <f t="shared" ref="AU88:AU102" si="449">SUM(K88:M88)</f>
        <v>0</v>
      </c>
      <c r="AV88" s="16">
        <f t="shared" ref="AV88:AV102" si="450">SUM(N88:P88)</f>
        <v>0</v>
      </c>
      <c r="AX88" s="16">
        <f t="shared" ref="AX88:AX102" si="451">SUM(R88:AC88)</f>
        <v>33333.333333333336</v>
      </c>
      <c r="AY88" s="16">
        <f t="shared" ref="AY88:AY102" si="452">SUM(R88:T88)</f>
        <v>0</v>
      </c>
      <c r="AZ88" s="16">
        <f t="shared" ref="AZ88:AZ102" si="453">SUM(U88:W88)</f>
        <v>8333.3333333333339</v>
      </c>
      <c r="BA88" s="16">
        <f t="shared" ref="BA88:BA102" si="454">SUM(X88:Z88)</f>
        <v>12500</v>
      </c>
      <c r="BB88" s="16">
        <f t="shared" ref="BB88:BB102" si="455">SUM(AA88:AC88)</f>
        <v>12500</v>
      </c>
      <c r="BD88" s="16">
        <f t="shared" ref="BD88:BD102" si="456">SUM(AE88:AP88)</f>
        <v>12500</v>
      </c>
      <c r="BE88" s="16">
        <f t="shared" ref="BE88:BE102" si="457">SUM(AE88:AG88)</f>
        <v>12500</v>
      </c>
      <c r="BF88" s="16">
        <f t="shared" ref="BF88:BF102" si="458">SUM(AH88:AJ88)</f>
        <v>0</v>
      </c>
      <c r="BG88" s="16">
        <f t="shared" ref="BG88:BG102" si="459">SUM(AK88:AM88)</f>
        <v>0</v>
      </c>
      <c r="BH88" s="16">
        <f t="shared" ref="BH88:BH102" si="460">SUM(AN88:AP88)</f>
        <v>0</v>
      </c>
      <c r="BJ88" s="16">
        <f t="shared" ref="BJ88:BJ102" si="461">SUM(BK88:BN88)</f>
        <v>37500</v>
      </c>
      <c r="BK88" s="16">
        <f>IF(BK$133&gt;=9,+$C88/4,0)</f>
        <v>0</v>
      </c>
      <c r="BL88" s="16">
        <f>IF(BL$133&gt;=9,+$C88/4,0)</f>
        <v>12500</v>
      </c>
      <c r="BM88" s="16">
        <f>IF(BM$133&gt;=9,+$C88/4,0)</f>
        <v>12500</v>
      </c>
      <c r="BN88" s="16">
        <f>IF(BN$133&gt;=9,+$C88/4,0)</f>
        <v>12500</v>
      </c>
      <c r="BP88" s="16">
        <f t="shared" ref="BP88:BP102" si="462">SUM(BQ88:BT88)</f>
        <v>50000</v>
      </c>
      <c r="BQ88" s="16">
        <f>IF(BQ$133&gt;=9,+$C88/4,0)</f>
        <v>12500</v>
      </c>
      <c r="BR88" s="16">
        <f>IF(BR$133&gt;=9,+$C88/4,0)</f>
        <v>12500</v>
      </c>
      <c r="BS88" s="16">
        <f>IF(BS$133&gt;=9,+$C88/4,0)</f>
        <v>12500</v>
      </c>
      <c r="BT88" s="16">
        <f>IF(BT$133&gt;=9,+$C88/4,0)</f>
        <v>12500</v>
      </c>
      <c r="BV88" s="16">
        <f t="shared" ref="BV88:BV102" si="463">SUM(BW88:BZ88)</f>
        <v>50000</v>
      </c>
      <c r="BW88" s="16">
        <f>IF(BW$133&gt;=9,+$C88/4,0)</f>
        <v>12500</v>
      </c>
      <c r="BX88" s="16">
        <f>IF(BX$133&gt;=9,+$C88/4,0)</f>
        <v>12500</v>
      </c>
      <c r="BY88" s="16">
        <f>IF(BY$133&gt;=9,+$C88/4,0)</f>
        <v>12500</v>
      </c>
      <c r="BZ88" s="16">
        <f>IF(BZ$133&gt;=9,+$C88/4,0)</f>
        <v>12500</v>
      </c>
    </row>
    <row r="89" spans="2:78" s="16" customFormat="1" x14ac:dyDescent="0.25">
      <c r="B89" s="16" t="s">
        <v>575</v>
      </c>
      <c r="C89" s="16">
        <v>50000</v>
      </c>
      <c r="U89" s="16" t="str">
        <f>IF(Production!U$30&gt;=10,$C89/12,"")</f>
        <v/>
      </c>
      <c r="V89" s="16">
        <f>IF(Production!V$30&gt;=10,$C89/12,"")</f>
        <v>4166.666666666667</v>
      </c>
      <c r="W89" s="16">
        <f>IF(Production!W$30&gt;=10,$C89/12,"")</f>
        <v>4166.666666666667</v>
      </c>
      <c r="X89" s="16">
        <f>IF(Production!X$30&gt;=10,$C89/12,"")</f>
        <v>4166.666666666667</v>
      </c>
      <c r="Y89" s="16">
        <f>IF(Production!Y$30&gt;=10,$C89/12,"")</f>
        <v>4166.666666666667</v>
      </c>
      <c r="Z89" s="16">
        <f>IF(Production!Z$30&gt;=10,$C89/12,"")</f>
        <v>4166.666666666667</v>
      </c>
      <c r="AA89" s="16">
        <f>IF(Production!AA$30&gt;=10,$C89/12,"")</f>
        <v>4166.666666666667</v>
      </c>
      <c r="AB89" s="16">
        <f>IF(Production!AB$30&gt;=10,$C89/12,"")</f>
        <v>4166.666666666667</v>
      </c>
      <c r="AC89" s="16">
        <f>IF(Production!AC$30&gt;=10,$C89/12,"")</f>
        <v>4166.666666666667</v>
      </c>
      <c r="AE89" s="16">
        <f>IF(Production!AE$30&gt;=10,$C89/12,"")</f>
        <v>4166.666666666667</v>
      </c>
      <c r="AF89" s="16">
        <f>IF(Production!AF$30&gt;=10,$C89/12,"")</f>
        <v>4166.666666666667</v>
      </c>
      <c r="AG89" s="16">
        <f>IF(Production!AG$30&gt;=10,$C89/12,"")</f>
        <v>4166.666666666667</v>
      </c>
      <c r="AH89" s="16" t="str">
        <f>IF(Production!AH$30&gt;=10,$C89/12,"")</f>
        <v/>
      </c>
      <c r="AI89" s="16" t="str">
        <f>IF(Production!AI$30&gt;=10,$C89/12,"")</f>
        <v/>
      </c>
      <c r="AJ89" s="16" t="str">
        <f>IF(Production!AJ$30&gt;=10,$C89/12,"")</f>
        <v/>
      </c>
      <c r="AK89" s="16" t="str">
        <f>IF(Production!AK$30&gt;=10,$C89/12,"")</f>
        <v/>
      </c>
      <c r="AL89" s="16" t="str">
        <f>IF(Production!AL$30&gt;=10,$C89/12,"")</f>
        <v/>
      </c>
      <c r="AM89" s="16" t="str">
        <f>IF(Production!AM$30&gt;=10,$C89/12,"")</f>
        <v/>
      </c>
      <c r="AN89" s="16" t="str">
        <f>IF(Production!AN$30&gt;=10,$C89/12,"")</f>
        <v/>
      </c>
      <c r="AO89" s="16" t="str">
        <f>IF(Production!AO$30&gt;=10,$C89/12,"")</f>
        <v/>
      </c>
      <c r="AP89" s="16" t="str">
        <f>IF(Production!AP$30&gt;=10,$C89/12,"")</f>
        <v/>
      </c>
      <c r="AR89" s="16">
        <f t="shared" si="446"/>
        <v>0</v>
      </c>
      <c r="AS89" s="16">
        <f t="shared" si="447"/>
        <v>0</v>
      </c>
      <c r="AT89" s="16">
        <f t="shared" si="448"/>
        <v>0</v>
      </c>
      <c r="AU89" s="16">
        <f t="shared" si="449"/>
        <v>0</v>
      </c>
      <c r="AV89" s="16">
        <f t="shared" si="450"/>
        <v>0</v>
      </c>
      <c r="AX89" s="16">
        <f t="shared" si="451"/>
        <v>33333.333333333336</v>
      </c>
      <c r="AY89" s="16">
        <f t="shared" si="452"/>
        <v>0</v>
      </c>
      <c r="AZ89" s="16">
        <f t="shared" si="453"/>
        <v>8333.3333333333339</v>
      </c>
      <c r="BA89" s="16">
        <f t="shared" si="454"/>
        <v>12500</v>
      </c>
      <c r="BB89" s="16">
        <f t="shared" si="455"/>
        <v>12500</v>
      </c>
      <c r="BD89" s="16">
        <f t="shared" si="456"/>
        <v>12500</v>
      </c>
      <c r="BE89" s="16">
        <f t="shared" si="457"/>
        <v>12500</v>
      </c>
      <c r="BF89" s="16">
        <f t="shared" si="458"/>
        <v>0</v>
      </c>
      <c r="BG89" s="16">
        <f t="shared" si="459"/>
        <v>0</v>
      </c>
      <c r="BH89" s="16">
        <f t="shared" si="460"/>
        <v>0</v>
      </c>
      <c r="BJ89" s="16">
        <f t="shared" si="461"/>
        <v>37500</v>
      </c>
      <c r="BK89" s="16">
        <f>IF(BK$133&gt;=10,+$C89/4,0)</f>
        <v>0</v>
      </c>
      <c r="BL89" s="16">
        <f>IF(BL$133&gt;=10,+$C89/4,0)</f>
        <v>12500</v>
      </c>
      <c r="BM89" s="16">
        <f>IF(BM$133&gt;=10,+$C89/4,0)</f>
        <v>12500</v>
      </c>
      <c r="BN89" s="16">
        <f>IF(BN$133&gt;=10,+$C89/4,0)</f>
        <v>12500</v>
      </c>
      <c r="BP89" s="16">
        <f t="shared" si="462"/>
        <v>50000</v>
      </c>
      <c r="BQ89" s="16">
        <f>IF(BQ$133&gt;=10,+$C89/4,0)</f>
        <v>12500</v>
      </c>
      <c r="BR89" s="16">
        <f>IF(BR$133&gt;=10,+$C89/4,0)</f>
        <v>12500</v>
      </c>
      <c r="BS89" s="16">
        <f>IF(BS$133&gt;=10,+$C89/4,0)</f>
        <v>12500</v>
      </c>
      <c r="BT89" s="16">
        <f>IF(BT$133&gt;=10,+$C89/4,0)</f>
        <v>12500</v>
      </c>
      <c r="BV89" s="16">
        <f t="shared" si="463"/>
        <v>50000</v>
      </c>
      <c r="BW89" s="16">
        <f>IF(BW$133&gt;=10,+$C89/4,0)</f>
        <v>12500</v>
      </c>
      <c r="BX89" s="16">
        <f>IF(BX$133&gt;=10,+$C89/4,0)</f>
        <v>12500</v>
      </c>
      <c r="BY89" s="16">
        <f>IF(BY$133&gt;=10,+$C89/4,0)</f>
        <v>12500</v>
      </c>
      <c r="BZ89" s="16">
        <f>IF(BZ$133&gt;=10,+$C89/4,0)</f>
        <v>12500</v>
      </c>
    </row>
    <row r="90" spans="2:78" s="16" customFormat="1" x14ac:dyDescent="0.25">
      <c r="B90" s="16" t="s">
        <v>576</v>
      </c>
      <c r="C90" s="16">
        <v>50000</v>
      </c>
      <c r="U90" s="16" t="str">
        <f>IF(Production!U$30&gt;=11,$C90/12,"")</f>
        <v/>
      </c>
      <c r="V90" s="16">
        <f>IF(Production!V$30&gt;=11,$C90/12,"")</f>
        <v>4166.666666666667</v>
      </c>
      <c r="W90" s="16">
        <f>IF(Production!W$30&gt;=11,$C90/12,"")</f>
        <v>4166.666666666667</v>
      </c>
      <c r="X90" s="16">
        <f>IF(Production!X$30&gt;=11,$C90/12,"")</f>
        <v>4166.666666666667</v>
      </c>
      <c r="Y90" s="16">
        <f>IF(Production!Y$30&gt;=11,$C90/12,"")</f>
        <v>4166.666666666667</v>
      </c>
      <c r="Z90" s="16">
        <f>IF(Production!Z$30&gt;=11,$C90/12,"")</f>
        <v>4166.666666666667</v>
      </c>
      <c r="AA90" s="16">
        <f>IF(Production!AA$30&gt;=11,$C90/12,"")</f>
        <v>4166.666666666667</v>
      </c>
      <c r="AB90" s="16">
        <f>IF(Production!AB$30&gt;=11,$C90/12,"")</f>
        <v>4166.666666666667</v>
      </c>
      <c r="AC90" s="16">
        <f>IF(Production!AC$30&gt;=11,$C90/12,"")</f>
        <v>4166.666666666667</v>
      </c>
      <c r="AE90" s="16">
        <f>IF(Production!AE$30&gt;=11,$C90/12,"")</f>
        <v>4166.666666666667</v>
      </c>
      <c r="AF90" s="16">
        <f>IF(Production!AF$30&gt;=11,$C90/12,"")</f>
        <v>4166.666666666667</v>
      </c>
      <c r="AG90" s="16">
        <f>IF(Production!AG$30&gt;=11,$C90/12,"")</f>
        <v>4166.666666666667</v>
      </c>
      <c r="AH90" s="16" t="str">
        <f>IF(Production!AH$30&gt;=11,$C90/12,"")</f>
        <v/>
      </c>
      <c r="AI90" s="16" t="str">
        <f>IF(Production!AI$30&gt;=11,$C90/12,"")</f>
        <v/>
      </c>
      <c r="AJ90" s="16" t="str">
        <f>IF(Production!AJ$30&gt;=11,$C90/12,"")</f>
        <v/>
      </c>
      <c r="AK90" s="16" t="str">
        <f>IF(Production!AK$30&gt;=11,$C90/12,"")</f>
        <v/>
      </c>
      <c r="AL90" s="16" t="str">
        <f>IF(Production!AL$30&gt;=11,$C90/12,"")</f>
        <v/>
      </c>
      <c r="AM90" s="16" t="str">
        <f>IF(Production!AM$30&gt;=11,$C90/12,"")</f>
        <v/>
      </c>
      <c r="AN90" s="16" t="str">
        <f>IF(Production!AN$30&gt;=11,$C90/12,"")</f>
        <v/>
      </c>
      <c r="AO90" s="16" t="str">
        <f>IF(Production!AO$30&gt;=11,$C90/12,"")</f>
        <v/>
      </c>
      <c r="AP90" s="16" t="str">
        <f>IF(Production!AP$30&gt;=11,$C90/12,"")</f>
        <v/>
      </c>
      <c r="AR90" s="16">
        <f t="shared" si="446"/>
        <v>0</v>
      </c>
      <c r="AS90" s="16">
        <f t="shared" si="447"/>
        <v>0</v>
      </c>
      <c r="AT90" s="16">
        <f t="shared" si="448"/>
        <v>0</v>
      </c>
      <c r="AU90" s="16">
        <f t="shared" si="449"/>
        <v>0</v>
      </c>
      <c r="AV90" s="16">
        <f t="shared" si="450"/>
        <v>0</v>
      </c>
      <c r="AX90" s="16">
        <f t="shared" si="451"/>
        <v>33333.333333333336</v>
      </c>
      <c r="AY90" s="16">
        <f t="shared" si="452"/>
        <v>0</v>
      </c>
      <c r="AZ90" s="16">
        <f t="shared" si="453"/>
        <v>8333.3333333333339</v>
      </c>
      <c r="BA90" s="16">
        <f t="shared" si="454"/>
        <v>12500</v>
      </c>
      <c r="BB90" s="16">
        <f t="shared" si="455"/>
        <v>12500</v>
      </c>
      <c r="BD90" s="16">
        <f t="shared" si="456"/>
        <v>12500</v>
      </c>
      <c r="BE90" s="16">
        <f t="shared" si="457"/>
        <v>12500</v>
      </c>
      <c r="BF90" s="16">
        <f t="shared" si="458"/>
        <v>0</v>
      </c>
      <c r="BG90" s="16">
        <f t="shared" si="459"/>
        <v>0</v>
      </c>
      <c r="BH90" s="16">
        <f t="shared" si="460"/>
        <v>0</v>
      </c>
      <c r="BJ90" s="16">
        <f t="shared" si="461"/>
        <v>37500</v>
      </c>
      <c r="BK90" s="16">
        <f>IF(BK$133&gt;=11,+$C90/4,0)</f>
        <v>0</v>
      </c>
      <c r="BL90" s="16">
        <f>IF(BL$133&gt;=11,+$C90/4,0)</f>
        <v>12500</v>
      </c>
      <c r="BM90" s="16">
        <f>IF(BM$133&gt;=11,+$C90/4,0)</f>
        <v>12500</v>
      </c>
      <c r="BN90" s="16">
        <f>IF(BN$133&gt;=11,+$C90/4,0)</f>
        <v>12500</v>
      </c>
      <c r="BP90" s="16">
        <f t="shared" si="462"/>
        <v>50000</v>
      </c>
      <c r="BQ90" s="16">
        <f>IF(BQ$133&gt;=11,+$C90/4,0)</f>
        <v>12500</v>
      </c>
      <c r="BR90" s="16">
        <f>IF(BR$133&gt;=11,+$C90/4,0)</f>
        <v>12500</v>
      </c>
      <c r="BS90" s="16">
        <f>IF(BS$133&gt;=11,+$C90/4,0)</f>
        <v>12500</v>
      </c>
      <c r="BT90" s="16">
        <f>IF(BT$133&gt;=11,+$C90/4,0)</f>
        <v>12500</v>
      </c>
      <c r="BV90" s="16">
        <f t="shared" si="463"/>
        <v>50000</v>
      </c>
      <c r="BW90" s="16">
        <f>IF(BW$133&gt;=11,+$C90/4,0)</f>
        <v>12500</v>
      </c>
      <c r="BX90" s="16">
        <f>IF(BX$133&gt;=11,+$C90/4,0)</f>
        <v>12500</v>
      </c>
      <c r="BY90" s="16">
        <f>IF(BY$133&gt;=11,+$C90/4,0)</f>
        <v>12500</v>
      </c>
      <c r="BZ90" s="16">
        <f>IF(BZ$133&gt;=11,+$C90/4,0)</f>
        <v>12500</v>
      </c>
    </row>
    <row r="91" spans="2:78" s="16" customFormat="1" x14ac:dyDescent="0.25">
      <c r="B91" s="16" t="s">
        <v>577</v>
      </c>
      <c r="C91" s="16">
        <v>50000</v>
      </c>
      <c r="U91" s="16" t="str">
        <f>IF(Production!U$30&gt;=12,$C91/12,"")</f>
        <v/>
      </c>
      <c r="V91" s="16" t="str">
        <f>IF(Production!V$30&gt;=12,$C91/12,"")</f>
        <v/>
      </c>
      <c r="W91" s="16">
        <f>IF(Production!W$30&gt;=12,$C91/12,"")</f>
        <v>4166.666666666667</v>
      </c>
      <c r="X91" s="16">
        <f>IF(Production!X$30&gt;=12,$C91/12,"")</f>
        <v>4166.666666666667</v>
      </c>
      <c r="Y91" s="16">
        <f>IF(Production!Y$30&gt;=12,$C91/12,"")</f>
        <v>4166.666666666667</v>
      </c>
      <c r="Z91" s="16">
        <f>IF(Production!Z$30&gt;=12,$C91/12,"")</f>
        <v>4166.666666666667</v>
      </c>
      <c r="AA91" s="16">
        <f>IF(Production!AA$30&gt;=12,$C91/12,"")</f>
        <v>4166.666666666667</v>
      </c>
      <c r="AB91" s="16">
        <f>IF(Production!AB$30&gt;=12,$C91/12,"")</f>
        <v>4166.666666666667</v>
      </c>
      <c r="AC91" s="16">
        <f>IF(Production!AC$30&gt;=12,$C91/12,"")</f>
        <v>4166.666666666667</v>
      </c>
      <c r="AE91" s="16">
        <f>IF(Production!AE$30&gt;=12,$C91/12,"")</f>
        <v>4166.666666666667</v>
      </c>
      <c r="AF91" s="16">
        <f>IF(Production!AF$30&gt;=12,$C91/12,"")</f>
        <v>4166.666666666667</v>
      </c>
      <c r="AG91" s="16">
        <f>IF(Production!AG$30&gt;=12,$C91/12,"")</f>
        <v>4166.666666666667</v>
      </c>
      <c r="AH91" s="16" t="str">
        <f>IF(Production!AH$30&gt;=12,$C91/12,"")</f>
        <v/>
      </c>
      <c r="AI91" s="16" t="str">
        <f>IF(Production!AI$30&gt;=12,$C91/12,"")</f>
        <v/>
      </c>
      <c r="AJ91" s="16" t="str">
        <f>IF(Production!AJ$30&gt;=12,$C91/12,"")</f>
        <v/>
      </c>
      <c r="AK91" s="16" t="str">
        <f>IF(Production!AK$30&gt;=12,$C91/12,"")</f>
        <v/>
      </c>
      <c r="AL91" s="16" t="str">
        <f>IF(Production!AL$30&gt;=12,$C91/12,"")</f>
        <v/>
      </c>
      <c r="AM91" s="16" t="str">
        <f>IF(Production!AM$30&gt;=12,$C91/12,"")</f>
        <v/>
      </c>
      <c r="AN91" s="16" t="str">
        <f>IF(Production!AN$30&gt;=12,$C91/12,"")</f>
        <v/>
      </c>
      <c r="AO91" s="16" t="str">
        <f>IF(Production!AO$30&gt;=12,$C91/12,"")</f>
        <v/>
      </c>
      <c r="AP91" s="16" t="str">
        <f>IF(Production!AP$30&gt;=12,$C91/12,"")</f>
        <v/>
      </c>
      <c r="AR91" s="16">
        <f t="shared" si="446"/>
        <v>0</v>
      </c>
      <c r="AS91" s="16">
        <f t="shared" si="447"/>
        <v>0</v>
      </c>
      <c r="AT91" s="16">
        <f t="shared" si="448"/>
        <v>0</v>
      </c>
      <c r="AU91" s="16">
        <f t="shared" si="449"/>
        <v>0</v>
      </c>
      <c r="AV91" s="16">
        <f t="shared" si="450"/>
        <v>0</v>
      </c>
      <c r="AX91" s="16">
        <f t="shared" si="451"/>
        <v>29166.666666666672</v>
      </c>
      <c r="AY91" s="16">
        <f t="shared" si="452"/>
        <v>0</v>
      </c>
      <c r="AZ91" s="16">
        <f t="shared" si="453"/>
        <v>4166.666666666667</v>
      </c>
      <c r="BA91" s="16">
        <f t="shared" si="454"/>
        <v>12500</v>
      </c>
      <c r="BB91" s="16">
        <f t="shared" si="455"/>
        <v>12500</v>
      </c>
      <c r="BD91" s="16">
        <f t="shared" si="456"/>
        <v>12500</v>
      </c>
      <c r="BE91" s="16">
        <f t="shared" si="457"/>
        <v>12500</v>
      </c>
      <c r="BF91" s="16">
        <f t="shared" si="458"/>
        <v>0</v>
      </c>
      <c r="BG91" s="16">
        <f t="shared" si="459"/>
        <v>0</v>
      </c>
      <c r="BH91" s="16">
        <f t="shared" si="460"/>
        <v>0</v>
      </c>
      <c r="BJ91" s="16">
        <f t="shared" si="461"/>
        <v>37500</v>
      </c>
      <c r="BK91" s="16">
        <f>IF(BK$133&gt;=12,+$C91/4,0)</f>
        <v>0</v>
      </c>
      <c r="BL91" s="16">
        <f>IF(BL$133&gt;=12,+$C91/4,0)</f>
        <v>12500</v>
      </c>
      <c r="BM91" s="16">
        <f>IF(BM$133&gt;=12,+$C91/4,0)</f>
        <v>12500</v>
      </c>
      <c r="BN91" s="16">
        <f>IF(BN$133&gt;=12,+$C91/4,0)</f>
        <v>12500</v>
      </c>
      <c r="BP91" s="16">
        <f t="shared" si="462"/>
        <v>50000</v>
      </c>
      <c r="BQ91" s="16">
        <f>IF(BQ$133&gt;=12,+$C91/4,0)</f>
        <v>12500</v>
      </c>
      <c r="BR91" s="16">
        <f>IF(BR$133&gt;=12,+$C91/4,0)</f>
        <v>12500</v>
      </c>
      <c r="BS91" s="16">
        <f>IF(BS$133&gt;=12,+$C91/4,0)</f>
        <v>12500</v>
      </c>
      <c r="BT91" s="16">
        <f>IF(BT$133&gt;=12,+$C91/4,0)</f>
        <v>12500</v>
      </c>
      <c r="BV91" s="16">
        <f t="shared" si="463"/>
        <v>50000</v>
      </c>
      <c r="BW91" s="16">
        <f>IF(BW$133&gt;=12,+$C91/4,0)</f>
        <v>12500</v>
      </c>
      <c r="BX91" s="16">
        <f>IF(BX$133&gt;=12,+$C91/4,0)</f>
        <v>12500</v>
      </c>
      <c r="BY91" s="16">
        <f>IF(BY$133&gt;=12,+$C91/4,0)</f>
        <v>12500</v>
      </c>
      <c r="BZ91" s="16">
        <f>IF(BZ$133&gt;=12,+$C91/4,0)</f>
        <v>12500</v>
      </c>
    </row>
    <row r="92" spans="2:78" s="16" customFormat="1" x14ac:dyDescent="0.25">
      <c r="B92" s="16" t="s">
        <v>578</v>
      </c>
      <c r="C92" s="16">
        <v>50000</v>
      </c>
      <c r="U92" s="16" t="str">
        <f>IF(Production!U$30&gt;=13,$C92/12,"")</f>
        <v/>
      </c>
      <c r="V92" s="16" t="str">
        <f>IF(Production!V$30&gt;=13,$C92/12,"")</f>
        <v/>
      </c>
      <c r="W92" s="16">
        <f>IF(Production!W$30&gt;=13,$C92/12,"")</f>
        <v>4166.666666666667</v>
      </c>
      <c r="X92" s="16">
        <f>IF(Production!X$30&gt;=13,$C92/12,"")</f>
        <v>4166.666666666667</v>
      </c>
      <c r="Y92" s="16">
        <f>IF(Production!Y$30&gt;=13,$C92/12,"")</f>
        <v>4166.666666666667</v>
      </c>
      <c r="Z92" s="16">
        <f>IF(Production!Z$30&gt;=13,$C92/12,"")</f>
        <v>4166.666666666667</v>
      </c>
      <c r="AA92" s="16">
        <f>IF(Production!AA$30&gt;=13,$C92/12,"")</f>
        <v>4166.666666666667</v>
      </c>
      <c r="AB92" s="16">
        <f>IF(Production!AB$30&gt;=13,$C92/12,"")</f>
        <v>4166.666666666667</v>
      </c>
      <c r="AC92" s="16">
        <f>IF(Production!AC$30&gt;=13,$C92/12,"")</f>
        <v>4166.666666666667</v>
      </c>
      <c r="AE92" s="16">
        <f>IF(Production!AE$30&gt;=13,$C92/12,"")</f>
        <v>4166.666666666667</v>
      </c>
      <c r="AF92" s="16">
        <f>IF(Production!AF$30&gt;=13,$C92/12,"")</f>
        <v>4166.666666666667</v>
      </c>
      <c r="AG92" s="16">
        <f>IF(Production!AG$30&gt;=13,$C92/12,"")</f>
        <v>4166.666666666667</v>
      </c>
      <c r="AH92" s="16" t="str">
        <f>IF(Production!AH$30&gt;=13,$C92/12,"")</f>
        <v/>
      </c>
      <c r="AI92" s="16" t="str">
        <f>IF(Production!AI$30&gt;=13,$C92/12,"")</f>
        <v/>
      </c>
      <c r="AJ92" s="16" t="str">
        <f>IF(Production!AJ$30&gt;=13,$C92/12,"")</f>
        <v/>
      </c>
      <c r="AK92" s="16" t="str">
        <f>IF(Production!AK$30&gt;=13,$C92/12,"")</f>
        <v/>
      </c>
      <c r="AL92" s="16" t="str">
        <f>IF(Production!AL$30&gt;=13,$C92/12,"")</f>
        <v/>
      </c>
      <c r="AM92" s="16" t="str">
        <f>IF(Production!AM$30&gt;=13,$C92/12,"")</f>
        <v/>
      </c>
      <c r="AN92" s="16" t="str">
        <f>IF(Production!AN$30&gt;=13,$C92/12,"")</f>
        <v/>
      </c>
      <c r="AO92" s="16" t="str">
        <f>IF(Production!AO$30&gt;=13,$C92/12,"")</f>
        <v/>
      </c>
      <c r="AP92" s="16" t="str">
        <f>IF(Production!AP$30&gt;=13,$C92/12,"")</f>
        <v/>
      </c>
      <c r="AR92" s="16">
        <f t="shared" si="446"/>
        <v>0</v>
      </c>
      <c r="AS92" s="16">
        <f t="shared" si="447"/>
        <v>0</v>
      </c>
      <c r="AT92" s="16">
        <f t="shared" si="448"/>
        <v>0</v>
      </c>
      <c r="AU92" s="16">
        <f t="shared" si="449"/>
        <v>0</v>
      </c>
      <c r="AV92" s="16">
        <f t="shared" si="450"/>
        <v>0</v>
      </c>
      <c r="AX92" s="16">
        <f t="shared" si="451"/>
        <v>29166.666666666672</v>
      </c>
      <c r="AY92" s="16">
        <f t="shared" si="452"/>
        <v>0</v>
      </c>
      <c r="AZ92" s="16">
        <f t="shared" si="453"/>
        <v>4166.666666666667</v>
      </c>
      <c r="BA92" s="16">
        <f t="shared" si="454"/>
        <v>12500</v>
      </c>
      <c r="BB92" s="16">
        <f t="shared" si="455"/>
        <v>12500</v>
      </c>
      <c r="BD92" s="16">
        <f t="shared" si="456"/>
        <v>12500</v>
      </c>
      <c r="BE92" s="16">
        <f t="shared" si="457"/>
        <v>12500</v>
      </c>
      <c r="BF92" s="16">
        <f t="shared" si="458"/>
        <v>0</v>
      </c>
      <c r="BG92" s="16">
        <f t="shared" si="459"/>
        <v>0</v>
      </c>
      <c r="BH92" s="16">
        <f t="shared" si="460"/>
        <v>0</v>
      </c>
      <c r="BJ92" s="16">
        <f t="shared" si="461"/>
        <v>25000</v>
      </c>
      <c r="BK92" s="16">
        <f>IF(BK$133&gt;=13,+$C92/4,0)</f>
        <v>0</v>
      </c>
      <c r="BL92" s="16">
        <f>IF(BL$133&gt;=13,+$C92/4,0)</f>
        <v>0</v>
      </c>
      <c r="BM92" s="16">
        <f>IF(BM$133&gt;=13,+$C92/4,0)</f>
        <v>12500</v>
      </c>
      <c r="BN92" s="16">
        <f>IF(BN$133&gt;=13,+$C92/4,0)</f>
        <v>12500</v>
      </c>
      <c r="BP92" s="16">
        <f t="shared" si="462"/>
        <v>50000</v>
      </c>
      <c r="BQ92" s="16">
        <f>IF(BQ$133&gt;=13,+$C92/4,0)</f>
        <v>12500</v>
      </c>
      <c r="BR92" s="16">
        <f>IF(BR$133&gt;=13,+$C92/4,0)</f>
        <v>12500</v>
      </c>
      <c r="BS92" s="16">
        <f>IF(BS$133&gt;=13,+$C92/4,0)</f>
        <v>12500</v>
      </c>
      <c r="BT92" s="16">
        <f>IF(BT$133&gt;=13,+$C92/4,0)</f>
        <v>12500</v>
      </c>
      <c r="BV92" s="16">
        <f t="shared" si="463"/>
        <v>50000</v>
      </c>
      <c r="BW92" s="16">
        <f>IF(BW$133&gt;=13,+$C92/4,0)</f>
        <v>12500</v>
      </c>
      <c r="BX92" s="16">
        <f>IF(BX$133&gt;=13,+$C92/4,0)</f>
        <v>12500</v>
      </c>
      <c r="BY92" s="16">
        <f>IF(BY$133&gt;=13,+$C92/4,0)</f>
        <v>12500</v>
      </c>
      <c r="BZ92" s="16">
        <f>IF(BZ$133&gt;=13,+$C92/4,0)</f>
        <v>12500</v>
      </c>
    </row>
    <row r="93" spans="2:78" s="16" customFormat="1" x14ac:dyDescent="0.25">
      <c r="B93" s="16" t="s">
        <v>579</v>
      </c>
      <c r="C93" s="16">
        <v>50000</v>
      </c>
      <c r="U93" s="16" t="str">
        <f>IF(Production!U$30&gt;=14,$C93/12,"")</f>
        <v/>
      </c>
      <c r="V93" s="16" t="str">
        <f>IF(Production!V$30&gt;=14,$C93/12,"")</f>
        <v/>
      </c>
      <c r="W93" s="16">
        <f>IF(Production!W$30&gt;=14,$C93/12,"")</f>
        <v>4166.666666666667</v>
      </c>
      <c r="X93" s="16">
        <f>IF(Production!X$30&gt;=14,$C93/12,"")</f>
        <v>4166.666666666667</v>
      </c>
      <c r="Y93" s="16">
        <f>IF(Production!Y$30&gt;=14,$C93/12,"")</f>
        <v>4166.666666666667</v>
      </c>
      <c r="Z93" s="16">
        <f>IF(Production!Z$30&gt;=14,$C93/12,"")</f>
        <v>4166.666666666667</v>
      </c>
      <c r="AA93" s="16">
        <f>IF(Production!AA$30&gt;=14,$C93/12,"")</f>
        <v>4166.666666666667</v>
      </c>
      <c r="AB93" s="16">
        <f>IF(Production!AB$30&gt;=14,$C93/12,"")</f>
        <v>4166.666666666667</v>
      </c>
      <c r="AC93" s="16">
        <f>IF(Production!AC$30&gt;=14,$C93/12,"")</f>
        <v>4166.666666666667</v>
      </c>
      <c r="AE93" s="16">
        <f>IF(Production!AE$30&gt;=14,$C93/12,"")</f>
        <v>4166.666666666667</v>
      </c>
      <c r="AF93" s="16">
        <f>IF(Production!AF$30&gt;=14,$C93/12,"")</f>
        <v>4166.666666666667</v>
      </c>
      <c r="AG93" s="16">
        <f>IF(Production!AG$30&gt;=14,$C93/12,"")</f>
        <v>4166.666666666667</v>
      </c>
      <c r="AH93" s="16" t="str">
        <f>IF(Production!AH$30&gt;=14,$C93/12,"")</f>
        <v/>
      </c>
      <c r="AI93" s="16" t="str">
        <f>IF(Production!AI$30&gt;=14,$C93/12,"")</f>
        <v/>
      </c>
      <c r="AJ93" s="16" t="str">
        <f>IF(Production!AJ$30&gt;=14,$C93/12,"")</f>
        <v/>
      </c>
      <c r="AK93" s="16" t="str">
        <f>IF(Production!AK$30&gt;=14,$C93/12,"")</f>
        <v/>
      </c>
      <c r="AL93" s="16" t="str">
        <f>IF(Production!AL$30&gt;=14,$C93/12,"")</f>
        <v/>
      </c>
      <c r="AM93" s="16" t="str">
        <f>IF(Production!AM$30&gt;=14,$C93/12,"")</f>
        <v/>
      </c>
      <c r="AN93" s="16" t="str">
        <f>IF(Production!AN$30&gt;=14,$C93/12,"")</f>
        <v/>
      </c>
      <c r="AO93" s="16" t="str">
        <f>IF(Production!AO$30&gt;=14,$C93/12,"")</f>
        <v/>
      </c>
      <c r="AP93" s="16" t="str">
        <f>IF(Production!AP$30&gt;=14,$C93/12,"")</f>
        <v/>
      </c>
      <c r="AR93" s="16">
        <f t="shared" si="446"/>
        <v>0</v>
      </c>
      <c r="AS93" s="16">
        <f t="shared" si="447"/>
        <v>0</v>
      </c>
      <c r="AT93" s="16">
        <f t="shared" si="448"/>
        <v>0</v>
      </c>
      <c r="AU93" s="16">
        <f t="shared" si="449"/>
        <v>0</v>
      </c>
      <c r="AV93" s="16">
        <f t="shared" si="450"/>
        <v>0</v>
      </c>
      <c r="AX93" s="16">
        <f t="shared" si="451"/>
        <v>29166.666666666672</v>
      </c>
      <c r="AY93" s="16">
        <f t="shared" si="452"/>
        <v>0</v>
      </c>
      <c r="AZ93" s="16">
        <f t="shared" si="453"/>
        <v>4166.666666666667</v>
      </c>
      <c r="BA93" s="16">
        <f t="shared" si="454"/>
        <v>12500</v>
      </c>
      <c r="BB93" s="16">
        <f t="shared" si="455"/>
        <v>12500</v>
      </c>
      <c r="BD93" s="16">
        <f t="shared" si="456"/>
        <v>12500</v>
      </c>
      <c r="BE93" s="16">
        <f t="shared" si="457"/>
        <v>12500</v>
      </c>
      <c r="BF93" s="16">
        <f t="shared" si="458"/>
        <v>0</v>
      </c>
      <c r="BG93" s="16">
        <f t="shared" si="459"/>
        <v>0</v>
      </c>
      <c r="BH93" s="16">
        <f t="shared" si="460"/>
        <v>0</v>
      </c>
      <c r="BJ93" s="16">
        <f t="shared" si="461"/>
        <v>12500</v>
      </c>
      <c r="BK93" s="16">
        <f>IF(BK$133&gt;=14,+$C93/4,0)</f>
        <v>0</v>
      </c>
      <c r="BL93" s="16">
        <f>IF(BL$133&gt;=14,+$C93/4,0)</f>
        <v>0</v>
      </c>
      <c r="BM93" s="16">
        <f>IF(BM$133&gt;=14,+$C93/4,0)</f>
        <v>0</v>
      </c>
      <c r="BN93" s="16">
        <f>IF(BN$133&gt;=14,+$C93/4,0)</f>
        <v>12500</v>
      </c>
      <c r="BP93" s="16">
        <f t="shared" si="462"/>
        <v>50000</v>
      </c>
      <c r="BQ93" s="16">
        <f>IF(BQ$133&gt;=14,+$C93/4,0)</f>
        <v>12500</v>
      </c>
      <c r="BR93" s="16">
        <f>IF(BR$133&gt;=14,+$C93/4,0)</f>
        <v>12500</v>
      </c>
      <c r="BS93" s="16">
        <f>IF(BS$133&gt;=14,+$C93/4,0)</f>
        <v>12500</v>
      </c>
      <c r="BT93" s="16">
        <f>IF(BT$133&gt;=14,+$C93/4,0)</f>
        <v>12500</v>
      </c>
      <c r="BV93" s="16">
        <f t="shared" si="463"/>
        <v>50000</v>
      </c>
      <c r="BW93" s="16">
        <f>IF(BW$133&gt;=14,+$C93/4,0)</f>
        <v>12500</v>
      </c>
      <c r="BX93" s="16">
        <f>IF(BX$133&gt;=14,+$C93/4,0)</f>
        <v>12500</v>
      </c>
      <c r="BY93" s="16">
        <f>IF(BY$133&gt;=14,+$C93/4,0)</f>
        <v>12500</v>
      </c>
      <c r="BZ93" s="16">
        <f>IF(BZ$133&gt;=14,+$C93/4,0)</f>
        <v>12500</v>
      </c>
    </row>
    <row r="94" spans="2:78" s="16" customFormat="1" x14ac:dyDescent="0.25">
      <c r="B94" s="16" t="s">
        <v>580</v>
      </c>
      <c r="C94" s="16">
        <v>50000</v>
      </c>
      <c r="U94" s="16" t="str">
        <f>IF(Production!U$30&gt;=15,$C94/12,"")</f>
        <v/>
      </c>
      <c r="V94" s="16" t="str">
        <f>IF(Production!V$30&gt;=15,$C94/12,"")</f>
        <v/>
      </c>
      <c r="W94" s="16">
        <f>IF(Production!W$30&gt;=15,$C94/12,"")</f>
        <v>4166.666666666667</v>
      </c>
      <c r="X94" s="16">
        <f>IF(Production!X$30&gt;=15,$C94/12,"")</f>
        <v>4166.666666666667</v>
      </c>
      <c r="Y94" s="16">
        <f>IF(Production!Y$30&gt;=15,$C94/12,"")</f>
        <v>4166.666666666667</v>
      </c>
      <c r="Z94" s="16">
        <f>IF(Production!Z$30&gt;=15,$C94/12,"")</f>
        <v>4166.666666666667</v>
      </c>
      <c r="AA94" s="16">
        <f>IF(Production!AA$30&gt;=15,$C94/12,"")</f>
        <v>4166.666666666667</v>
      </c>
      <c r="AB94" s="16">
        <f>IF(Production!AB$30&gt;=15,$C94/12,"")</f>
        <v>4166.666666666667</v>
      </c>
      <c r="AC94" s="16">
        <f>IF(Production!AC$30&gt;=15,$C94/12,"")</f>
        <v>4166.666666666667</v>
      </c>
      <c r="AE94" s="16">
        <f>IF(Production!AE$30&gt;=15,$C94/12,"")</f>
        <v>4166.666666666667</v>
      </c>
      <c r="AF94" s="16">
        <f>IF(Production!AF$30&gt;=15,$C94/12,"")</f>
        <v>4166.666666666667</v>
      </c>
      <c r="AG94" s="16">
        <f>IF(Production!AG$30&gt;=15,$C94/12,"")</f>
        <v>4166.666666666667</v>
      </c>
      <c r="AH94" s="16" t="str">
        <f>IF(Production!AH$30&gt;=15,$C94/12,"")</f>
        <v/>
      </c>
      <c r="AI94" s="16" t="str">
        <f>IF(Production!AI$30&gt;=15,$C94/12,"")</f>
        <v/>
      </c>
      <c r="AJ94" s="16" t="str">
        <f>IF(Production!AJ$30&gt;=15,$C94/12,"")</f>
        <v/>
      </c>
      <c r="AK94" s="16" t="str">
        <f>IF(Production!AK$30&gt;=15,$C94/12,"")</f>
        <v/>
      </c>
      <c r="AL94" s="16" t="str">
        <f>IF(Production!AL$30&gt;=15,$C94/12,"")</f>
        <v/>
      </c>
      <c r="AM94" s="16" t="str">
        <f>IF(Production!AM$30&gt;=15,$C94/12,"")</f>
        <v/>
      </c>
      <c r="AN94" s="16" t="str">
        <f>IF(Production!AN$30&gt;=15,$C94/12,"")</f>
        <v/>
      </c>
      <c r="AO94" s="16" t="str">
        <f>IF(Production!AO$30&gt;=15,$C94/12,"")</f>
        <v/>
      </c>
      <c r="AP94" s="16" t="str">
        <f>IF(Production!AP$30&gt;=15,$C94/12,"")</f>
        <v/>
      </c>
      <c r="AR94" s="16">
        <f t="shared" si="446"/>
        <v>0</v>
      </c>
      <c r="AS94" s="16">
        <f t="shared" si="447"/>
        <v>0</v>
      </c>
      <c r="AT94" s="16">
        <f t="shared" si="448"/>
        <v>0</v>
      </c>
      <c r="AU94" s="16">
        <f t="shared" si="449"/>
        <v>0</v>
      </c>
      <c r="AV94" s="16">
        <f t="shared" si="450"/>
        <v>0</v>
      </c>
      <c r="AX94" s="16">
        <f t="shared" si="451"/>
        <v>29166.666666666672</v>
      </c>
      <c r="AY94" s="16">
        <f t="shared" si="452"/>
        <v>0</v>
      </c>
      <c r="AZ94" s="16">
        <f t="shared" si="453"/>
        <v>4166.666666666667</v>
      </c>
      <c r="BA94" s="16">
        <f t="shared" si="454"/>
        <v>12500</v>
      </c>
      <c r="BB94" s="16">
        <f t="shared" si="455"/>
        <v>12500</v>
      </c>
      <c r="BD94" s="16">
        <f t="shared" si="456"/>
        <v>12500</v>
      </c>
      <c r="BE94" s="16">
        <f t="shared" si="457"/>
        <v>12500</v>
      </c>
      <c r="BF94" s="16">
        <f t="shared" si="458"/>
        <v>0</v>
      </c>
      <c r="BG94" s="16">
        <f t="shared" si="459"/>
        <v>0</v>
      </c>
      <c r="BH94" s="16">
        <f t="shared" si="460"/>
        <v>0</v>
      </c>
      <c r="BJ94" s="16">
        <f t="shared" si="461"/>
        <v>12500</v>
      </c>
      <c r="BK94" s="16">
        <f>IF(BK$133&gt;=15,+$C94/4,0)</f>
        <v>0</v>
      </c>
      <c r="BL94" s="16">
        <f>IF(BL$133&gt;=15,+$C94/4,0)</f>
        <v>0</v>
      </c>
      <c r="BM94" s="16">
        <f>IF(BM$133&gt;=15,+$C94/4,0)</f>
        <v>0</v>
      </c>
      <c r="BN94" s="16">
        <f>IF(BN$133&gt;=15,+$C94/4,0)</f>
        <v>12500</v>
      </c>
      <c r="BP94" s="16">
        <f t="shared" si="462"/>
        <v>50000</v>
      </c>
      <c r="BQ94" s="16">
        <f>IF(BQ$133&gt;=15,+$C94/4,0)</f>
        <v>12500</v>
      </c>
      <c r="BR94" s="16">
        <f>IF(BR$133&gt;=15,+$C94/4,0)</f>
        <v>12500</v>
      </c>
      <c r="BS94" s="16">
        <f>IF(BS$133&gt;=15,+$C94/4,0)</f>
        <v>12500</v>
      </c>
      <c r="BT94" s="16">
        <f>IF(BT$133&gt;=15,+$C94/4,0)</f>
        <v>12500</v>
      </c>
      <c r="BV94" s="16">
        <f t="shared" si="463"/>
        <v>50000</v>
      </c>
      <c r="BW94" s="16">
        <f>IF(BW$133&gt;=15,+$C94/4,0)</f>
        <v>12500</v>
      </c>
      <c r="BX94" s="16">
        <f>IF(BX$133&gt;=15,+$C94/4,0)</f>
        <v>12500</v>
      </c>
      <c r="BY94" s="16">
        <f>IF(BY$133&gt;=15,+$C94/4,0)</f>
        <v>12500</v>
      </c>
      <c r="BZ94" s="16">
        <f>IF(BZ$133&gt;=15,+$C94/4,0)</f>
        <v>12500</v>
      </c>
    </row>
    <row r="95" spans="2:78" s="16" customFormat="1" x14ac:dyDescent="0.25">
      <c r="B95" s="16" t="s">
        <v>581</v>
      </c>
      <c r="C95" s="16">
        <v>50000</v>
      </c>
      <c r="U95" s="16" t="str">
        <f>IF(Production!U$30&gt;=16,$C95/12,"")</f>
        <v/>
      </c>
      <c r="V95" s="16" t="str">
        <f>IF(Production!V$30&gt;=16,$C95/12,"")</f>
        <v/>
      </c>
      <c r="W95" s="16">
        <f>IF(Production!W$30&gt;=16,$C95/12,"")</f>
        <v>4166.666666666667</v>
      </c>
      <c r="X95" s="16">
        <f>IF(Production!X$30&gt;=16,$C95/12,"")</f>
        <v>4166.666666666667</v>
      </c>
      <c r="Y95" s="16">
        <f>IF(Production!Y$30&gt;=16,$C95/12,"")</f>
        <v>4166.666666666667</v>
      </c>
      <c r="Z95" s="16">
        <f>IF(Production!Z$30&gt;=16,$C95/12,"")</f>
        <v>4166.666666666667</v>
      </c>
      <c r="AA95" s="16">
        <f>IF(Production!AA$30&gt;=16,$C95/12,"")</f>
        <v>4166.666666666667</v>
      </c>
      <c r="AB95" s="16">
        <f>IF(Production!AB$30&gt;=16,$C95/12,"")</f>
        <v>4166.666666666667</v>
      </c>
      <c r="AC95" s="16">
        <f>IF(Production!AC$30&gt;=16,$C95/12,"")</f>
        <v>4166.666666666667</v>
      </c>
      <c r="AE95" s="16">
        <f>IF(Production!AE$30&gt;=16,$C95/12,"")</f>
        <v>4166.666666666667</v>
      </c>
      <c r="AF95" s="16">
        <f>IF(Production!AF$30&gt;=16,$C95/12,"")</f>
        <v>4166.666666666667</v>
      </c>
      <c r="AG95" s="16">
        <f>IF(Production!AG$30&gt;=16,$C95/12,"")</f>
        <v>4166.666666666667</v>
      </c>
      <c r="AH95" s="16" t="str">
        <f>IF(Production!AH$30&gt;=16,$C95/12,"")</f>
        <v/>
      </c>
      <c r="AI95" s="16" t="str">
        <f>IF(Production!AI$30&gt;=16,$C95/12,"")</f>
        <v/>
      </c>
      <c r="AJ95" s="16" t="str">
        <f>IF(Production!AJ$30&gt;=16,$C95/12,"")</f>
        <v/>
      </c>
      <c r="AK95" s="16" t="str">
        <f>IF(Production!AK$30&gt;=16,$C95/12,"")</f>
        <v/>
      </c>
      <c r="AL95" s="16" t="str">
        <f>IF(Production!AL$30&gt;=16,$C95/12,"")</f>
        <v/>
      </c>
      <c r="AM95" s="16" t="str">
        <f>IF(Production!AM$30&gt;=16,$C95/12,"")</f>
        <v/>
      </c>
      <c r="AN95" s="16" t="str">
        <f>IF(Production!AN$30&gt;=16,$C95/12,"")</f>
        <v/>
      </c>
      <c r="AO95" s="16" t="str">
        <f>IF(Production!AO$30&gt;=16,$C95/12,"")</f>
        <v/>
      </c>
      <c r="AP95" s="16" t="str">
        <f>IF(Production!AP$30&gt;=16,$C95/12,"")</f>
        <v/>
      </c>
      <c r="AR95" s="16">
        <f t="shared" si="446"/>
        <v>0</v>
      </c>
      <c r="AS95" s="16">
        <f t="shared" si="447"/>
        <v>0</v>
      </c>
      <c r="AT95" s="16">
        <f t="shared" si="448"/>
        <v>0</v>
      </c>
      <c r="AU95" s="16">
        <f t="shared" si="449"/>
        <v>0</v>
      </c>
      <c r="AV95" s="16">
        <f t="shared" si="450"/>
        <v>0</v>
      </c>
      <c r="AX95" s="16">
        <f t="shared" si="451"/>
        <v>29166.666666666672</v>
      </c>
      <c r="AY95" s="16">
        <f t="shared" si="452"/>
        <v>0</v>
      </c>
      <c r="AZ95" s="16">
        <f t="shared" si="453"/>
        <v>4166.666666666667</v>
      </c>
      <c r="BA95" s="16">
        <f t="shared" si="454"/>
        <v>12500</v>
      </c>
      <c r="BB95" s="16">
        <f t="shared" si="455"/>
        <v>12500</v>
      </c>
      <c r="BD95" s="16">
        <f t="shared" si="456"/>
        <v>12500</v>
      </c>
      <c r="BE95" s="16">
        <f t="shared" si="457"/>
        <v>12500</v>
      </c>
      <c r="BF95" s="16">
        <f t="shared" si="458"/>
        <v>0</v>
      </c>
      <c r="BG95" s="16">
        <f t="shared" si="459"/>
        <v>0</v>
      </c>
      <c r="BH95" s="16">
        <f t="shared" si="460"/>
        <v>0</v>
      </c>
      <c r="BJ95" s="16">
        <f t="shared" si="461"/>
        <v>0</v>
      </c>
      <c r="BK95" s="16">
        <f>IF(BK$133&gt;=16,+$C95/4,0)</f>
        <v>0</v>
      </c>
      <c r="BL95" s="16">
        <f>IF(BL$133&gt;=16,+$C95/4,0)</f>
        <v>0</v>
      </c>
      <c r="BM95" s="16">
        <f>IF(BM$133&gt;=16,+$C95/4,0)</f>
        <v>0</v>
      </c>
      <c r="BN95" s="16">
        <f>IF(BN$133&gt;=16,+$C95/4,0)</f>
        <v>0</v>
      </c>
      <c r="BP95" s="16">
        <f t="shared" si="462"/>
        <v>50000</v>
      </c>
      <c r="BQ95" s="16">
        <f>IF(BQ$133&gt;=16,+$C95/4,0)</f>
        <v>12500</v>
      </c>
      <c r="BR95" s="16">
        <f>IF(BR$133&gt;=16,+$C95/4,0)</f>
        <v>12500</v>
      </c>
      <c r="BS95" s="16">
        <f>IF(BS$133&gt;=16,+$C95/4,0)</f>
        <v>12500</v>
      </c>
      <c r="BT95" s="16">
        <f>IF(BT$133&gt;=16,+$C95/4,0)</f>
        <v>12500</v>
      </c>
      <c r="BV95" s="16">
        <f t="shared" si="463"/>
        <v>50000</v>
      </c>
      <c r="BW95" s="16">
        <f>IF(BW$133&gt;=16,+$C95/4,0)</f>
        <v>12500</v>
      </c>
      <c r="BX95" s="16">
        <f>IF(BX$133&gt;=16,+$C95/4,0)</f>
        <v>12500</v>
      </c>
      <c r="BY95" s="16">
        <f>IF(BY$133&gt;=16,+$C95/4,0)</f>
        <v>12500</v>
      </c>
      <c r="BZ95" s="16">
        <f>IF(BZ$133&gt;=16,+$C95/4,0)</f>
        <v>12500</v>
      </c>
    </row>
    <row r="96" spans="2:78" s="16" customFormat="1" x14ac:dyDescent="0.25">
      <c r="B96" s="16" t="s">
        <v>582</v>
      </c>
      <c r="C96" s="16">
        <v>50000</v>
      </c>
      <c r="U96" s="16" t="str">
        <f>IF(Production!U$30&gt;=17,$C96/12,"")</f>
        <v/>
      </c>
      <c r="V96" s="16" t="str">
        <f>IF(Production!V$30&gt;=17,$C96/12,"")</f>
        <v/>
      </c>
      <c r="W96" s="16">
        <f>IF(Production!W$30&gt;=17,$C96/12,"")</f>
        <v>4166.666666666667</v>
      </c>
      <c r="X96" s="16">
        <f>IF(Production!X$30&gt;=17,$C96/12,"")</f>
        <v>4166.666666666667</v>
      </c>
      <c r="Y96" s="16">
        <f>IF(Production!Y$30&gt;=17,$C96/12,"")</f>
        <v>4166.666666666667</v>
      </c>
      <c r="Z96" s="16">
        <f>IF(Production!Z$30&gt;=17,$C96/12,"")</f>
        <v>4166.666666666667</v>
      </c>
      <c r="AA96" s="16">
        <f>IF(Production!AA$30&gt;=17,$C96/12,"")</f>
        <v>4166.666666666667</v>
      </c>
      <c r="AB96" s="16">
        <f>IF(Production!AB$30&gt;=17,$C96/12,"")</f>
        <v>4166.666666666667</v>
      </c>
      <c r="AC96" s="16">
        <f>IF(Production!AC$30&gt;=17,$C96/12,"")</f>
        <v>4166.666666666667</v>
      </c>
      <c r="AE96" s="16">
        <f>IF(Production!AE$30&gt;=17,$C96/12,"")</f>
        <v>4166.666666666667</v>
      </c>
      <c r="AF96" s="16">
        <f>IF(Production!AF$30&gt;=17,$C96/12,"")</f>
        <v>4166.666666666667</v>
      </c>
      <c r="AG96" s="16">
        <f>IF(Production!AG$30&gt;=17,$C96/12,"")</f>
        <v>4166.666666666667</v>
      </c>
      <c r="AH96" s="16" t="str">
        <f>IF(Production!AH$30&gt;=17,$C96/12,"")</f>
        <v/>
      </c>
      <c r="AI96" s="16" t="str">
        <f>IF(Production!AI$30&gt;=17,$C96/12,"")</f>
        <v/>
      </c>
      <c r="AJ96" s="16" t="str">
        <f>IF(Production!AJ$30&gt;=17,$C96/12,"")</f>
        <v/>
      </c>
      <c r="AK96" s="16" t="str">
        <f>IF(Production!AK$30&gt;=17,$C96/12,"")</f>
        <v/>
      </c>
      <c r="AL96" s="16" t="str">
        <f>IF(Production!AL$30&gt;=17,$C96/12,"")</f>
        <v/>
      </c>
      <c r="AM96" s="16" t="str">
        <f>IF(Production!AM$30&gt;=17,$C96/12,"")</f>
        <v/>
      </c>
      <c r="AN96" s="16" t="str">
        <f>IF(Production!AN$30&gt;=17,$C96/12,"")</f>
        <v/>
      </c>
      <c r="AO96" s="16" t="str">
        <f>IF(Production!AO$30&gt;=17,$C96/12,"")</f>
        <v/>
      </c>
      <c r="AP96" s="16" t="str">
        <f>IF(Production!AP$30&gt;=17,$C96/12,"")</f>
        <v/>
      </c>
      <c r="AR96" s="16">
        <f t="shared" si="446"/>
        <v>0</v>
      </c>
      <c r="AS96" s="16">
        <f t="shared" si="447"/>
        <v>0</v>
      </c>
      <c r="AT96" s="16">
        <f t="shared" si="448"/>
        <v>0</v>
      </c>
      <c r="AU96" s="16">
        <f t="shared" si="449"/>
        <v>0</v>
      </c>
      <c r="AV96" s="16">
        <f t="shared" si="450"/>
        <v>0</v>
      </c>
      <c r="AX96" s="16">
        <f t="shared" si="451"/>
        <v>29166.666666666672</v>
      </c>
      <c r="AY96" s="16">
        <f t="shared" si="452"/>
        <v>0</v>
      </c>
      <c r="AZ96" s="16">
        <f t="shared" si="453"/>
        <v>4166.666666666667</v>
      </c>
      <c r="BA96" s="16">
        <f t="shared" si="454"/>
        <v>12500</v>
      </c>
      <c r="BB96" s="16">
        <f t="shared" si="455"/>
        <v>12500</v>
      </c>
      <c r="BD96" s="16">
        <f t="shared" si="456"/>
        <v>12500</v>
      </c>
      <c r="BE96" s="16">
        <f t="shared" si="457"/>
        <v>12500</v>
      </c>
      <c r="BF96" s="16">
        <f t="shared" si="458"/>
        <v>0</v>
      </c>
      <c r="BG96" s="16">
        <f t="shared" si="459"/>
        <v>0</v>
      </c>
      <c r="BH96" s="16">
        <f t="shared" si="460"/>
        <v>0</v>
      </c>
      <c r="BJ96" s="16">
        <f t="shared" si="461"/>
        <v>0</v>
      </c>
      <c r="BK96" s="16">
        <f>IF(BK$133&gt;=17,+$C96/4,0)</f>
        <v>0</v>
      </c>
      <c r="BL96" s="16">
        <f>IF(BL$133&gt;=17,+$C96/4,0)</f>
        <v>0</v>
      </c>
      <c r="BM96" s="16">
        <f>IF(BM$133&gt;=17,+$C96/4,0)</f>
        <v>0</v>
      </c>
      <c r="BN96" s="16">
        <f>IF(BN$133&gt;=17,+$C96/4,0)</f>
        <v>0</v>
      </c>
      <c r="BP96" s="16">
        <f t="shared" si="462"/>
        <v>37500</v>
      </c>
      <c r="BQ96" s="16">
        <f>IF(BQ$133&gt;=17,+$C96/4,0)</f>
        <v>0</v>
      </c>
      <c r="BR96" s="16">
        <f>IF(BR$133&gt;=17,+$C96/4,0)</f>
        <v>12500</v>
      </c>
      <c r="BS96" s="16">
        <f>IF(BS$133&gt;=17,+$C96/4,0)</f>
        <v>12500</v>
      </c>
      <c r="BT96" s="16">
        <f>IF(BT$133&gt;=17,+$C96/4,0)</f>
        <v>12500</v>
      </c>
      <c r="BV96" s="16">
        <f t="shared" si="463"/>
        <v>50000</v>
      </c>
      <c r="BW96" s="16">
        <f>IF(BW$133&gt;=17,+$C96/4,0)</f>
        <v>12500</v>
      </c>
      <c r="BX96" s="16">
        <f>IF(BX$133&gt;=17,+$C96/4,0)</f>
        <v>12500</v>
      </c>
      <c r="BY96" s="16">
        <f>IF(BY$133&gt;=17,+$C96/4,0)</f>
        <v>12500</v>
      </c>
      <c r="BZ96" s="16">
        <f>IF(BZ$133&gt;=17,+$C96/4,0)</f>
        <v>12500</v>
      </c>
    </row>
    <row r="97" spans="2:78" s="16" customFormat="1" x14ac:dyDescent="0.25">
      <c r="B97" s="16" t="s">
        <v>583</v>
      </c>
      <c r="C97" s="16">
        <v>50000</v>
      </c>
      <c r="U97" s="16" t="str">
        <f>IF(Production!U$30&gt;=18,$C97/12,"")</f>
        <v/>
      </c>
      <c r="V97" s="16" t="str">
        <f>IF(Production!V$30&gt;=18,$C97/12,"")</f>
        <v/>
      </c>
      <c r="W97" s="16">
        <f>IF(Production!W$30&gt;=18,$C97/12,"")</f>
        <v>4166.666666666667</v>
      </c>
      <c r="X97" s="16">
        <f>IF(Production!X$30&gt;=18,$C97/12,"")</f>
        <v>4166.666666666667</v>
      </c>
      <c r="Y97" s="16">
        <f>IF(Production!Y$30&gt;=18,$C97/12,"")</f>
        <v>4166.666666666667</v>
      </c>
      <c r="Z97" s="16">
        <f>IF(Production!Z$30&gt;=18,$C97/12,"")</f>
        <v>4166.666666666667</v>
      </c>
      <c r="AA97" s="16">
        <f>IF(Production!AA$30&gt;=18,$C97/12,"")</f>
        <v>4166.666666666667</v>
      </c>
      <c r="AB97" s="16">
        <f>IF(Production!AB$30&gt;=18,$C97/12,"")</f>
        <v>4166.666666666667</v>
      </c>
      <c r="AC97" s="16">
        <f>IF(Production!AC$30&gt;=18,$C97/12,"")</f>
        <v>4166.666666666667</v>
      </c>
      <c r="AE97" s="16">
        <f>IF(Production!AE$30&gt;=18,$C97/12,"")</f>
        <v>4166.666666666667</v>
      </c>
      <c r="AF97" s="16">
        <f>IF(Production!AF$30&gt;=18,$C97/12,"")</f>
        <v>4166.666666666667</v>
      </c>
      <c r="AG97" s="16">
        <f>IF(Production!AG$30&gt;=18,$C97/12,"")</f>
        <v>4166.666666666667</v>
      </c>
      <c r="AH97" s="16" t="str">
        <f>IF(Production!AH$30&gt;=18,$C97/12,"")</f>
        <v/>
      </c>
      <c r="AI97" s="16" t="str">
        <f>IF(Production!AI$30&gt;=18,$C97/12,"")</f>
        <v/>
      </c>
      <c r="AJ97" s="16" t="str">
        <f>IF(Production!AJ$30&gt;=18,$C97/12,"")</f>
        <v/>
      </c>
      <c r="AK97" s="16" t="str">
        <f>IF(Production!AK$30&gt;=18,$C97/12,"")</f>
        <v/>
      </c>
      <c r="AL97" s="16" t="str">
        <f>IF(Production!AL$30&gt;=18,$C97/12,"")</f>
        <v/>
      </c>
      <c r="AM97" s="16" t="str">
        <f>IF(Production!AM$30&gt;=18,$C97/12,"")</f>
        <v/>
      </c>
      <c r="AN97" s="16" t="str">
        <f>IF(Production!AN$30&gt;=18,$C97/12,"")</f>
        <v/>
      </c>
      <c r="AO97" s="16" t="str">
        <f>IF(Production!AO$30&gt;=18,$C97/12,"")</f>
        <v/>
      </c>
      <c r="AP97" s="16" t="str">
        <f>IF(Production!AP$30&gt;=18,$C97/12,"")</f>
        <v/>
      </c>
      <c r="AR97" s="16">
        <f t="shared" si="446"/>
        <v>0</v>
      </c>
      <c r="AS97" s="16">
        <f t="shared" si="447"/>
        <v>0</v>
      </c>
      <c r="AT97" s="16">
        <f t="shared" si="448"/>
        <v>0</v>
      </c>
      <c r="AU97" s="16">
        <f t="shared" si="449"/>
        <v>0</v>
      </c>
      <c r="AV97" s="16">
        <f t="shared" si="450"/>
        <v>0</v>
      </c>
      <c r="AX97" s="16">
        <f t="shared" si="451"/>
        <v>29166.666666666672</v>
      </c>
      <c r="AY97" s="16">
        <f t="shared" si="452"/>
        <v>0</v>
      </c>
      <c r="AZ97" s="16">
        <f t="shared" si="453"/>
        <v>4166.666666666667</v>
      </c>
      <c r="BA97" s="16">
        <f t="shared" si="454"/>
        <v>12500</v>
      </c>
      <c r="BB97" s="16">
        <f t="shared" si="455"/>
        <v>12500</v>
      </c>
      <c r="BD97" s="16">
        <f t="shared" si="456"/>
        <v>12500</v>
      </c>
      <c r="BE97" s="16">
        <f t="shared" si="457"/>
        <v>12500</v>
      </c>
      <c r="BF97" s="16">
        <f t="shared" si="458"/>
        <v>0</v>
      </c>
      <c r="BG97" s="16">
        <f t="shared" si="459"/>
        <v>0</v>
      </c>
      <c r="BH97" s="16">
        <f t="shared" si="460"/>
        <v>0</v>
      </c>
      <c r="BJ97" s="16">
        <f t="shared" si="461"/>
        <v>0</v>
      </c>
      <c r="BK97" s="16">
        <f>IF(BK$133&gt;=18,+$C97/4,0)</f>
        <v>0</v>
      </c>
      <c r="BL97" s="16">
        <f>IF(BL$133&gt;=18,+$C97/4,0)</f>
        <v>0</v>
      </c>
      <c r="BM97" s="16">
        <f>IF(BM$133&gt;=18,+$C97/4,0)</f>
        <v>0</v>
      </c>
      <c r="BN97" s="16">
        <f>IF(BN$133&gt;=18,+$C97/4,0)</f>
        <v>0</v>
      </c>
      <c r="BP97" s="16">
        <f t="shared" si="462"/>
        <v>37500</v>
      </c>
      <c r="BQ97" s="16">
        <f>IF(BQ$133&gt;=18,+$C97/4,0)</f>
        <v>0</v>
      </c>
      <c r="BR97" s="16">
        <f>IF(BR$133&gt;=18,+$C97/4,0)</f>
        <v>12500</v>
      </c>
      <c r="BS97" s="16">
        <f>IF(BS$133&gt;=18,+$C97/4,0)</f>
        <v>12500</v>
      </c>
      <c r="BT97" s="16">
        <f>IF(BT$133&gt;=18,+$C97/4,0)</f>
        <v>12500</v>
      </c>
      <c r="BV97" s="16">
        <f t="shared" si="463"/>
        <v>50000</v>
      </c>
      <c r="BW97" s="16">
        <f>IF(BW$133&gt;=18,+$C97/4,0)</f>
        <v>12500</v>
      </c>
      <c r="BX97" s="16">
        <f>IF(BX$133&gt;=18,+$C97/4,0)</f>
        <v>12500</v>
      </c>
      <c r="BY97" s="16">
        <f>IF(BY$133&gt;=18,+$C97/4,0)</f>
        <v>12500</v>
      </c>
      <c r="BZ97" s="16">
        <f>IF(BZ$133&gt;=18,+$C97/4,0)</f>
        <v>12500</v>
      </c>
    </row>
    <row r="98" spans="2:78" s="16" customFormat="1" x14ac:dyDescent="0.25">
      <c r="B98" s="16" t="s">
        <v>584</v>
      </c>
      <c r="C98" s="16">
        <v>50000</v>
      </c>
      <c r="U98" s="16" t="str">
        <f>IF(Production!U$30&gt;=19,$C98/12,"")</f>
        <v/>
      </c>
      <c r="V98" s="16" t="str">
        <f>IF(Production!V$30&gt;=19,$C98/12,"")</f>
        <v/>
      </c>
      <c r="W98" s="16">
        <f>IF(Production!W$30&gt;=19,$C98/12,"")</f>
        <v>4166.666666666667</v>
      </c>
      <c r="X98" s="16">
        <f>IF(Production!X$30&gt;=19,$C98/12,"")</f>
        <v>4166.666666666667</v>
      </c>
      <c r="Y98" s="16">
        <f>IF(Production!Y$30&gt;=19,$C98/12,"")</f>
        <v>4166.666666666667</v>
      </c>
      <c r="Z98" s="16">
        <f>IF(Production!Z$30&gt;=19,$C98/12,"")</f>
        <v>4166.666666666667</v>
      </c>
      <c r="AA98" s="16">
        <f>IF(Production!AA$30&gt;=19,$C98/12,"")</f>
        <v>4166.666666666667</v>
      </c>
      <c r="AB98" s="16">
        <f>IF(Production!AB$30&gt;=19,$C98/12,"")</f>
        <v>4166.666666666667</v>
      </c>
      <c r="AC98" s="16">
        <f>IF(Production!AC$30&gt;=19,$C98/12,"")</f>
        <v>4166.666666666667</v>
      </c>
      <c r="AE98" s="16">
        <f>IF(Production!AE$30&gt;=19,$C98/12,"")</f>
        <v>4166.666666666667</v>
      </c>
      <c r="AF98" s="16">
        <f>IF(Production!AF$30&gt;=19,$C98/12,"")</f>
        <v>4166.666666666667</v>
      </c>
      <c r="AG98" s="16">
        <f>IF(Production!AG$30&gt;=19,$C98/12,"")</f>
        <v>4166.666666666667</v>
      </c>
      <c r="AH98" s="16" t="str">
        <f>IF(Production!AH$30&gt;=19,$C98/12,"")</f>
        <v/>
      </c>
      <c r="AI98" s="16" t="str">
        <f>IF(Production!AI$30&gt;=19,$C98/12,"")</f>
        <v/>
      </c>
      <c r="AJ98" s="16" t="str">
        <f>IF(Production!AJ$30&gt;=19,$C98/12,"")</f>
        <v/>
      </c>
      <c r="AK98" s="16" t="str">
        <f>IF(Production!AK$30&gt;=19,$C98/12,"")</f>
        <v/>
      </c>
      <c r="AL98" s="16" t="str">
        <f>IF(Production!AL$30&gt;=19,$C98/12,"")</f>
        <v/>
      </c>
      <c r="AM98" s="16" t="str">
        <f>IF(Production!AM$30&gt;=19,$C98/12,"")</f>
        <v/>
      </c>
      <c r="AN98" s="16" t="str">
        <f>IF(Production!AN$30&gt;=19,$C98/12,"")</f>
        <v/>
      </c>
      <c r="AO98" s="16" t="str">
        <f>IF(Production!AO$30&gt;=19,$C98/12,"")</f>
        <v/>
      </c>
      <c r="AP98" s="16" t="str">
        <f>IF(Production!AP$30&gt;=19,$C98/12,"")</f>
        <v/>
      </c>
      <c r="AR98" s="16">
        <f t="shared" si="446"/>
        <v>0</v>
      </c>
      <c r="AS98" s="16">
        <f t="shared" si="447"/>
        <v>0</v>
      </c>
      <c r="AT98" s="16">
        <f t="shared" si="448"/>
        <v>0</v>
      </c>
      <c r="AU98" s="16">
        <f t="shared" si="449"/>
        <v>0</v>
      </c>
      <c r="AV98" s="16">
        <f t="shared" si="450"/>
        <v>0</v>
      </c>
      <c r="AX98" s="16">
        <f t="shared" si="451"/>
        <v>29166.666666666672</v>
      </c>
      <c r="AY98" s="16">
        <f t="shared" si="452"/>
        <v>0</v>
      </c>
      <c r="AZ98" s="16">
        <f t="shared" si="453"/>
        <v>4166.666666666667</v>
      </c>
      <c r="BA98" s="16">
        <f t="shared" si="454"/>
        <v>12500</v>
      </c>
      <c r="BB98" s="16">
        <f t="shared" si="455"/>
        <v>12500</v>
      </c>
      <c r="BD98" s="16">
        <f t="shared" si="456"/>
        <v>12500</v>
      </c>
      <c r="BE98" s="16">
        <f t="shared" si="457"/>
        <v>12500</v>
      </c>
      <c r="BF98" s="16">
        <f t="shared" si="458"/>
        <v>0</v>
      </c>
      <c r="BG98" s="16">
        <f t="shared" si="459"/>
        <v>0</v>
      </c>
      <c r="BH98" s="16">
        <f t="shared" si="460"/>
        <v>0</v>
      </c>
      <c r="BJ98" s="16">
        <f t="shared" si="461"/>
        <v>0</v>
      </c>
      <c r="BK98" s="16">
        <f>IF(BK$133&gt;=19,+$C98/4,0)</f>
        <v>0</v>
      </c>
      <c r="BL98" s="16">
        <f>IF(BL$133&gt;=19,+$C98/4,0)</f>
        <v>0</v>
      </c>
      <c r="BM98" s="16">
        <f>IF(BM$133&gt;=19,+$C98/4,0)</f>
        <v>0</v>
      </c>
      <c r="BN98" s="16">
        <f>IF(BN$133&gt;=19,+$C98/4,0)</f>
        <v>0</v>
      </c>
      <c r="BP98" s="16">
        <f t="shared" si="462"/>
        <v>37500</v>
      </c>
      <c r="BQ98" s="16">
        <f>IF(BQ$133&gt;=19,+$C98/4,0)</f>
        <v>0</v>
      </c>
      <c r="BR98" s="16">
        <f>IF(BR$133&gt;=19,+$C98/4,0)</f>
        <v>12500</v>
      </c>
      <c r="BS98" s="16">
        <f>IF(BS$133&gt;=19,+$C98/4,0)</f>
        <v>12500</v>
      </c>
      <c r="BT98" s="16">
        <f>IF(BT$133&gt;=19,+$C98/4,0)</f>
        <v>12500</v>
      </c>
      <c r="BV98" s="16">
        <f t="shared" si="463"/>
        <v>50000</v>
      </c>
      <c r="BW98" s="16">
        <f>IF(BW$133&gt;=19,+$C98/4,0)</f>
        <v>12500</v>
      </c>
      <c r="BX98" s="16">
        <f>IF(BX$133&gt;=19,+$C98/4,0)</f>
        <v>12500</v>
      </c>
      <c r="BY98" s="16">
        <f>IF(BY$133&gt;=19,+$C98/4,0)</f>
        <v>12500</v>
      </c>
      <c r="BZ98" s="16">
        <f>IF(BZ$133&gt;=19,+$C98/4,0)</f>
        <v>12500</v>
      </c>
    </row>
    <row r="99" spans="2:78" s="16" customFormat="1" x14ac:dyDescent="0.25">
      <c r="B99" s="16" t="s">
        <v>585</v>
      </c>
      <c r="C99" s="16">
        <v>50000</v>
      </c>
      <c r="U99" s="16" t="str">
        <f>IF(Production!U$30&gt;=20,$C99/12,"")</f>
        <v/>
      </c>
      <c r="V99" s="16" t="str">
        <f>IF(Production!V$30&gt;=20,$C99/12,"")</f>
        <v/>
      </c>
      <c r="W99" s="16">
        <f>IF(Production!W$30&gt;=20,$C99/12,"")</f>
        <v>4166.666666666667</v>
      </c>
      <c r="X99" s="16">
        <f>IF(Production!X$30&gt;=20,$C99/12,"")</f>
        <v>4166.666666666667</v>
      </c>
      <c r="Y99" s="16">
        <f>IF(Production!Y$30&gt;=20,$C99/12,"")</f>
        <v>4166.666666666667</v>
      </c>
      <c r="Z99" s="16">
        <f>IF(Production!Z$30&gt;=20,$C99/12,"")</f>
        <v>4166.666666666667</v>
      </c>
      <c r="AA99" s="16">
        <f>IF(Production!AA$30&gt;=20,$C99/12,"")</f>
        <v>4166.666666666667</v>
      </c>
      <c r="AB99" s="16">
        <f>IF(Production!AB$30&gt;=20,$C99/12,"")</f>
        <v>4166.666666666667</v>
      </c>
      <c r="AC99" s="16">
        <f>IF(Production!AC$30&gt;=20,$C99/12,"")</f>
        <v>4166.666666666667</v>
      </c>
      <c r="AE99" s="16">
        <f>IF(Production!AE$30&gt;=20,$C99/12,"")</f>
        <v>4166.666666666667</v>
      </c>
      <c r="AF99" s="16">
        <f>IF(Production!AF$30&gt;=20,$C99/12,"")</f>
        <v>4166.666666666667</v>
      </c>
      <c r="AG99" s="16">
        <f>IF(Production!AG$30&gt;=20,$C99/12,"")</f>
        <v>4166.666666666667</v>
      </c>
      <c r="AH99" s="16" t="str">
        <f>IF(Production!AH$30&gt;=20,$C99/12,"")</f>
        <v/>
      </c>
      <c r="AI99" s="16" t="str">
        <f>IF(Production!AI$30&gt;=20,$C99/12,"")</f>
        <v/>
      </c>
      <c r="AJ99" s="16" t="str">
        <f>IF(Production!AJ$30&gt;=20,$C99/12,"")</f>
        <v/>
      </c>
      <c r="AK99" s="16" t="str">
        <f>IF(Production!AK$30&gt;=20,$C99/12,"")</f>
        <v/>
      </c>
      <c r="AL99" s="16" t="str">
        <f>IF(Production!AL$30&gt;=20,$C99/12,"")</f>
        <v/>
      </c>
      <c r="AM99" s="16" t="str">
        <f>IF(Production!AM$30&gt;=20,$C99/12,"")</f>
        <v/>
      </c>
      <c r="AN99" s="16" t="str">
        <f>IF(Production!AN$30&gt;=20,$C99/12,"")</f>
        <v/>
      </c>
      <c r="AO99" s="16" t="str">
        <f>IF(Production!AO$30&gt;=20,$C99/12,"")</f>
        <v/>
      </c>
      <c r="AP99" s="16" t="str">
        <f>IF(Production!AP$30&gt;=20,$C99/12,"")</f>
        <v/>
      </c>
      <c r="AR99" s="16">
        <f t="shared" si="446"/>
        <v>0</v>
      </c>
      <c r="AS99" s="16">
        <f t="shared" si="447"/>
        <v>0</v>
      </c>
      <c r="AT99" s="16">
        <f t="shared" si="448"/>
        <v>0</v>
      </c>
      <c r="AU99" s="16">
        <f t="shared" si="449"/>
        <v>0</v>
      </c>
      <c r="AV99" s="16">
        <f t="shared" si="450"/>
        <v>0</v>
      </c>
      <c r="AX99" s="16">
        <f t="shared" si="451"/>
        <v>29166.666666666672</v>
      </c>
      <c r="AY99" s="16">
        <f t="shared" si="452"/>
        <v>0</v>
      </c>
      <c r="AZ99" s="16">
        <f t="shared" si="453"/>
        <v>4166.666666666667</v>
      </c>
      <c r="BA99" s="16">
        <f t="shared" si="454"/>
        <v>12500</v>
      </c>
      <c r="BB99" s="16">
        <f t="shared" si="455"/>
        <v>12500</v>
      </c>
      <c r="BD99" s="16">
        <f t="shared" si="456"/>
        <v>12500</v>
      </c>
      <c r="BE99" s="16">
        <f t="shared" si="457"/>
        <v>12500</v>
      </c>
      <c r="BF99" s="16">
        <f t="shared" si="458"/>
        <v>0</v>
      </c>
      <c r="BG99" s="16">
        <f t="shared" si="459"/>
        <v>0</v>
      </c>
      <c r="BH99" s="16">
        <f t="shared" si="460"/>
        <v>0</v>
      </c>
      <c r="BJ99" s="16">
        <f t="shared" si="461"/>
        <v>0</v>
      </c>
      <c r="BK99" s="16">
        <f>IF(BK$133&gt;=20,+$C99/4,0)</f>
        <v>0</v>
      </c>
      <c r="BL99" s="16">
        <f>IF(BL$133&gt;=20,+$C99/4,0)</f>
        <v>0</v>
      </c>
      <c r="BM99" s="16">
        <f>IF(BM$133&gt;=20,+$C99/4,0)</f>
        <v>0</v>
      </c>
      <c r="BN99" s="16">
        <f>IF(BN$133&gt;=20,+$C99/4,0)</f>
        <v>0</v>
      </c>
      <c r="BP99" s="16">
        <f t="shared" si="462"/>
        <v>37500</v>
      </c>
      <c r="BQ99" s="16">
        <f>IF(BQ$133&gt;=20,+$C99/4,0)</f>
        <v>0</v>
      </c>
      <c r="BR99" s="16">
        <f>IF(BR$133&gt;=20,+$C99/4,0)</f>
        <v>12500</v>
      </c>
      <c r="BS99" s="16">
        <f>IF(BS$133&gt;=20,+$C99/4,0)</f>
        <v>12500</v>
      </c>
      <c r="BT99" s="16">
        <f>IF(BT$133&gt;=20,+$C99/4,0)</f>
        <v>12500</v>
      </c>
      <c r="BV99" s="16">
        <f t="shared" si="463"/>
        <v>50000</v>
      </c>
      <c r="BW99" s="16">
        <f>IF(BW$133&gt;=20,+$C99/4,0)</f>
        <v>12500</v>
      </c>
      <c r="BX99" s="16">
        <f>IF(BX$133&gt;=20,+$C99/4,0)</f>
        <v>12500</v>
      </c>
      <c r="BY99" s="16">
        <f>IF(BY$133&gt;=20,+$C99/4,0)</f>
        <v>12500</v>
      </c>
      <c r="BZ99" s="16">
        <f>IF(BZ$133&gt;=20,+$C99/4,0)</f>
        <v>12500</v>
      </c>
    </row>
    <row r="100" spans="2:78" s="16" customFormat="1" x14ac:dyDescent="0.25">
      <c r="B100" s="16" t="s">
        <v>586</v>
      </c>
      <c r="C100" s="16">
        <v>50000</v>
      </c>
      <c r="U100" s="16" t="str">
        <f>IF(Production!U$30&gt;=21,$C100/12,"")</f>
        <v/>
      </c>
      <c r="V100" s="16" t="str">
        <f>IF(Production!V$30&gt;=21,$C100/12,"")</f>
        <v/>
      </c>
      <c r="W100" s="16">
        <f>IF(Production!W$30&gt;=21,$C100/12,"")</f>
        <v>4166.666666666667</v>
      </c>
      <c r="X100" s="16">
        <f>IF(Production!X$30&gt;=21,$C100/12,"")</f>
        <v>4166.666666666667</v>
      </c>
      <c r="Y100" s="16">
        <f>IF(Production!Y$30&gt;=21,$C100/12,"")</f>
        <v>4166.666666666667</v>
      </c>
      <c r="Z100" s="16">
        <f>IF(Production!Z$30&gt;=21,$C100/12,"")</f>
        <v>4166.666666666667</v>
      </c>
      <c r="AA100" s="16">
        <f>IF(Production!AA$30&gt;=21,$C100/12,"")</f>
        <v>4166.666666666667</v>
      </c>
      <c r="AB100" s="16">
        <f>IF(Production!AB$30&gt;=21,$C100/12,"")</f>
        <v>4166.666666666667</v>
      </c>
      <c r="AC100" s="16">
        <f>IF(Production!AC$30&gt;=21,$C100/12,"")</f>
        <v>4166.666666666667</v>
      </c>
      <c r="AE100" s="16">
        <f>IF(Production!AE$30&gt;=21,$C100/12,"")</f>
        <v>4166.666666666667</v>
      </c>
      <c r="AF100" s="16">
        <f>IF(Production!AF$30&gt;=21,$C100/12,"")</f>
        <v>4166.666666666667</v>
      </c>
      <c r="AG100" s="16">
        <f>IF(Production!AG$30&gt;=21,$C100/12,"")</f>
        <v>4166.666666666667</v>
      </c>
      <c r="AH100" s="16" t="str">
        <f>IF(Production!AH$30&gt;=21,$C100/12,"")</f>
        <v/>
      </c>
      <c r="AI100" s="16" t="str">
        <f>IF(Production!AI$30&gt;=21,$C100/12,"")</f>
        <v/>
      </c>
      <c r="AJ100" s="16" t="str">
        <f>IF(Production!AJ$30&gt;=21,$C100/12,"")</f>
        <v/>
      </c>
      <c r="AK100" s="16" t="str">
        <f>IF(Production!AK$30&gt;=21,$C100/12,"")</f>
        <v/>
      </c>
      <c r="AL100" s="16" t="str">
        <f>IF(Production!AL$30&gt;=21,$C100/12,"")</f>
        <v/>
      </c>
      <c r="AM100" s="16" t="str">
        <f>IF(Production!AM$30&gt;=21,$C100/12,"")</f>
        <v/>
      </c>
      <c r="AN100" s="16" t="str">
        <f>IF(Production!AN$30&gt;=21,$C100/12,"")</f>
        <v/>
      </c>
      <c r="AO100" s="16" t="str">
        <f>IF(Production!AO$30&gt;=21,$C100/12,"")</f>
        <v/>
      </c>
      <c r="AP100" s="16" t="str">
        <f>IF(Production!AP$30&gt;=21,$C100/12,"")</f>
        <v/>
      </c>
      <c r="AR100" s="16">
        <f t="shared" si="446"/>
        <v>0</v>
      </c>
      <c r="AS100" s="16">
        <f t="shared" si="447"/>
        <v>0</v>
      </c>
      <c r="AT100" s="16">
        <f t="shared" si="448"/>
        <v>0</v>
      </c>
      <c r="AU100" s="16">
        <f t="shared" si="449"/>
        <v>0</v>
      </c>
      <c r="AV100" s="16">
        <f t="shared" si="450"/>
        <v>0</v>
      </c>
      <c r="AX100" s="16">
        <f t="shared" si="451"/>
        <v>29166.666666666672</v>
      </c>
      <c r="AY100" s="16">
        <f t="shared" si="452"/>
        <v>0</v>
      </c>
      <c r="AZ100" s="16">
        <f t="shared" si="453"/>
        <v>4166.666666666667</v>
      </c>
      <c r="BA100" s="16">
        <f t="shared" si="454"/>
        <v>12500</v>
      </c>
      <c r="BB100" s="16">
        <f t="shared" si="455"/>
        <v>12500</v>
      </c>
      <c r="BD100" s="16">
        <f t="shared" si="456"/>
        <v>12500</v>
      </c>
      <c r="BE100" s="16">
        <f t="shared" si="457"/>
        <v>12500</v>
      </c>
      <c r="BF100" s="16">
        <f t="shared" si="458"/>
        <v>0</v>
      </c>
      <c r="BG100" s="16">
        <f t="shared" si="459"/>
        <v>0</v>
      </c>
      <c r="BH100" s="16">
        <f t="shared" si="460"/>
        <v>0</v>
      </c>
      <c r="BJ100" s="16">
        <f t="shared" si="461"/>
        <v>0</v>
      </c>
      <c r="BK100" s="16">
        <f>IF(BK$133&gt;=21,+$C100/4,0)</f>
        <v>0</v>
      </c>
      <c r="BL100" s="16">
        <f>IF(BL$133&gt;=21,+$C100/4,0)</f>
        <v>0</v>
      </c>
      <c r="BM100" s="16">
        <f>IF(BM$133&gt;=21,+$C100/4,0)</f>
        <v>0</v>
      </c>
      <c r="BN100" s="16">
        <f>IF(BN$133&gt;=21,+$C100/4,0)</f>
        <v>0</v>
      </c>
      <c r="BP100" s="16">
        <f t="shared" si="462"/>
        <v>37500</v>
      </c>
      <c r="BQ100" s="16">
        <f>IF(BQ$133&gt;=21,+$C100/4,0)</f>
        <v>0</v>
      </c>
      <c r="BR100" s="16">
        <f>IF(BR$133&gt;=21,+$C100/4,0)</f>
        <v>12500</v>
      </c>
      <c r="BS100" s="16">
        <f>IF(BS$133&gt;=21,+$C100/4,0)</f>
        <v>12500</v>
      </c>
      <c r="BT100" s="16">
        <f>IF(BT$133&gt;=21,+$C100/4,0)</f>
        <v>12500</v>
      </c>
      <c r="BV100" s="16">
        <f t="shared" si="463"/>
        <v>50000</v>
      </c>
      <c r="BW100" s="16">
        <f>IF(BW$133&gt;=21,+$C100/4,0)</f>
        <v>12500</v>
      </c>
      <c r="BX100" s="16">
        <f>IF(BX$133&gt;=21,+$C100/4,0)</f>
        <v>12500</v>
      </c>
      <c r="BY100" s="16">
        <f>IF(BY$133&gt;=21,+$C100/4,0)</f>
        <v>12500</v>
      </c>
      <c r="BZ100" s="16">
        <f>IF(BZ$133&gt;=21,+$C100/4,0)</f>
        <v>12500</v>
      </c>
    </row>
    <row r="101" spans="2:78" s="16" customFormat="1" x14ac:dyDescent="0.25">
      <c r="B101" s="16" t="s">
        <v>587</v>
      </c>
      <c r="C101" s="16">
        <v>50000</v>
      </c>
      <c r="U101" s="16" t="str">
        <f>IF(Production!U$30&gt;=22,$C101/12,"")</f>
        <v/>
      </c>
      <c r="V101" s="16" t="str">
        <f>IF(Production!V$30&gt;=22,$C101/12,"")</f>
        <v/>
      </c>
      <c r="W101" s="16">
        <f>IF(Production!W$30&gt;=22,$C101/12,"")</f>
        <v>4166.666666666667</v>
      </c>
      <c r="X101" s="16">
        <f>IF(Production!X$30&gt;=22,$C101/12,"")</f>
        <v>4166.666666666667</v>
      </c>
      <c r="Y101" s="16">
        <f>IF(Production!Y$30&gt;=22,$C101/12,"")</f>
        <v>4166.666666666667</v>
      </c>
      <c r="Z101" s="16">
        <f>IF(Production!Z$30&gt;=22,$C101/12,"")</f>
        <v>4166.666666666667</v>
      </c>
      <c r="AA101" s="16">
        <f>IF(Production!AA$30&gt;=22,$C101/12,"")</f>
        <v>4166.666666666667</v>
      </c>
      <c r="AB101" s="16">
        <f>IF(Production!AB$30&gt;=22,$C101/12,"")</f>
        <v>4166.666666666667</v>
      </c>
      <c r="AC101" s="16">
        <f>IF(Production!AC$30&gt;=22,$C101/12,"")</f>
        <v>4166.666666666667</v>
      </c>
      <c r="AE101" s="16">
        <f>IF(Production!AE$30&gt;=22,$C101/12,"")</f>
        <v>4166.666666666667</v>
      </c>
      <c r="AF101" s="16">
        <f>IF(Production!AF$30&gt;=22,$C101/12,"")</f>
        <v>4166.666666666667</v>
      </c>
      <c r="AG101" s="16">
        <f>IF(Production!AG$30&gt;=22,$C101/12,"")</f>
        <v>4166.666666666667</v>
      </c>
      <c r="AH101" s="16" t="str">
        <f>IF(Production!AH$30&gt;=22,$C101/12,"")</f>
        <v/>
      </c>
      <c r="AI101" s="16" t="str">
        <f>IF(Production!AI$30&gt;=22,$C101/12,"")</f>
        <v/>
      </c>
      <c r="AJ101" s="16" t="str">
        <f>IF(Production!AJ$30&gt;=22,$C101/12,"")</f>
        <v/>
      </c>
      <c r="AK101" s="16" t="str">
        <f>IF(Production!AK$30&gt;=22,$C101/12,"")</f>
        <v/>
      </c>
      <c r="AL101" s="16" t="str">
        <f>IF(Production!AL$30&gt;=22,$C101/12,"")</f>
        <v/>
      </c>
      <c r="AM101" s="16" t="str">
        <f>IF(Production!AM$30&gt;=22,$C101/12,"")</f>
        <v/>
      </c>
      <c r="AN101" s="16" t="str">
        <f>IF(Production!AN$30&gt;=22,$C101/12,"")</f>
        <v/>
      </c>
      <c r="AO101" s="16" t="str">
        <f>IF(Production!AO$30&gt;=22,$C101/12,"")</f>
        <v/>
      </c>
      <c r="AP101" s="16" t="str">
        <f>IF(Production!AP$30&gt;=22,$C101/12,"")</f>
        <v/>
      </c>
      <c r="AR101" s="16">
        <f t="shared" si="446"/>
        <v>0</v>
      </c>
      <c r="AS101" s="16">
        <f t="shared" si="447"/>
        <v>0</v>
      </c>
      <c r="AT101" s="16">
        <f t="shared" si="448"/>
        <v>0</v>
      </c>
      <c r="AU101" s="16">
        <f t="shared" si="449"/>
        <v>0</v>
      </c>
      <c r="AV101" s="16">
        <f t="shared" si="450"/>
        <v>0</v>
      </c>
      <c r="AX101" s="16">
        <f t="shared" si="451"/>
        <v>29166.666666666672</v>
      </c>
      <c r="AY101" s="16">
        <f t="shared" si="452"/>
        <v>0</v>
      </c>
      <c r="AZ101" s="16">
        <f t="shared" si="453"/>
        <v>4166.666666666667</v>
      </c>
      <c r="BA101" s="16">
        <f t="shared" si="454"/>
        <v>12500</v>
      </c>
      <c r="BB101" s="16">
        <f t="shared" si="455"/>
        <v>12500</v>
      </c>
      <c r="BD101" s="16">
        <f t="shared" si="456"/>
        <v>12500</v>
      </c>
      <c r="BE101" s="16">
        <f t="shared" si="457"/>
        <v>12500</v>
      </c>
      <c r="BF101" s="16">
        <f t="shared" si="458"/>
        <v>0</v>
      </c>
      <c r="BG101" s="16">
        <f t="shared" si="459"/>
        <v>0</v>
      </c>
      <c r="BH101" s="16">
        <f t="shared" si="460"/>
        <v>0</v>
      </c>
      <c r="BJ101" s="16">
        <f t="shared" si="461"/>
        <v>0</v>
      </c>
      <c r="BK101" s="16">
        <f>IF(BK$133&gt;=22,+$C101/4,0)</f>
        <v>0</v>
      </c>
      <c r="BL101" s="16">
        <f>IF(BL$133&gt;=22,+$C101/4,0)</f>
        <v>0</v>
      </c>
      <c r="BM101" s="16">
        <f>IF(BM$133&gt;=22,+$C101/4,0)</f>
        <v>0</v>
      </c>
      <c r="BN101" s="16">
        <f>IF(BN$133&gt;=22,+$C101/4,0)</f>
        <v>0</v>
      </c>
      <c r="BP101" s="16">
        <f t="shared" si="462"/>
        <v>37500</v>
      </c>
      <c r="BQ101" s="16">
        <f>IF(BQ$133&gt;=22,+$C101/4,0)</f>
        <v>0</v>
      </c>
      <c r="BR101" s="16">
        <f>IF(BR$133&gt;=22,+$C101/4,0)</f>
        <v>12500</v>
      </c>
      <c r="BS101" s="16">
        <f>IF(BS$133&gt;=22,+$C101/4,0)</f>
        <v>12500</v>
      </c>
      <c r="BT101" s="16">
        <f>IF(BT$133&gt;=22,+$C101/4,0)</f>
        <v>12500</v>
      </c>
      <c r="BV101" s="16">
        <f t="shared" si="463"/>
        <v>50000</v>
      </c>
      <c r="BW101" s="16">
        <f>IF(BW$133&gt;=22,+$C101/4,0)</f>
        <v>12500</v>
      </c>
      <c r="BX101" s="16">
        <f>IF(BX$133&gt;=22,+$C101/4,0)</f>
        <v>12500</v>
      </c>
      <c r="BY101" s="16">
        <f>IF(BY$133&gt;=22,+$C101/4,0)</f>
        <v>12500</v>
      </c>
      <c r="BZ101" s="16">
        <f>IF(BZ$133&gt;=22,+$C101/4,0)</f>
        <v>12500</v>
      </c>
    </row>
    <row r="102" spans="2:78" s="16" customFormat="1" x14ac:dyDescent="0.25">
      <c r="B102" s="16" t="s">
        <v>588</v>
      </c>
      <c r="C102" s="16">
        <v>50000</v>
      </c>
      <c r="U102" s="16" t="str">
        <f>IF(Production!U$30&gt;=23,$C102/12,"")</f>
        <v/>
      </c>
      <c r="V102" s="16" t="str">
        <f>IF(Production!V$30&gt;=23,$C102/12,"")</f>
        <v/>
      </c>
      <c r="W102" s="16" t="str">
        <f>IF(Production!W$30&gt;=23,$C102/12,"")</f>
        <v/>
      </c>
      <c r="X102" s="16">
        <f>IF(Production!X$30&gt;=23,$C102/12,"")</f>
        <v>4166.666666666667</v>
      </c>
      <c r="Y102" s="16">
        <f>IF(Production!Y$30&gt;=23,$C102/12,"")</f>
        <v>4166.666666666667</v>
      </c>
      <c r="Z102" s="16">
        <f>IF(Production!Z$30&gt;=23,$C102/12,"")</f>
        <v>4166.666666666667</v>
      </c>
      <c r="AA102" s="16">
        <f>IF(Production!AA$30&gt;=23,$C102/12,"")</f>
        <v>4166.666666666667</v>
      </c>
      <c r="AB102" s="16">
        <f>IF(Production!AB$30&gt;=23,$C102/12,"")</f>
        <v>4166.666666666667</v>
      </c>
      <c r="AC102" s="16">
        <f>IF(Production!AC$30&gt;=23,$C102/12,"")</f>
        <v>4166.666666666667</v>
      </c>
      <c r="AE102" s="16">
        <f>IF(Production!AE$30&gt;=23,$C102/12,"")</f>
        <v>4166.666666666667</v>
      </c>
      <c r="AF102" s="16">
        <f>IF(Production!AF$30&gt;=23,$C102/12,"")</f>
        <v>4166.666666666667</v>
      </c>
      <c r="AG102" s="16">
        <f>IF(Production!AG$30&gt;=23,$C102/12,"")</f>
        <v>4166.666666666667</v>
      </c>
      <c r="AH102" s="16" t="str">
        <f>IF(Production!AH$30&gt;=23,$C102/12,"")</f>
        <v/>
      </c>
      <c r="AI102" s="16" t="str">
        <f>IF(Production!AI$30&gt;=23,$C102/12,"")</f>
        <v/>
      </c>
      <c r="AJ102" s="16" t="str">
        <f>IF(Production!AJ$30&gt;=23,$C102/12,"")</f>
        <v/>
      </c>
      <c r="AK102" s="16" t="str">
        <f>IF(Production!AK$30&gt;=23,$C102/12,"")</f>
        <v/>
      </c>
      <c r="AL102" s="16" t="str">
        <f>IF(Production!AL$30&gt;=23,$C102/12,"")</f>
        <v/>
      </c>
      <c r="AM102" s="16" t="str">
        <f>IF(Production!AM$30&gt;=23,$C102/12,"")</f>
        <v/>
      </c>
      <c r="AN102" s="16" t="str">
        <f>IF(Production!AN$30&gt;=23,$C102/12,"")</f>
        <v/>
      </c>
      <c r="AO102" s="16" t="str">
        <f>IF(Production!AO$30&gt;=23,$C102/12,"")</f>
        <v/>
      </c>
      <c r="AP102" s="16" t="str">
        <f>IF(Production!AP$30&gt;=23,$C102/12,"")</f>
        <v/>
      </c>
      <c r="AR102" s="16">
        <f t="shared" si="446"/>
        <v>0</v>
      </c>
      <c r="AS102" s="16">
        <f t="shared" si="447"/>
        <v>0</v>
      </c>
      <c r="AT102" s="16">
        <f t="shared" si="448"/>
        <v>0</v>
      </c>
      <c r="AU102" s="16">
        <f t="shared" si="449"/>
        <v>0</v>
      </c>
      <c r="AV102" s="16">
        <f t="shared" si="450"/>
        <v>0</v>
      </c>
      <c r="AX102" s="16">
        <f t="shared" si="451"/>
        <v>25000.000000000004</v>
      </c>
      <c r="AY102" s="16">
        <f t="shared" si="452"/>
        <v>0</v>
      </c>
      <c r="AZ102" s="16">
        <f t="shared" si="453"/>
        <v>0</v>
      </c>
      <c r="BA102" s="16">
        <f t="shared" si="454"/>
        <v>12500</v>
      </c>
      <c r="BB102" s="16">
        <f t="shared" si="455"/>
        <v>12500</v>
      </c>
      <c r="BD102" s="16">
        <f t="shared" si="456"/>
        <v>12500</v>
      </c>
      <c r="BE102" s="16">
        <f t="shared" si="457"/>
        <v>12500</v>
      </c>
      <c r="BF102" s="16">
        <f t="shared" si="458"/>
        <v>0</v>
      </c>
      <c r="BG102" s="16">
        <f t="shared" si="459"/>
        <v>0</v>
      </c>
      <c r="BH102" s="16">
        <f t="shared" si="460"/>
        <v>0</v>
      </c>
      <c r="BJ102" s="16">
        <f t="shared" si="461"/>
        <v>0</v>
      </c>
      <c r="BK102" s="16">
        <f>IF(BK$133&gt;=23,+$C102/4,0)</f>
        <v>0</v>
      </c>
      <c r="BL102" s="16">
        <f>IF(BL$133&gt;=23,+$C102/4,0)</f>
        <v>0</v>
      </c>
      <c r="BM102" s="16">
        <f>IF(BM$133&gt;=23,+$C102/4,0)</f>
        <v>0</v>
      </c>
      <c r="BN102" s="16">
        <f>IF(BN$133&gt;=23,+$C102/4,0)</f>
        <v>0</v>
      </c>
      <c r="BP102" s="16">
        <f t="shared" si="462"/>
        <v>25000</v>
      </c>
      <c r="BQ102" s="16">
        <f>IF(BQ$133&gt;=23,+$C102/4,0)</f>
        <v>0</v>
      </c>
      <c r="BR102" s="16">
        <f>IF(BR$133&gt;=23,+$C102/4,0)</f>
        <v>0</v>
      </c>
      <c r="BS102" s="16">
        <f>IF(BS$133&gt;=23,+$C102/4,0)</f>
        <v>12500</v>
      </c>
      <c r="BT102" s="16">
        <f>IF(BT$133&gt;=23,+$C102/4,0)</f>
        <v>12500</v>
      </c>
      <c r="BV102" s="16">
        <f t="shared" si="463"/>
        <v>50000</v>
      </c>
      <c r="BW102" s="16">
        <f>IF(BW$133&gt;=23,+$C102/4,0)</f>
        <v>12500</v>
      </c>
      <c r="BX102" s="16">
        <f>IF(BX$133&gt;=23,+$C102/4,0)</f>
        <v>12500</v>
      </c>
      <c r="BY102" s="16">
        <f>IF(BY$133&gt;=23,+$C102/4,0)</f>
        <v>12500</v>
      </c>
      <c r="BZ102" s="16">
        <f>IF(BZ$133&gt;=23,+$C102/4,0)</f>
        <v>12500</v>
      </c>
    </row>
    <row r="103" spans="2:78" s="16" customFormat="1" x14ac:dyDescent="0.25">
      <c r="B103" s="16" t="s">
        <v>589</v>
      </c>
      <c r="C103" s="16">
        <v>50000</v>
      </c>
      <c r="U103" s="16" t="str">
        <f>IF(Production!U$30&gt;=24,$C103/12,"")</f>
        <v/>
      </c>
      <c r="V103" s="16" t="str">
        <f>IF(Production!V$30&gt;=24,$C103/12,"")</f>
        <v/>
      </c>
      <c r="W103" s="16" t="str">
        <f>IF(Production!W$30&gt;=24,$C103/12,"")</f>
        <v/>
      </c>
      <c r="X103" s="16">
        <f>IF(Production!X$30&gt;=24,$C103/12,"")</f>
        <v>4166.666666666667</v>
      </c>
      <c r="Y103" s="16">
        <f>IF(Production!Y$30&gt;=24,$C103/12,"")</f>
        <v>4166.666666666667</v>
      </c>
      <c r="Z103" s="16">
        <f>IF(Production!Z$30&gt;=24,$C103/12,"")</f>
        <v>4166.666666666667</v>
      </c>
      <c r="AA103" s="16">
        <f>IF(Production!AA$30&gt;=24,$C103/12,"")</f>
        <v>4166.666666666667</v>
      </c>
      <c r="AB103" s="16">
        <f>IF(Production!AB$30&gt;=24,$C103/12,"")</f>
        <v>4166.666666666667</v>
      </c>
      <c r="AC103" s="16">
        <f>IF(Production!AC$30&gt;=24,$C103/12,"")</f>
        <v>4166.666666666667</v>
      </c>
      <c r="AE103" s="16">
        <f>IF(Production!AE$30&gt;=24,$C103/12,"")</f>
        <v>4166.666666666667</v>
      </c>
      <c r="AF103" s="16">
        <f>IF(Production!AF$30&gt;=24,$C103/12,"")</f>
        <v>4166.666666666667</v>
      </c>
      <c r="AG103" s="16">
        <f>IF(Production!AG$30&gt;=24,$C103/12,"")</f>
        <v>4166.666666666667</v>
      </c>
      <c r="AH103" s="16" t="str">
        <f>IF(Production!AH$30&gt;=24,$C103/12,"")</f>
        <v/>
      </c>
      <c r="AI103" s="16" t="str">
        <f>IF(Production!AI$30&gt;=24,$C103/12,"")</f>
        <v/>
      </c>
      <c r="AJ103" s="16" t="str">
        <f>IF(Production!AJ$30&gt;=24,$C103/12,"")</f>
        <v/>
      </c>
      <c r="AK103" s="16" t="str">
        <f>IF(Production!AK$30&gt;=24,$C103/12,"")</f>
        <v/>
      </c>
      <c r="AL103" s="16" t="str">
        <f>IF(Production!AL$30&gt;=24,$C103/12,"")</f>
        <v/>
      </c>
      <c r="AM103" s="16" t="str">
        <f>IF(Production!AM$30&gt;=24,$C103/12,"")</f>
        <v/>
      </c>
      <c r="AN103" s="16" t="str">
        <f>IF(Production!AN$30&gt;=24,$C103/12,"")</f>
        <v/>
      </c>
      <c r="AO103" s="16" t="str">
        <f>IF(Production!AO$30&gt;=24,$C103/12,"")</f>
        <v/>
      </c>
      <c r="AP103" s="16" t="str">
        <f>IF(Production!AP$30&gt;=24,$C103/12,"")</f>
        <v/>
      </c>
      <c r="AR103" s="16">
        <f t="shared" ref="AR103:AR129" si="464">SUM(E103:P103)</f>
        <v>0</v>
      </c>
      <c r="AS103" s="16">
        <f t="shared" ref="AS103:AS105" si="465">SUM(E103:G103)</f>
        <v>0</v>
      </c>
      <c r="AT103" s="16">
        <f t="shared" ref="AT103:AT105" si="466">SUM(H103:J103)</f>
        <v>0</v>
      </c>
      <c r="AU103" s="16">
        <f t="shared" ref="AU103:AU105" si="467">SUM(K103:M103)</f>
        <v>0</v>
      </c>
      <c r="AV103" s="16">
        <f t="shared" ref="AV103:AV105" si="468">SUM(N103:P103)</f>
        <v>0</v>
      </c>
      <c r="AX103" s="16">
        <f t="shared" ref="AX103:AX105" si="469">SUM(R103:AC103)</f>
        <v>25000.000000000004</v>
      </c>
      <c r="AY103" s="16">
        <f t="shared" ref="AY103:AY105" si="470">SUM(R103:T103)</f>
        <v>0</v>
      </c>
      <c r="AZ103" s="16">
        <f t="shared" ref="AZ103:AZ105" si="471">SUM(U103:W103)</f>
        <v>0</v>
      </c>
      <c r="BA103" s="16">
        <f t="shared" ref="BA103:BA105" si="472">SUM(X103:Z103)</f>
        <v>12500</v>
      </c>
      <c r="BB103" s="16">
        <f t="shared" ref="BB103:BB105" si="473">SUM(AA103:AC103)</f>
        <v>12500</v>
      </c>
      <c r="BD103" s="16">
        <f t="shared" ref="BD103:BD105" si="474">SUM(AE103:AP103)</f>
        <v>12500</v>
      </c>
      <c r="BE103" s="16">
        <f t="shared" ref="BE103:BE105" si="475">SUM(AE103:AG103)</f>
        <v>12500</v>
      </c>
      <c r="BF103" s="16">
        <f t="shared" ref="BF103:BF105" si="476">SUM(AH103:AJ103)</f>
        <v>0</v>
      </c>
      <c r="BG103" s="16">
        <f t="shared" ref="BG103:BG105" si="477">SUM(AK103:AM103)</f>
        <v>0</v>
      </c>
      <c r="BH103" s="16">
        <f t="shared" ref="BH103:BH105" si="478">SUM(AN103:AP103)</f>
        <v>0</v>
      </c>
      <c r="BJ103" s="16">
        <f t="shared" ref="BJ103:BJ129" si="479">SUM(BK103:BN103)</f>
        <v>0</v>
      </c>
      <c r="BK103" s="16">
        <f>IF(BK$133&gt;=24,+$C103/4,0)</f>
        <v>0</v>
      </c>
      <c r="BL103" s="16">
        <f>IF(BL$133&gt;=24,+$C103/4,0)</f>
        <v>0</v>
      </c>
      <c r="BM103" s="16">
        <f>IF(BM$133&gt;=24,+$C103/4,0)</f>
        <v>0</v>
      </c>
      <c r="BN103" s="16">
        <f>IF(BN$133&gt;=24,+$C103/4,0)</f>
        <v>0</v>
      </c>
      <c r="BP103" s="16">
        <f t="shared" ref="BP103:BP129" si="480">SUM(BQ103:BT103)</f>
        <v>12500</v>
      </c>
      <c r="BQ103" s="16">
        <f>IF(BQ$133&gt;=24,+$C103/4,0)</f>
        <v>0</v>
      </c>
      <c r="BR103" s="16">
        <f>IF(BR$133&gt;=24,+$C103/4,0)</f>
        <v>0</v>
      </c>
      <c r="BS103" s="16">
        <f>IF(BS$133&gt;=24,+$C103/4,0)</f>
        <v>0</v>
      </c>
      <c r="BT103" s="16">
        <f>IF(BT$133&gt;=24,+$C103/4,0)</f>
        <v>12500</v>
      </c>
      <c r="BV103" s="16">
        <f t="shared" ref="BV103:BV129" si="481">SUM(BW103:BZ103)</f>
        <v>50000</v>
      </c>
      <c r="BW103" s="16">
        <f>IF(BW$133&gt;=24,+$C103/4,0)</f>
        <v>12500</v>
      </c>
      <c r="BX103" s="16">
        <f>IF(BX$133&gt;=24,+$C103/4,0)</f>
        <v>12500</v>
      </c>
      <c r="BY103" s="16">
        <f>IF(BY$133&gt;=24,+$C103/4,0)</f>
        <v>12500</v>
      </c>
      <c r="BZ103" s="16">
        <f>IF(BZ$133&gt;=24,+$C103/4,0)</f>
        <v>12500</v>
      </c>
    </row>
    <row r="104" spans="2:78" s="16" customFormat="1" x14ac:dyDescent="0.25">
      <c r="B104" s="16" t="s">
        <v>590</v>
      </c>
      <c r="C104" s="16">
        <v>50000</v>
      </c>
      <c r="U104" s="16" t="str">
        <f>IF(Production!U$30&gt;=25,$C104/12,"")</f>
        <v/>
      </c>
      <c r="V104" s="16" t="str">
        <f>IF(Production!V$30&gt;=25,$C104/12,"")</f>
        <v/>
      </c>
      <c r="W104" s="16" t="str">
        <f>IF(Production!W$30&gt;=25,$C104/12,"")</f>
        <v/>
      </c>
      <c r="X104" s="16">
        <f>IF(Production!X$30&gt;=25,$C104/12,"")</f>
        <v>4166.666666666667</v>
      </c>
      <c r="Y104" s="16">
        <f>IF(Production!Y$30&gt;=25,$C104/12,"")</f>
        <v>4166.666666666667</v>
      </c>
      <c r="Z104" s="16">
        <f>IF(Production!Z$30&gt;=25,$C104/12,"")</f>
        <v>4166.666666666667</v>
      </c>
      <c r="AA104" s="16">
        <f>IF(Production!AA$30&gt;=25,$C104/12,"")</f>
        <v>4166.666666666667</v>
      </c>
      <c r="AB104" s="16">
        <f>IF(Production!AB$30&gt;=25,$C104/12,"")</f>
        <v>4166.666666666667</v>
      </c>
      <c r="AC104" s="16">
        <f>IF(Production!AC$30&gt;=25,$C104/12,"")</f>
        <v>4166.666666666667</v>
      </c>
      <c r="AE104" s="16">
        <f>IF(Production!AE$30&gt;=25,$C104/12,"")</f>
        <v>4166.666666666667</v>
      </c>
      <c r="AF104" s="16">
        <f>IF(Production!AF$30&gt;=25,$C104/12,"")</f>
        <v>4166.666666666667</v>
      </c>
      <c r="AG104" s="16">
        <f>IF(Production!AG$30&gt;=25,$C104/12,"")</f>
        <v>4166.666666666667</v>
      </c>
      <c r="AH104" s="16" t="str">
        <f>IF(Production!AH$30&gt;=25,$C104/12,"")</f>
        <v/>
      </c>
      <c r="AI104" s="16" t="str">
        <f>IF(Production!AI$30&gt;=25,$C104/12,"")</f>
        <v/>
      </c>
      <c r="AJ104" s="16" t="str">
        <f>IF(Production!AJ$30&gt;=25,$C104/12,"")</f>
        <v/>
      </c>
      <c r="AK104" s="16" t="str">
        <f>IF(Production!AK$30&gt;=25,$C104/12,"")</f>
        <v/>
      </c>
      <c r="AL104" s="16" t="str">
        <f>IF(Production!AL$30&gt;=25,$C104/12,"")</f>
        <v/>
      </c>
      <c r="AM104" s="16" t="str">
        <f>IF(Production!AM$30&gt;=25,$C104/12,"")</f>
        <v/>
      </c>
      <c r="AN104" s="16" t="str">
        <f>IF(Production!AN$30&gt;=25,$C104/12,"")</f>
        <v/>
      </c>
      <c r="AO104" s="16" t="str">
        <f>IF(Production!AO$30&gt;=25,$C104/12,"")</f>
        <v/>
      </c>
      <c r="AP104" s="16" t="str">
        <f>IF(Production!AP$30&gt;=25,$C104/12,"")</f>
        <v/>
      </c>
      <c r="AR104" s="16">
        <f t="shared" si="464"/>
        <v>0</v>
      </c>
      <c r="AS104" s="16">
        <f t="shared" si="465"/>
        <v>0</v>
      </c>
      <c r="AT104" s="16">
        <f t="shared" si="466"/>
        <v>0</v>
      </c>
      <c r="AU104" s="16">
        <f t="shared" si="467"/>
        <v>0</v>
      </c>
      <c r="AV104" s="16">
        <f t="shared" si="468"/>
        <v>0</v>
      </c>
      <c r="AX104" s="16">
        <f t="shared" si="469"/>
        <v>25000.000000000004</v>
      </c>
      <c r="AY104" s="16">
        <f t="shared" si="470"/>
        <v>0</v>
      </c>
      <c r="AZ104" s="16">
        <f t="shared" si="471"/>
        <v>0</v>
      </c>
      <c r="BA104" s="16">
        <f t="shared" si="472"/>
        <v>12500</v>
      </c>
      <c r="BB104" s="16">
        <f t="shared" si="473"/>
        <v>12500</v>
      </c>
      <c r="BD104" s="16">
        <f t="shared" si="474"/>
        <v>12500</v>
      </c>
      <c r="BE104" s="16">
        <f t="shared" si="475"/>
        <v>12500</v>
      </c>
      <c r="BF104" s="16">
        <f t="shared" si="476"/>
        <v>0</v>
      </c>
      <c r="BG104" s="16">
        <f t="shared" si="477"/>
        <v>0</v>
      </c>
      <c r="BH104" s="16">
        <f t="shared" si="478"/>
        <v>0</v>
      </c>
      <c r="BJ104" s="16">
        <f t="shared" si="479"/>
        <v>0</v>
      </c>
      <c r="BK104" s="16">
        <f>IF(BK$133&gt;=25,+$C104/4,0)</f>
        <v>0</v>
      </c>
      <c r="BL104" s="16">
        <f>IF(BL$133&gt;=25,+$C104/4,0)</f>
        <v>0</v>
      </c>
      <c r="BM104" s="16">
        <f>IF(BM$133&gt;=25,+$C104/4,0)</f>
        <v>0</v>
      </c>
      <c r="BN104" s="16">
        <f>IF(BN$133&gt;=25,+$C104/4,0)</f>
        <v>0</v>
      </c>
      <c r="BP104" s="16">
        <f t="shared" si="480"/>
        <v>12500</v>
      </c>
      <c r="BQ104" s="16">
        <f>IF(BQ$133&gt;=25,+$C104/4,0)</f>
        <v>0</v>
      </c>
      <c r="BR104" s="16">
        <f>IF(BR$133&gt;=25,+$C104/4,0)</f>
        <v>0</v>
      </c>
      <c r="BS104" s="16">
        <f>IF(BS$133&gt;=25,+$C104/4,0)</f>
        <v>0</v>
      </c>
      <c r="BT104" s="16">
        <f>IF(BT$133&gt;=25,+$C104/4,0)</f>
        <v>12500</v>
      </c>
      <c r="BV104" s="16">
        <f t="shared" si="481"/>
        <v>50000</v>
      </c>
      <c r="BW104" s="16">
        <f>IF(BW$133&gt;=25,+$C104/4,0)</f>
        <v>12500</v>
      </c>
      <c r="BX104" s="16">
        <f>IF(BX$133&gt;=25,+$C104/4,0)</f>
        <v>12500</v>
      </c>
      <c r="BY104" s="16">
        <f>IF(BY$133&gt;=25,+$C104/4,0)</f>
        <v>12500</v>
      </c>
      <c r="BZ104" s="16">
        <f>IF(BZ$133&gt;=25,+$C104/4,0)</f>
        <v>12500</v>
      </c>
    </row>
    <row r="105" spans="2:78" s="16" customFormat="1" x14ac:dyDescent="0.25">
      <c r="B105" s="16" t="s">
        <v>591</v>
      </c>
      <c r="C105" s="16">
        <v>50000</v>
      </c>
      <c r="U105" s="16" t="str">
        <f>IF(Production!U$30&gt;=26,$C105/12,"")</f>
        <v/>
      </c>
      <c r="V105" s="16" t="str">
        <f>IF(Production!V$30&gt;=26,$C105/12,"")</f>
        <v/>
      </c>
      <c r="W105" s="16" t="str">
        <f>IF(Production!W$30&gt;=26,$C105/12,"")</f>
        <v/>
      </c>
      <c r="X105" s="16">
        <f>IF(Production!X$30&gt;=26,$C105/12,"")</f>
        <v>4166.666666666667</v>
      </c>
      <c r="Y105" s="16">
        <f>IF(Production!Y$30&gt;=26,$C105/12,"")</f>
        <v>4166.666666666667</v>
      </c>
      <c r="Z105" s="16">
        <f>IF(Production!Z$30&gt;=26,$C105/12,"")</f>
        <v>4166.666666666667</v>
      </c>
      <c r="AA105" s="16">
        <f>IF(Production!AA$30&gt;=26,$C105/12,"")</f>
        <v>4166.666666666667</v>
      </c>
      <c r="AB105" s="16">
        <f>IF(Production!AB$30&gt;=26,$C105/12,"")</f>
        <v>4166.666666666667</v>
      </c>
      <c r="AC105" s="16">
        <f>IF(Production!AC$30&gt;=26,$C105/12,"")</f>
        <v>4166.666666666667</v>
      </c>
      <c r="AE105" s="16">
        <f>IF(Production!AE$30&gt;=26,$C105/12,"")</f>
        <v>4166.666666666667</v>
      </c>
      <c r="AF105" s="16">
        <f>IF(Production!AF$30&gt;=26,$C105/12,"")</f>
        <v>4166.666666666667</v>
      </c>
      <c r="AG105" s="16">
        <f>IF(Production!AG$30&gt;=26,$C105/12,"")</f>
        <v>4166.666666666667</v>
      </c>
      <c r="AH105" s="16" t="str">
        <f>IF(Production!AH$30&gt;=26,$C105/12,"")</f>
        <v/>
      </c>
      <c r="AI105" s="16" t="str">
        <f>IF(Production!AI$30&gt;=26,$C105/12,"")</f>
        <v/>
      </c>
      <c r="AJ105" s="16" t="str">
        <f>IF(Production!AJ$30&gt;=26,$C105/12,"")</f>
        <v/>
      </c>
      <c r="AK105" s="16" t="str">
        <f>IF(Production!AK$30&gt;=26,$C105/12,"")</f>
        <v/>
      </c>
      <c r="AL105" s="16" t="str">
        <f>IF(Production!AL$30&gt;=26,$C105/12,"")</f>
        <v/>
      </c>
      <c r="AM105" s="16" t="str">
        <f>IF(Production!AM$30&gt;=26,$C105/12,"")</f>
        <v/>
      </c>
      <c r="AN105" s="16" t="str">
        <f>IF(Production!AN$30&gt;=26,$C105/12,"")</f>
        <v/>
      </c>
      <c r="AO105" s="16" t="str">
        <f>IF(Production!AO$30&gt;=26,$C105/12,"")</f>
        <v/>
      </c>
      <c r="AP105" s="16" t="str">
        <f>IF(Production!AP$30&gt;=26,$C105/12,"")</f>
        <v/>
      </c>
      <c r="AR105" s="16">
        <f t="shared" si="464"/>
        <v>0</v>
      </c>
      <c r="AS105" s="16">
        <f t="shared" si="465"/>
        <v>0</v>
      </c>
      <c r="AT105" s="16">
        <f t="shared" si="466"/>
        <v>0</v>
      </c>
      <c r="AU105" s="16">
        <f t="shared" si="467"/>
        <v>0</v>
      </c>
      <c r="AV105" s="16">
        <f t="shared" si="468"/>
        <v>0</v>
      </c>
      <c r="AX105" s="16">
        <f t="shared" si="469"/>
        <v>25000.000000000004</v>
      </c>
      <c r="AY105" s="16">
        <f t="shared" si="470"/>
        <v>0</v>
      </c>
      <c r="AZ105" s="16">
        <f t="shared" si="471"/>
        <v>0</v>
      </c>
      <c r="BA105" s="16">
        <f t="shared" si="472"/>
        <v>12500</v>
      </c>
      <c r="BB105" s="16">
        <f t="shared" si="473"/>
        <v>12500</v>
      </c>
      <c r="BD105" s="16">
        <f t="shared" si="474"/>
        <v>12500</v>
      </c>
      <c r="BE105" s="16">
        <f t="shared" si="475"/>
        <v>12500</v>
      </c>
      <c r="BF105" s="16">
        <f t="shared" si="476"/>
        <v>0</v>
      </c>
      <c r="BG105" s="16">
        <f t="shared" si="477"/>
        <v>0</v>
      </c>
      <c r="BH105" s="16">
        <f t="shared" si="478"/>
        <v>0</v>
      </c>
      <c r="BJ105" s="16">
        <f t="shared" si="479"/>
        <v>0</v>
      </c>
      <c r="BK105" s="16">
        <f>IF(BK$133&gt;=26,+$C105/4,0)</f>
        <v>0</v>
      </c>
      <c r="BL105" s="16">
        <f>IF(BL$133&gt;=26,+$C105/4,0)</f>
        <v>0</v>
      </c>
      <c r="BM105" s="16">
        <f>IF(BM$133&gt;=26,+$C105/4,0)</f>
        <v>0</v>
      </c>
      <c r="BN105" s="16">
        <f>IF(BN$133&gt;=26,+$C105/4,0)</f>
        <v>0</v>
      </c>
      <c r="BP105" s="16">
        <f t="shared" si="480"/>
        <v>12500</v>
      </c>
      <c r="BQ105" s="16">
        <f>IF(BQ$133&gt;=26,+$C105/4,0)</f>
        <v>0</v>
      </c>
      <c r="BR105" s="16">
        <f>IF(BR$133&gt;=26,+$C105/4,0)</f>
        <v>0</v>
      </c>
      <c r="BS105" s="16">
        <f>IF(BS$133&gt;=26,+$C105/4,0)</f>
        <v>0</v>
      </c>
      <c r="BT105" s="16">
        <f>IF(BT$133&gt;=26,+$C105/4,0)</f>
        <v>12500</v>
      </c>
      <c r="BV105" s="16">
        <f t="shared" si="481"/>
        <v>50000</v>
      </c>
      <c r="BW105" s="16">
        <f>IF(BW$133&gt;=26,+$C105/4,0)</f>
        <v>12500</v>
      </c>
      <c r="BX105" s="16">
        <f>IF(BX$133&gt;=26,+$C105/4,0)</f>
        <v>12500</v>
      </c>
      <c r="BY105" s="16">
        <f>IF(BY$133&gt;=26,+$C105/4,0)</f>
        <v>12500</v>
      </c>
      <c r="BZ105" s="16">
        <f>IF(BZ$133&gt;=26,+$C105/4,0)</f>
        <v>12500</v>
      </c>
    </row>
    <row r="106" spans="2:78" s="265" customFormat="1" x14ac:dyDescent="0.25">
      <c r="B106" s="16" t="s">
        <v>1092</v>
      </c>
      <c r="C106" s="16">
        <v>50000</v>
      </c>
      <c r="U106" s="16" t="str">
        <f>IF(Production!U$30&gt;=27,$C106/12,"")</f>
        <v/>
      </c>
      <c r="V106" s="16" t="str">
        <f>IF(Production!V$30&gt;=27,$C106/12,"")</f>
        <v/>
      </c>
      <c r="W106" s="16" t="str">
        <f>IF(Production!W$30&gt;=27,$C106/12,"")</f>
        <v/>
      </c>
      <c r="X106" s="16" t="str">
        <f>IF(Production!X$30&gt;=27,$C106/12,"")</f>
        <v/>
      </c>
      <c r="Y106" s="16" t="str">
        <f>IF(Production!Y$30&gt;=27,$C106/12,"")</f>
        <v/>
      </c>
      <c r="Z106" s="16" t="str">
        <f>IF(Production!Z$30&gt;=27,$C106/12,"")</f>
        <v/>
      </c>
      <c r="AA106" s="16" t="str">
        <f>IF(Production!AA$30&gt;=27,$C106/12,"")</f>
        <v/>
      </c>
      <c r="AB106" s="16" t="str">
        <f>IF(Production!AB$30&gt;=27,$C106/12,"")</f>
        <v/>
      </c>
      <c r="AC106" s="16" t="str">
        <f>IF(Production!AC$30&gt;=27,$C106/12,"")</f>
        <v/>
      </c>
      <c r="AE106" s="16" t="str">
        <f>IF(Production!AE$30&gt;=27,$C106/12,"")</f>
        <v/>
      </c>
      <c r="AF106" s="16" t="str">
        <f>IF(Production!AF$30&gt;=27,$C106/12,"")</f>
        <v/>
      </c>
      <c r="AG106" s="16" t="str">
        <f>IF(Production!AG$30&gt;=27,$C106/12,"")</f>
        <v/>
      </c>
      <c r="AH106" s="16" t="str">
        <f>IF(Production!AH$30&gt;=27,$C106/12,"")</f>
        <v/>
      </c>
      <c r="AI106" s="16" t="str">
        <f>IF(Production!AI$30&gt;=27,$C106/12,"")</f>
        <v/>
      </c>
      <c r="AJ106" s="16" t="str">
        <f>IF(Production!AJ$30&gt;=27,$C106/12,"")</f>
        <v/>
      </c>
      <c r="AK106" s="16" t="str">
        <f>IF(Production!AK$30&gt;=27,$C106/12,"")</f>
        <v/>
      </c>
      <c r="AL106" s="16" t="str">
        <f>IF(Production!AL$30&gt;=27,$C106/12,"")</f>
        <v/>
      </c>
      <c r="AM106" s="16" t="str">
        <f>IF(Production!AM$30&gt;=27,$C106/12,"")</f>
        <v/>
      </c>
      <c r="AN106" s="16" t="str">
        <f>IF(Production!AN$30&gt;=27,$C106/12,"")</f>
        <v/>
      </c>
      <c r="AO106" s="16" t="str">
        <f>IF(Production!AO$30&gt;=27,$C106/12,"")</f>
        <v/>
      </c>
      <c r="AP106" s="16" t="str">
        <f>IF(Production!AP$30&gt;=27,$C106/12,"")</f>
        <v/>
      </c>
      <c r="AR106" s="16">
        <f t="shared" si="464"/>
        <v>0</v>
      </c>
      <c r="AS106" s="16">
        <f t="shared" ref="AS106:AS129" si="482">SUM(E106:G106)</f>
        <v>0</v>
      </c>
      <c r="AT106" s="16">
        <f t="shared" ref="AT106:AT129" si="483">SUM(H106:J106)</f>
        <v>0</v>
      </c>
      <c r="AU106" s="16">
        <f t="shared" ref="AU106:AU129" si="484">SUM(K106:M106)</f>
        <v>0</v>
      </c>
      <c r="AV106" s="16">
        <f t="shared" ref="AV106:AV129" si="485">SUM(N106:P106)</f>
        <v>0</v>
      </c>
      <c r="AX106" s="16">
        <f t="shared" ref="AX106:AX129" si="486">SUM(R106:AC106)</f>
        <v>0</v>
      </c>
      <c r="AY106" s="16">
        <f t="shared" ref="AY106:AY129" si="487">SUM(R106:T106)</f>
        <v>0</v>
      </c>
      <c r="AZ106" s="16">
        <f t="shared" ref="AZ106:AZ129" si="488">SUM(U106:W106)</f>
        <v>0</v>
      </c>
      <c r="BA106" s="16">
        <f t="shared" ref="BA106:BA129" si="489">SUM(X106:Z106)</f>
        <v>0</v>
      </c>
      <c r="BB106" s="16">
        <f t="shared" ref="BB106:BB129" si="490">SUM(AA106:AC106)</f>
        <v>0</v>
      </c>
      <c r="BJ106" s="16">
        <f t="shared" si="479"/>
        <v>0</v>
      </c>
      <c r="BK106" s="16">
        <f>IF(BK$133&gt;=27,+$C106/4,0)</f>
        <v>0</v>
      </c>
      <c r="BL106" s="16">
        <f t="shared" ref="BL106:BN106" si="491">IF(BL$133&gt;=27,+$C106/4,0)</f>
        <v>0</v>
      </c>
      <c r="BM106" s="16">
        <f t="shared" si="491"/>
        <v>0</v>
      </c>
      <c r="BN106" s="16">
        <f t="shared" si="491"/>
        <v>0</v>
      </c>
      <c r="BP106" s="16">
        <f t="shared" si="480"/>
        <v>0</v>
      </c>
      <c r="BQ106" s="16">
        <f t="shared" ref="BQ106:BT106" si="492">IF(BQ$133&gt;=27,+$C106/4,0)</f>
        <v>0</v>
      </c>
      <c r="BR106" s="16">
        <f t="shared" si="492"/>
        <v>0</v>
      </c>
      <c r="BS106" s="16">
        <f t="shared" si="492"/>
        <v>0</v>
      </c>
      <c r="BT106" s="16">
        <f t="shared" si="492"/>
        <v>0</v>
      </c>
      <c r="BV106" s="16">
        <f t="shared" si="481"/>
        <v>50000</v>
      </c>
      <c r="BW106" s="16">
        <f t="shared" ref="BW106:BZ106" si="493">IF(BW$133&gt;=27,+$C106/4,0)</f>
        <v>12500</v>
      </c>
      <c r="BX106" s="16">
        <f t="shared" si="493"/>
        <v>12500</v>
      </c>
      <c r="BY106" s="16">
        <f t="shared" si="493"/>
        <v>12500</v>
      </c>
      <c r="BZ106" s="16">
        <f t="shared" si="493"/>
        <v>12500</v>
      </c>
    </row>
    <row r="107" spans="2:78" s="265" customFormat="1" x14ac:dyDescent="0.25">
      <c r="B107" s="16" t="s">
        <v>1093</v>
      </c>
      <c r="C107" s="16">
        <v>50000</v>
      </c>
      <c r="U107" s="16" t="str">
        <f>IF(Production!U$30&gt;=28,$C107/12,"")</f>
        <v/>
      </c>
      <c r="V107" s="16" t="str">
        <f>IF(Production!V$30&gt;=28,$C107/12,"")</f>
        <v/>
      </c>
      <c r="W107" s="16" t="str">
        <f>IF(Production!W$30&gt;=28,$C107/12,"")</f>
        <v/>
      </c>
      <c r="X107" s="16" t="str">
        <f>IF(Production!X$30&gt;=28,$C107/12,"")</f>
        <v/>
      </c>
      <c r="Y107" s="16" t="str">
        <f>IF(Production!Y$30&gt;=28,$C107/12,"")</f>
        <v/>
      </c>
      <c r="Z107" s="16" t="str">
        <f>IF(Production!Z$30&gt;=28,$C107/12,"")</f>
        <v/>
      </c>
      <c r="AA107" s="16" t="str">
        <f>IF(Production!AA$30&gt;=28,$C107/12,"")</f>
        <v/>
      </c>
      <c r="AB107" s="16" t="str">
        <f>IF(Production!AB$30&gt;=28,$C107/12,"")</f>
        <v/>
      </c>
      <c r="AC107" s="16" t="str">
        <f>IF(Production!AC$30&gt;=28,$C107/12,"")</f>
        <v/>
      </c>
      <c r="AE107" s="16" t="str">
        <f>IF(Production!AE$30&gt;=28,$C107/12,"")</f>
        <v/>
      </c>
      <c r="AF107" s="16" t="str">
        <f>IF(Production!AF$30&gt;=28,$C107/12,"")</f>
        <v/>
      </c>
      <c r="AG107" s="16" t="str">
        <f>IF(Production!AG$30&gt;=28,$C107/12,"")</f>
        <v/>
      </c>
      <c r="AH107" s="16" t="str">
        <f>IF(Production!AH$30&gt;=28,$C107/12,"")</f>
        <v/>
      </c>
      <c r="AI107" s="16" t="str">
        <f>IF(Production!AI$30&gt;=28,$C107/12,"")</f>
        <v/>
      </c>
      <c r="AJ107" s="16" t="str">
        <f>IF(Production!AJ$30&gt;=28,$C107/12,"")</f>
        <v/>
      </c>
      <c r="AK107" s="16" t="str">
        <f>IF(Production!AK$30&gt;=28,$C107/12,"")</f>
        <v/>
      </c>
      <c r="AL107" s="16" t="str">
        <f>IF(Production!AL$30&gt;=28,$C107/12,"")</f>
        <v/>
      </c>
      <c r="AM107" s="16" t="str">
        <f>IF(Production!AM$30&gt;=28,$C107/12,"")</f>
        <v/>
      </c>
      <c r="AN107" s="16" t="str">
        <f>IF(Production!AN$30&gt;=28,$C107/12,"")</f>
        <v/>
      </c>
      <c r="AO107" s="16" t="str">
        <f>IF(Production!AO$30&gt;=28,$C107/12,"")</f>
        <v/>
      </c>
      <c r="AP107" s="16" t="str">
        <f>IF(Production!AP$30&gt;=28,$C107/12,"")</f>
        <v/>
      </c>
      <c r="AR107" s="16">
        <f t="shared" si="464"/>
        <v>0</v>
      </c>
      <c r="AS107" s="16">
        <f t="shared" si="482"/>
        <v>0</v>
      </c>
      <c r="AT107" s="16">
        <f t="shared" si="483"/>
        <v>0</v>
      </c>
      <c r="AU107" s="16">
        <f t="shared" si="484"/>
        <v>0</v>
      </c>
      <c r="AV107" s="16">
        <f t="shared" si="485"/>
        <v>0</v>
      </c>
      <c r="AX107" s="16">
        <f t="shared" si="486"/>
        <v>0</v>
      </c>
      <c r="AY107" s="16">
        <f t="shared" si="487"/>
        <v>0</v>
      </c>
      <c r="AZ107" s="16">
        <f t="shared" si="488"/>
        <v>0</v>
      </c>
      <c r="BA107" s="16">
        <f t="shared" si="489"/>
        <v>0</v>
      </c>
      <c r="BB107" s="16">
        <f t="shared" si="490"/>
        <v>0</v>
      </c>
      <c r="BJ107" s="16">
        <f t="shared" si="479"/>
        <v>0</v>
      </c>
      <c r="BK107" s="16">
        <f>IF(BK$133&gt;=28,+$C107/4,0)</f>
        <v>0</v>
      </c>
      <c r="BL107" s="16">
        <f t="shared" ref="BL107:BN107" si="494">IF(BL$133&gt;=28,+$C107/4,0)</f>
        <v>0</v>
      </c>
      <c r="BM107" s="16">
        <f t="shared" si="494"/>
        <v>0</v>
      </c>
      <c r="BN107" s="16">
        <f t="shared" si="494"/>
        <v>0</v>
      </c>
      <c r="BP107" s="16">
        <f t="shared" si="480"/>
        <v>0</v>
      </c>
      <c r="BQ107" s="16">
        <f t="shared" ref="BQ107:BT107" si="495">IF(BQ$133&gt;=28,+$C107/4,0)</f>
        <v>0</v>
      </c>
      <c r="BR107" s="16">
        <f t="shared" si="495"/>
        <v>0</v>
      </c>
      <c r="BS107" s="16">
        <f t="shared" si="495"/>
        <v>0</v>
      </c>
      <c r="BT107" s="16">
        <f t="shared" si="495"/>
        <v>0</v>
      </c>
      <c r="BV107" s="16">
        <f t="shared" si="481"/>
        <v>50000</v>
      </c>
      <c r="BW107" s="16">
        <f t="shared" ref="BW107:BZ107" si="496">IF(BW$133&gt;=28,+$C107/4,0)</f>
        <v>12500</v>
      </c>
      <c r="BX107" s="16">
        <f t="shared" si="496"/>
        <v>12500</v>
      </c>
      <c r="BY107" s="16">
        <f t="shared" si="496"/>
        <v>12500</v>
      </c>
      <c r="BZ107" s="16">
        <f t="shared" si="496"/>
        <v>12500</v>
      </c>
    </row>
    <row r="108" spans="2:78" s="265" customFormat="1" x14ac:dyDescent="0.25">
      <c r="B108" s="16" t="s">
        <v>1094</v>
      </c>
      <c r="C108" s="16">
        <v>50000</v>
      </c>
      <c r="U108" s="16" t="str">
        <f>IF(Production!U$30&gt;=29,$C108/12,"")</f>
        <v/>
      </c>
      <c r="V108" s="16" t="str">
        <f>IF(Production!V$30&gt;=29,$C108/12,"")</f>
        <v/>
      </c>
      <c r="W108" s="16" t="str">
        <f>IF(Production!W$30&gt;=29,$C108/12,"")</f>
        <v/>
      </c>
      <c r="X108" s="16" t="str">
        <f>IF(Production!X$30&gt;=29,$C108/12,"")</f>
        <v/>
      </c>
      <c r="Y108" s="16" t="str">
        <f>IF(Production!Y$30&gt;=29,$C108/12,"")</f>
        <v/>
      </c>
      <c r="Z108" s="16" t="str">
        <f>IF(Production!Z$30&gt;=29,$C108/12,"")</f>
        <v/>
      </c>
      <c r="AA108" s="16" t="str">
        <f>IF(Production!AA$30&gt;=29,$C108/12,"")</f>
        <v/>
      </c>
      <c r="AB108" s="16" t="str">
        <f>IF(Production!AB$30&gt;=29,$C108/12,"")</f>
        <v/>
      </c>
      <c r="AC108" s="16" t="str">
        <f>IF(Production!AC$30&gt;=29,$C108/12,"")</f>
        <v/>
      </c>
      <c r="AE108" s="16" t="str">
        <f>IF(Production!AE$30&gt;=29,$C108/12,"")</f>
        <v/>
      </c>
      <c r="AF108" s="16" t="str">
        <f>IF(Production!AF$30&gt;=29,$C108/12,"")</f>
        <v/>
      </c>
      <c r="AG108" s="16" t="str">
        <f>IF(Production!AG$30&gt;=29,$C108/12,"")</f>
        <v/>
      </c>
      <c r="AH108" s="16" t="str">
        <f>IF(Production!AH$30&gt;=29,$C108/12,"")</f>
        <v/>
      </c>
      <c r="AI108" s="16" t="str">
        <f>IF(Production!AI$30&gt;=29,$C108/12,"")</f>
        <v/>
      </c>
      <c r="AJ108" s="16" t="str">
        <f>IF(Production!AJ$30&gt;=29,$C108/12,"")</f>
        <v/>
      </c>
      <c r="AK108" s="16" t="str">
        <f>IF(Production!AK$30&gt;=29,$C108/12,"")</f>
        <v/>
      </c>
      <c r="AL108" s="16" t="str">
        <f>IF(Production!AL$30&gt;=29,$C108/12,"")</f>
        <v/>
      </c>
      <c r="AM108" s="16" t="str">
        <f>IF(Production!AM$30&gt;=29,$C108/12,"")</f>
        <v/>
      </c>
      <c r="AN108" s="16" t="str">
        <f>IF(Production!AN$30&gt;=29,$C108/12,"")</f>
        <v/>
      </c>
      <c r="AO108" s="16" t="str">
        <f>IF(Production!AO$30&gt;=29,$C108/12,"")</f>
        <v/>
      </c>
      <c r="AP108" s="16" t="str">
        <f>IF(Production!AP$30&gt;=29,$C108/12,"")</f>
        <v/>
      </c>
      <c r="AR108" s="16">
        <f t="shared" si="464"/>
        <v>0</v>
      </c>
      <c r="AS108" s="16">
        <f t="shared" si="482"/>
        <v>0</v>
      </c>
      <c r="AT108" s="16">
        <f t="shared" si="483"/>
        <v>0</v>
      </c>
      <c r="AU108" s="16">
        <f t="shared" si="484"/>
        <v>0</v>
      </c>
      <c r="AV108" s="16">
        <f t="shared" si="485"/>
        <v>0</v>
      </c>
      <c r="AX108" s="16">
        <f t="shared" si="486"/>
        <v>0</v>
      </c>
      <c r="AY108" s="16">
        <f t="shared" si="487"/>
        <v>0</v>
      </c>
      <c r="AZ108" s="16">
        <f t="shared" si="488"/>
        <v>0</v>
      </c>
      <c r="BA108" s="16">
        <f t="shared" si="489"/>
        <v>0</v>
      </c>
      <c r="BB108" s="16">
        <f t="shared" si="490"/>
        <v>0</v>
      </c>
      <c r="BJ108" s="16">
        <f t="shared" si="479"/>
        <v>0</v>
      </c>
      <c r="BK108" s="16">
        <f>IF(BK$133&gt;=29,+$C108/4,0)</f>
        <v>0</v>
      </c>
      <c r="BL108" s="16">
        <f t="shared" ref="BL108:BN108" si="497">IF(BL$133&gt;=29,+$C108/4,0)</f>
        <v>0</v>
      </c>
      <c r="BM108" s="16">
        <f t="shared" si="497"/>
        <v>0</v>
      </c>
      <c r="BN108" s="16">
        <f t="shared" si="497"/>
        <v>0</v>
      </c>
      <c r="BP108" s="16">
        <f t="shared" si="480"/>
        <v>0</v>
      </c>
      <c r="BQ108" s="16">
        <f t="shared" ref="BQ108:BT108" si="498">IF(BQ$133&gt;=29,+$C108/4,0)</f>
        <v>0</v>
      </c>
      <c r="BR108" s="16">
        <f t="shared" si="498"/>
        <v>0</v>
      </c>
      <c r="BS108" s="16">
        <f t="shared" si="498"/>
        <v>0</v>
      </c>
      <c r="BT108" s="16">
        <f t="shared" si="498"/>
        <v>0</v>
      </c>
      <c r="BV108" s="16">
        <f t="shared" si="481"/>
        <v>37500</v>
      </c>
      <c r="BW108" s="16">
        <f t="shared" ref="BW108:BZ108" si="499">IF(BW$133&gt;=29,+$C108/4,0)</f>
        <v>0</v>
      </c>
      <c r="BX108" s="16">
        <f t="shared" si="499"/>
        <v>12500</v>
      </c>
      <c r="BY108" s="16">
        <f t="shared" si="499"/>
        <v>12500</v>
      </c>
      <c r="BZ108" s="16">
        <f t="shared" si="499"/>
        <v>12500</v>
      </c>
    </row>
    <row r="109" spans="2:78" s="265" customFormat="1" x14ac:dyDescent="0.25">
      <c r="B109" s="16" t="s">
        <v>1095</v>
      </c>
      <c r="C109" s="16">
        <v>50000</v>
      </c>
      <c r="U109" s="16" t="str">
        <f>IF(Production!U$30&gt;=30,$C109/12,"")</f>
        <v/>
      </c>
      <c r="V109" s="16" t="str">
        <f>IF(Production!V$30&gt;=30,$C109/12,"")</f>
        <v/>
      </c>
      <c r="W109" s="16" t="str">
        <f>IF(Production!W$30&gt;=30,$C109/12,"")</f>
        <v/>
      </c>
      <c r="X109" s="16" t="str">
        <f>IF(Production!X$30&gt;=30,$C109/12,"")</f>
        <v/>
      </c>
      <c r="Y109" s="16" t="str">
        <f>IF(Production!Y$30&gt;=30,$C109/12,"")</f>
        <v/>
      </c>
      <c r="Z109" s="16" t="str">
        <f>IF(Production!Z$30&gt;=30,$C109/12,"")</f>
        <v/>
      </c>
      <c r="AA109" s="16" t="str">
        <f>IF(Production!AA$30&gt;=30,$C109/12,"")</f>
        <v/>
      </c>
      <c r="AB109" s="16" t="str">
        <f>IF(Production!AB$30&gt;=30,$C109/12,"")</f>
        <v/>
      </c>
      <c r="AC109" s="16" t="str">
        <f>IF(Production!AC$30&gt;=30,$C109/12,"")</f>
        <v/>
      </c>
      <c r="AE109" s="16" t="str">
        <f>IF(Production!AE$30&gt;=30,$C109/12,"")</f>
        <v/>
      </c>
      <c r="AF109" s="16" t="str">
        <f>IF(Production!AF$30&gt;=30,$C109/12,"")</f>
        <v/>
      </c>
      <c r="AG109" s="16" t="str">
        <f>IF(Production!AG$30&gt;=30,$C109/12,"")</f>
        <v/>
      </c>
      <c r="AH109" s="16" t="str">
        <f>IF(Production!AH$30&gt;=30,$C109/12,"")</f>
        <v/>
      </c>
      <c r="AI109" s="16" t="str">
        <f>IF(Production!AI$30&gt;=30,$C109/12,"")</f>
        <v/>
      </c>
      <c r="AJ109" s="16" t="str">
        <f>IF(Production!AJ$30&gt;=30,$C109/12,"")</f>
        <v/>
      </c>
      <c r="AK109" s="16" t="str">
        <f>IF(Production!AK$30&gt;=30,$C109/12,"")</f>
        <v/>
      </c>
      <c r="AL109" s="16" t="str">
        <f>IF(Production!AL$30&gt;=30,$C109/12,"")</f>
        <v/>
      </c>
      <c r="AM109" s="16" t="str">
        <f>IF(Production!AM$30&gt;=30,$C109/12,"")</f>
        <v/>
      </c>
      <c r="AN109" s="16" t="str">
        <f>IF(Production!AN$30&gt;=30,$C109/12,"")</f>
        <v/>
      </c>
      <c r="AO109" s="16" t="str">
        <f>IF(Production!AO$30&gt;=30,$C109/12,"")</f>
        <v/>
      </c>
      <c r="AP109" s="16" t="str">
        <f>IF(Production!AP$30&gt;=30,$C109/12,"")</f>
        <v/>
      </c>
      <c r="AR109" s="16">
        <f t="shared" si="464"/>
        <v>0</v>
      </c>
      <c r="AS109" s="16">
        <f t="shared" si="482"/>
        <v>0</v>
      </c>
      <c r="AT109" s="16">
        <f t="shared" si="483"/>
        <v>0</v>
      </c>
      <c r="AU109" s="16">
        <f t="shared" si="484"/>
        <v>0</v>
      </c>
      <c r="AV109" s="16">
        <f t="shared" si="485"/>
        <v>0</v>
      </c>
      <c r="AX109" s="16">
        <f t="shared" si="486"/>
        <v>0</v>
      </c>
      <c r="AY109" s="16">
        <f t="shared" si="487"/>
        <v>0</v>
      </c>
      <c r="AZ109" s="16">
        <f t="shared" si="488"/>
        <v>0</v>
      </c>
      <c r="BA109" s="16">
        <f t="shared" si="489"/>
        <v>0</v>
      </c>
      <c r="BB109" s="16">
        <f t="shared" si="490"/>
        <v>0</v>
      </c>
      <c r="BJ109" s="16">
        <f t="shared" si="479"/>
        <v>0</v>
      </c>
      <c r="BK109" s="16">
        <f>IF(BK$133&gt;=30,+$C109/4,0)</f>
        <v>0</v>
      </c>
      <c r="BL109" s="16">
        <f t="shared" ref="BL109:BN109" si="500">IF(BL$133&gt;=30,+$C109/4,0)</f>
        <v>0</v>
      </c>
      <c r="BM109" s="16">
        <f t="shared" si="500"/>
        <v>0</v>
      </c>
      <c r="BN109" s="16">
        <f t="shared" si="500"/>
        <v>0</v>
      </c>
      <c r="BP109" s="16">
        <f t="shared" si="480"/>
        <v>0</v>
      </c>
      <c r="BQ109" s="16">
        <f t="shared" ref="BQ109:BT109" si="501">IF(BQ$133&gt;=30,+$C109/4,0)</f>
        <v>0</v>
      </c>
      <c r="BR109" s="16">
        <f t="shared" si="501"/>
        <v>0</v>
      </c>
      <c r="BS109" s="16">
        <f t="shared" si="501"/>
        <v>0</v>
      </c>
      <c r="BT109" s="16">
        <f t="shared" si="501"/>
        <v>0</v>
      </c>
      <c r="BV109" s="16">
        <f t="shared" si="481"/>
        <v>37500</v>
      </c>
      <c r="BW109" s="16">
        <f t="shared" ref="BW109:BZ109" si="502">IF(BW$133&gt;=30,+$C109/4,0)</f>
        <v>0</v>
      </c>
      <c r="BX109" s="16">
        <f t="shared" si="502"/>
        <v>12500</v>
      </c>
      <c r="BY109" s="16">
        <f t="shared" si="502"/>
        <v>12500</v>
      </c>
      <c r="BZ109" s="16">
        <f t="shared" si="502"/>
        <v>12500</v>
      </c>
    </row>
    <row r="110" spans="2:78" s="265" customFormat="1" x14ac:dyDescent="0.25">
      <c r="B110" s="16" t="s">
        <v>1096</v>
      </c>
      <c r="C110" s="16">
        <v>50000</v>
      </c>
      <c r="U110" s="16" t="str">
        <f>IF(Production!U$30&gt;=31,$C110/12,"")</f>
        <v/>
      </c>
      <c r="V110" s="16" t="str">
        <f>IF(Production!V$30&gt;=31,$C110/12,"")</f>
        <v/>
      </c>
      <c r="W110" s="16" t="str">
        <f>IF(Production!W$30&gt;=31,$C110/12,"")</f>
        <v/>
      </c>
      <c r="X110" s="16" t="str">
        <f>IF(Production!X$30&gt;=31,$C110/12,"")</f>
        <v/>
      </c>
      <c r="Y110" s="16" t="str">
        <f>IF(Production!Y$30&gt;=31,$C110/12,"")</f>
        <v/>
      </c>
      <c r="Z110" s="16" t="str">
        <f>IF(Production!Z$30&gt;=31,$C110/12,"")</f>
        <v/>
      </c>
      <c r="AA110" s="16" t="str">
        <f>IF(Production!AA$30&gt;=31,$C110/12,"")</f>
        <v/>
      </c>
      <c r="AB110" s="16" t="str">
        <f>IF(Production!AB$30&gt;=31,$C110/12,"")</f>
        <v/>
      </c>
      <c r="AC110" s="16" t="str">
        <f>IF(Production!AC$30&gt;=31,$C110/12,"")</f>
        <v/>
      </c>
      <c r="AE110" s="16" t="str">
        <f>IF(Production!AE$30&gt;=31,$C110/12,"")</f>
        <v/>
      </c>
      <c r="AF110" s="16" t="str">
        <f>IF(Production!AF$30&gt;=31,$C110/12,"")</f>
        <v/>
      </c>
      <c r="AG110" s="16" t="str">
        <f>IF(Production!AG$30&gt;=31,$C110/12,"")</f>
        <v/>
      </c>
      <c r="AH110" s="16" t="str">
        <f>IF(Production!AH$30&gt;=31,$C110/12,"")</f>
        <v/>
      </c>
      <c r="AI110" s="16" t="str">
        <f>IF(Production!AI$30&gt;=31,$C110/12,"")</f>
        <v/>
      </c>
      <c r="AJ110" s="16" t="str">
        <f>IF(Production!AJ$30&gt;=31,$C110/12,"")</f>
        <v/>
      </c>
      <c r="AK110" s="16" t="str">
        <f>IF(Production!AK$30&gt;=31,$C110/12,"")</f>
        <v/>
      </c>
      <c r="AL110" s="16" t="str">
        <f>IF(Production!AL$30&gt;=31,$C110/12,"")</f>
        <v/>
      </c>
      <c r="AM110" s="16" t="str">
        <f>IF(Production!AM$30&gt;=31,$C110/12,"")</f>
        <v/>
      </c>
      <c r="AN110" s="16" t="str">
        <f>IF(Production!AN$30&gt;=31,$C110/12,"")</f>
        <v/>
      </c>
      <c r="AO110" s="16" t="str">
        <f>IF(Production!AO$30&gt;=31,$C110/12,"")</f>
        <v/>
      </c>
      <c r="AP110" s="16" t="str">
        <f>IF(Production!AP$30&gt;=31,$C110/12,"")</f>
        <v/>
      </c>
      <c r="AR110" s="16">
        <f t="shared" si="464"/>
        <v>0</v>
      </c>
      <c r="AS110" s="16">
        <f t="shared" si="482"/>
        <v>0</v>
      </c>
      <c r="AT110" s="16">
        <f t="shared" si="483"/>
        <v>0</v>
      </c>
      <c r="AU110" s="16">
        <f t="shared" si="484"/>
        <v>0</v>
      </c>
      <c r="AV110" s="16">
        <f t="shared" si="485"/>
        <v>0</v>
      </c>
      <c r="AX110" s="16">
        <f t="shared" si="486"/>
        <v>0</v>
      </c>
      <c r="AY110" s="16">
        <f t="shared" si="487"/>
        <v>0</v>
      </c>
      <c r="AZ110" s="16">
        <f t="shared" si="488"/>
        <v>0</v>
      </c>
      <c r="BA110" s="16">
        <f t="shared" si="489"/>
        <v>0</v>
      </c>
      <c r="BB110" s="16">
        <f t="shared" si="490"/>
        <v>0</v>
      </c>
      <c r="BJ110" s="16">
        <f t="shared" si="479"/>
        <v>0</v>
      </c>
      <c r="BK110" s="16">
        <f>IF(BK$133&gt;=31,+$C110/4,0)</f>
        <v>0</v>
      </c>
      <c r="BL110" s="16">
        <f t="shared" ref="BL110:BN110" si="503">IF(BL$133&gt;=31,+$C110/4,0)</f>
        <v>0</v>
      </c>
      <c r="BM110" s="16">
        <f t="shared" si="503"/>
        <v>0</v>
      </c>
      <c r="BN110" s="16">
        <f t="shared" si="503"/>
        <v>0</v>
      </c>
      <c r="BP110" s="16">
        <f t="shared" si="480"/>
        <v>0</v>
      </c>
      <c r="BQ110" s="16">
        <f t="shared" ref="BQ110:BT110" si="504">IF(BQ$133&gt;=31,+$C110/4,0)</f>
        <v>0</v>
      </c>
      <c r="BR110" s="16">
        <f t="shared" si="504"/>
        <v>0</v>
      </c>
      <c r="BS110" s="16">
        <f t="shared" si="504"/>
        <v>0</v>
      </c>
      <c r="BT110" s="16">
        <f t="shared" si="504"/>
        <v>0</v>
      </c>
      <c r="BV110" s="16">
        <f t="shared" si="481"/>
        <v>37500</v>
      </c>
      <c r="BW110" s="16">
        <f t="shared" ref="BW110:BZ110" si="505">IF(BW$133&gt;=31,+$C110/4,0)</f>
        <v>0</v>
      </c>
      <c r="BX110" s="16">
        <f t="shared" si="505"/>
        <v>12500</v>
      </c>
      <c r="BY110" s="16">
        <f t="shared" si="505"/>
        <v>12500</v>
      </c>
      <c r="BZ110" s="16">
        <f t="shared" si="505"/>
        <v>12500</v>
      </c>
    </row>
    <row r="111" spans="2:78" s="265" customFormat="1" x14ac:dyDescent="0.25">
      <c r="B111" s="16" t="s">
        <v>1097</v>
      </c>
      <c r="C111" s="16">
        <v>50000</v>
      </c>
      <c r="U111" s="16" t="str">
        <f>IF(Production!U$30&gt;=32,$C111/12,"")</f>
        <v/>
      </c>
      <c r="V111" s="16" t="str">
        <f>IF(Production!V$30&gt;=32,$C111/12,"")</f>
        <v/>
      </c>
      <c r="W111" s="16" t="str">
        <f>IF(Production!W$30&gt;=32,$C111/12,"")</f>
        <v/>
      </c>
      <c r="X111" s="16" t="str">
        <f>IF(Production!X$30&gt;=32,$C111/12,"")</f>
        <v/>
      </c>
      <c r="Y111" s="16" t="str">
        <f>IF(Production!Y$30&gt;=32,$C111/12,"")</f>
        <v/>
      </c>
      <c r="Z111" s="16" t="str">
        <f>IF(Production!Z$30&gt;=32,$C111/12,"")</f>
        <v/>
      </c>
      <c r="AA111" s="16" t="str">
        <f>IF(Production!AA$30&gt;=32,$C111/12,"")</f>
        <v/>
      </c>
      <c r="AB111" s="16" t="str">
        <f>IF(Production!AB$30&gt;=32,$C111/12,"")</f>
        <v/>
      </c>
      <c r="AC111" s="16" t="str">
        <f>IF(Production!AC$30&gt;=32,$C111/12,"")</f>
        <v/>
      </c>
      <c r="AE111" s="16" t="str">
        <f>IF(Production!AE$30&gt;=32,$C111/12,"")</f>
        <v/>
      </c>
      <c r="AF111" s="16" t="str">
        <f>IF(Production!AF$30&gt;=32,$C111/12,"")</f>
        <v/>
      </c>
      <c r="AG111" s="16" t="str">
        <f>IF(Production!AG$30&gt;=32,$C111/12,"")</f>
        <v/>
      </c>
      <c r="AH111" s="16" t="str">
        <f>IF(Production!AH$30&gt;=32,$C111/12,"")</f>
        <v/>
      </c>
      <c r="AI111" s="16" t="str">
        <f>IF(Production!AI$30&gt;=32,$C111/12,"")</f>
        <v/>
      </c>
      <c r="AJ111" s="16" t="str">
        <f>IF(Production!AJ$30&gt;=32,$C111/12,"")</f>
        <v/>
      </c>
      <c r="AK111" s="16" t="str">
        <f>IF(Production!AK$30&gt;=32,$C111/12,"")</f>
        <v/>
      </c>
      <c r="AL111" s="16" t="str">
        <f>IF(Production!AL$30&gt;=32,$C111/12,"")</f>
        <v/>
      </c>
      <c r="AM111" s="16" t="str">
        <f>IF(Production!AM$30&gt;=32,$C111/12,"")</f>
        <v/>
      </c>
      <c r="AN111" s="16" t="str">
        <f>IF(Production!AN$30&gt;=32,$C111/12,"")</f>
        <v/>
      </c>
      <c r="AO111" s="16" t="str">
        <f>IF(Production!AO$30&gt;=32,$C111/12,"")</f>
        <v/>
      </c>
      <c r="AP111" s="16" t="str">
        <f>IF(Production!AP$30&gt;=32,$C111/12,"")</f>
        <v/>
      </c>
      <c r="AR111" s="16">
        <f t="shared" si="464"/>
        <v>0</v>
      </c>
      <c r="AS111" s="16">
        <f t="shared" si="482"/>
        <v>0</v>
      </c>
      <c r="AT111" s="16">
        <f t="shared" si="483"/>
        <v>0</v>
      </c>
      <c r="AU111" s="16">
        <f t="shared" si="484"/>
        <v>0</v>
      </c>
      <c r="AV111" s="16">
        <f t="shared" si="485"/>
        <v>0</v>
      </c>
      <c r="AX111" s="16">
        <f t="shared" si="486"/>
        <v>0</v>
      </c>
      <c r="AY111" s="16">
        <f t="shared" si="487"/>
        <v>0</v>
      </c>
      <c r="AZ111" s="16">
        <f t="shared" si="488"/>
        <v>0</v>
      </c>
      <c r="BA111" s="16">
        <f t="shared" si="489"/>
        <v>0</v>
      </c>
      <c r="BB111" s="16">
        <f t="shared" si="490"/>
        <v>0</v>
      </c>
      <c r="BJ111" s="16">
        <f t="shared" si="479"/>
        <v>0</v>
      </c>
      <c r="BK111" s="16">
        <f>IF(BK$133&gt;=32,+$C111/4,0)</f>
        <v>0</v>
      </c>
      <c r="BL111" s="16">
        <f t="shared" ref="BL111:BN111" si="506">IF(BL$133&gt;=32,+$C111/4,0)</f>
        <v>0</v>
      </c>
      <c r="BM111" s="16">
        <f t="shared" si="506"/>
        <v>0</v>
      </c>
      <c r="BN111" s="16">
        <f t="shared" si="506"/>
        <v>0</v>
      </c>
      <c r="BP111" s="16">
        <f t="shared" si="480"/>
        <v>0</v>
      </c>
      <c r="BQ111" s="16">
        <f t="shared" ref="BQ111:BT111" si="507">IF(BQ$133&gt;=32,+$C111/4,0)</f>
        <v>0</v>
      </c>
      <c r="BR111" s="16">
        <f t="shared" si="507"/>
        <v>0</v>
      </c>
      <c r="BS111" s="16">
        <f t="shared" si="507"/>
        <v>0</v>
      </c>
      <c r="BT111" s="16">
        <f t="shared" si="507"/>
        <v>0</v>
      </c>
      <c r="BV111" s="16">
        <f t="shared" si="481"/>
        <v>37500</v>
      </c>
      <c r="BW111" s="16">
        <f t="shared" ref="BW111:BZ111" si="508">IF(BW$133&gt;=32,+$C111/4,0)</f>
        <v>0</v>
      </c>
      <c r="BX111" s="16">
        <f t="shared" si="508"/>
        <v>12500</v>
      </c>
      <c r="BY111" s="16">
        <f t="shared" si="508"/>
        <v>12500</v>
      </c>
      <c r="BZ111" s="16">
        <f t="shared" si="508"/>
        <v>12500</v>
      </c>
    </row>
    <row r="112" spans="2:78" s="265" customFormat="1" x14ac:dyDescent="0.25">
      <c r="B112" s="16" t="s">
        <v>1098</v>
      </c>
      <c r="C112" s="16">
        <v>50000</v>
      </c>
      <c r="U112" s="16" t="str">
        <f>IF(Production!U$30&gt;=33,$C112/12,"")</f>
        <v/>
      </c>
      <c r="V112" s="16" t="str">
        <f>IF(Production!V$30&gt;=33,$C112/12,"")</f>
        <v/>
      </c>
      <c r="W112" s="16" t="str">
        <f>IF(Production!W$30&gt;=33,$C112/12,"")</f>
        <v/>
      </c>
      <c r="X112" s="16" t="str">
        <f>IF(Production!X$30&gt;=33,$C112/12,"")</f>
        <v/>
      </c>
      <c r="Y112" s="16" t="str">
        <f>IF(Production!Y$30&gt;=33,$C112/12,"")</f>
        <v/>
      </c>
      <c r="Z112" s="16" t="str">
        <f>IF(Production!Z$30&gt;=33,$C112/12,"")</f>
        <v/>
      </c>
      <c r="AA112" s="16" t="str">
        <f>IF(Production!AA$30&gt;=33,$C112/12,"")</f>
        <v/>
      </c>
      <c r="AB112" s="16" t="str">
        <f>IF(Production!AB$30&gt;=33,$C112/12,"")</f>
        <v/>
      </c>
      <c r="AC112" s="16" t="str">
        <f>IF(Production!AC$30&gt;=33,$C112/12,"")</f>
        <v/>
      </c>
      <c r="AE112" s="16" t="str">
        <f>IF(Production!AE$30&gt;=33,$C112/12,"")</f>
        <v/>
      </c>
      <c r="AF112" s="16" t="str">
        <f>IF(Production!AF$30&gt;=33,$C112/12,"")</f>
        <v/>
      </c>
      <c r="AG112" s="16" t="str">
        <f>IF(Production!AG$30&gt;=33,$C112/12,"")</f>
        <v/>
      </c>
      <c r="AH112" s="16" t="str">
        <f>IF(Production!AH$30&gt;=33,$C112/12,"")</f>
        <v/>
      </c>
      <c r="AI112" s="16" t="str">
        <f>IF(Production!AI$30&gt;=33,$C112/12,"")</f>
        <v/>
      </c>
      <c r="AJ112" s="16" t="str">
        <f>IF(Production!AJ$30&gt;=33,$C112/12,"")</f>
        <v/>
      </c>
      <c r="AK112" s="16" t="str">
        <f>IF(Production!AK$30&gt;=33,$C112/12,"")</f>
        <v/>
      </c>
      <c r="AL112" s="16" t="str">
        <f>IF(Production!AL$30&gt;=33,$C112/12,"")</f>
        <v/>
      </c>
      <c r="AM112" s="16" t="str">
        <f>IF(Production!AM$30&gt;=33,$C112/12,"")</f>
        <v/>
      </c>
      <c r="AN112" s="16" t="str">
        <f>IF(Production!AN$30&gt;=33,$C112/12,"")</f>
        <v/>
      </c>
      <c r="AO112" s="16" t="str">
        <f>IF(Production!AO$30&gt;=33,$C112/12,"")</f>
        <v/>
      </c>
      <c r="AP112" s="16" t="str">
        <f>IF(Production!AP$30&gt;=33,$C112/12,"")</f>
        <v/>
      </c>
      <c r="AR112" s="16">
        <f t="shared" si="464"/>
        <v>0</v>
      </c>
      <c r="AS112" s="16">
        <f t="shared" si="482"/>
        <v>0</v>
      </c>
      <c r="AT112" s="16">
        <f t="shared" si="483"/>
        <v>0</v>
      </c>
      <c r="AU112" s="16">
        <f t="shared" si="484"/>
        <v>0</v>
      </c>
      <c r="AV112" s="16">
        <f t="shared" si="485"/>
        <v>0</v>
      </c>
      <c r="AX112" s="16">
        <f t="shared" si="486"/>
        <v>0</v>
      </c>
      <c r="AY112" s="16">
        <f t="shared" si="487"/>
        <v>0</v>
      </c>
      <c r="AZ112" s="16">
        <f t="shared" si="488"/>
        <v>0</v>
      </c>
      <c r="BA112" s="16">
        <f t="shared" si="489"/>
        <v>0</v>
      </c>
      <c r="BB112" s="16">
        <f t="shared" si="490"/>
        <v>0</v>
      </c>
      <c r="BJ112" s="16">
        <f t="shared" si="479"/>
        <v>0</v>
      </c>
      <c r="BK112" s="16">
        <f>IF(BK$133&gt;=33,+$C112/4,0)</f>
        <v>0</v>
      </c>
      <c r="BL112" s="16">
        <f t="shared" ref="BL112:BN112" si="509">IF(BL$133&gt;=33,+$C112/4,0)</f>
        <v>0</v>
      </c>
      <c r="BM112" s="16">
        <f t="shared" si="509"/>
        <v>0</v>
      </c>
      <c r="BN112" s="16">
        <f t="shared" si="509"/>
        <v>0</v>
      </c>
      <c r="BP112" s="16">
        <f t="shared" si="480"/>
        <v>0</v>
      </c>
      <c r="BQ112" s="16">
        <f t="shared" ref="BQ112:BT112" si="510">IF(BQ$133&gt;=33,+$C112/4,0)</f>
        <v>0</v>
      </c>
      <c r="BR112" s="16">
        <f t="shared" si="510"/>
        <v>0</v>
      </c>
      <c r="BS112" s="16">
        <f t="shared" si="510"/>
        <v>0</v>
      </c>
      <c r="BT112" s="16">
        <f t="shared" si="510"/>
        <v>0</v>
      </c>
      <c r="BV112" s="16">
        <f t="shared" si="481"/>
        <v>37500</v>
      </c>
      <c r="BW112" s="16">
        <f t="shared" ref="BW112:BZ112" si="511">IF(BW$133&gt;=33,+$C112/4,0)</f>
        <v>0</v>
      </c>
      <c r="BX112" s="16">
        <f t="shared" si="511"/>
        <v>12500</v>
      </c>
      <c r="BY112" s="16">
        <f t="shared" si="511"/>
        <v>12500</v>
      </c>
      <c r="BZ112" s="16">
        <f t="shared" si="511"/>
        <v>12500</v>
      </c>
    </row>
    <row r="113" spans="2:78" s="265" customFormat="1" x14ac:dyDescent="0.25">
      <c r="B113" s="16" t="s">
        <v>1099</v>
      </c>
      <c r="C113" s="16">
        <v>50000</v>
      </c>
      <c r="U113" s="16" t="str">
        <f>IF(Production!U$30&gt;=34,$C113/12,"")</f>
        <v/>
      </c>
      <c r="V113" s="16" t="str">
        <f>IF(Production!V$30&gt;=34,$C113/12,"")</f>
        <v/>
      </c>
      <c r="W113" s="16" t="str">
        <f>IF(Production!W$30&gt;=34,$C113/12,"")</f>
        <v/>
      </c>
      <c r="X113" s="16" t="str">
        <f>IF(Production!X$30&gt;=34,$C113/12,"")</f>
        <v/>
      </c>
      <c r="Y113" s="16" t="str">
        <f>IF(Production!Y$30&gt;=34,$C113/12,"")</f>
        <v/>
      </c>
      <c r="Z113" s="16" t="str">
        <f>IF(Production!Z$30&gt;=34,$C113/12,"")</f>
        <v/>
      </c>
      <c r="AA113" s="16" t="str">
        <f>IF(Production!AA$30&gt;=34,$C113/12,"")</f>
        <v/>
      </c>
      <c r="AB113" s="16" t="str">
        <f>IF(Production!AB$30&gt;=34,$C113/12,"")</f>
        <v/>
      </c>
      <c r="AC113" s="16" t="str">
        <f>IF(Production!AC$30&gt;=34,$C113/12,"")</f>
        <v/>
      </c>
      <c r="AE113" s="16" t="str">
        <f>IF(Production!AE$30&gt;=34,$C113/12,"")</f>
        <v/>
      </c>
      <c r="AF113" s="16" t="str">
        <f>IF(Production!AF$30&gt;=34,$C113/12,"")</f>
        <v/>
      </c>
      <c r="AG113" s="16" t="str">
        <f>IF(Production!AG$30&gt;=34,$C113/12,"")</f>
        <v/>
      </c>
      <c r="AH113" s="16" t="str">
        <f>IF(Production!AH$30&gt;=34,$C113/12,"")</f>
        <v/>
      </c>
      <c r="AI113" s="16" t="str">
        <f>IF(Production!AI$30&gt;=34,$C113/12,"")</f>
        <v/>
      </c>
      <c r="AJ113" s="16" t="str">
        <f>IF(Production!AJ$30&gt;=34,$C113/12,"")</f>
        <v/>
      </c>
      <c r="AK113" s="16" t="str">
        <f>IF(Production!AK$30&gt;=34,$C113/12,"")</f>
        <v/>
      </c>
      <c r="AL113" s="16" t="str">
        <f>IF(Production!AL$30&gt;=34,$C113/12,"")</f>
        <v/>
      </c>
      <c r="AM113" s="16" t="str">
        <f>IF(Production!AM$30&gt;=34,$C113/12,"")</f>
        <v/>
      </c>
      <c r="AN113" s="16" t="str">
        <f>IF(Production!AN$30&gt;=34,$C113/12,"")</f>
        <v/>
      </c>
      <c r="AO113" s="16" t="str">
        <f>IF(Production!AO$30&gt;=34,$C113/12,"")</f>
        <v/>
      </c>
      <c r="AP113" s="16" t="str">
        <f>IF(Production!AP$30&gt;=34,$C113/12,"")</f>
        <v/>
      </c>
      <c r="AR113" s="16">
        <f t="shared" si="464"/>
        <v>0</v>
      </c>
      <c r="AS113" s="16">
        <f t="shared" si="482"/>
        <v>0</v>
      </c>
      <c r="AT113" s="16">
        <f t="shared" si="483"/>
        <v>0</v>
      </c>
      <c r="AU113" s="16">
        <f t="shared" si="484"/>
        <v>0</v>
      </c>
      <c r="AV113" s="16">
        <f t="shared" si="485"/>
        <v>0</v>
      </c>
      <c r="AX113" s="16">
        <f t="shared" si="486"/>
        <v>0</v>
      </c>
      <c r="AY113" s="16">
        <f t="shared" si="487"/>
        <v>0</v>
      </c>
      <c r="AZ113" s="16">
        <f t="shared" si="488"/>
        <v>0</v>
      </c>
      <c r="BA113" s="16">
        <f t="shared" si="489"/>
        <v>0</v>
      </c>
      <c r="BB113" s="16">
        <f t="shared" si="490"/>
        <v>0</v>
      </c>
      <c r="BJ113" s="16">
        <f t="shared" si="479"/>
        <v>0</v>
      </c>
      <c r="BK113" s="16">
        <f>IF(BK$133&gt;=34,+$C113/4,0)</f>
        <v>0</v>
      </c>
      <c r="BL113" s="16">
        <f t="shared" ref="BL113:BN113" si="512">IF(BL$133&gt;=34,+$C113/4,0)</f>
        <v>0</v>
      </c>
      <c r="BM113" s="16">
        <f t="shared" si="512"/>
        <v>0</v>
      </c>
      <c r="BN113" s="16">
        <f t="shared" si="512"/>
        <v>0</v>
      </c>
      <c r="BP113" s="16">
        <f t="shared" si="480"/>
        <v>0</v>
      </c>
      <c r="BQ113" s="16">
        <f t="shared" ref="BQ113:BT113" si="513">IF(BQ$133&gt;=34,+$C113/4,0)</f>
        <v>0</v>
      </c>
      <c r="BR113" s="16">
        <f t="shared" si="513"/>
        <v>0</v>
      </c>
      <c r="BS113" s="16">
        <f t="shared" si="513"/>
        <v>0</v>
      </c>
      <c r="BT113" s="16">
        <f t="shared" si="513"/>
        <v>0</v>
      </c>
      <c r="BV113" s="16">
        <f t="shared" si="481"/>
        <v>25000</v>
      </c>
      <c r="BW113" s="16">
        <f t="shared" ref="BW113:BZ113" si="514">IF(BW$133&gt;=34,+$C113/4,0)</f>
        <v>0</v>
      </c>
      <c r="BX113" s="16">
        <f t="shared" si="514"/>
        <v>0</v>
      </c>
      <c r="BY113" s="16">
        <f t="shared" si="514"/>
        <v>12500</v>
      </c>
      <c r="BZ113" s="16">
        <f t="shared" si="514"/>
        <v>12500</v>
      </c>
    </row>
    <row r="114" spans="2:78" s="265" customFormat="1" x14ac:dyDescent="0.25">
      <c r="B114" s="16" t="s">
        <v>1100</v>
      </c>
      <c r="C114" s="16">
        <v>50000</v>
      </c>
      <c r="U114" s="16" t="str">
        <f>IF(Production!U$30&gt;=35,$C114/12,"")</f>
        <v/>
      </c>
      <c r="V114" s="16" t="str">
        <f>IF(Production!V$30&gt;=35,$C114/12,"")</f>
        <v/>
      </c>
      <c r="W114" s="16" t="str">
        <f>IF(Production!W$30&gt;=35,$C114/12,"")</f>
        <v/>
      </c>
      <c r="X114" s="16" t="str">
        <f>IF(Production!X$30&gt;=35,$C114/12,"")</f>
        <v/>
      </c>
      <c r="Y114" s="16" t="str">
        <f>IF(Production!Y$30&gt;=35,$C114/12,"")</f>
        <v/>
      </c>
      <c r="Z114" s="16" t="str">
        <f>IF(Production!Z$30&gt;=35,$C114/12,"")</f>
        <v/>
      </c>
      <c r="AA114" s="16" t="str">
        <f>IF(Production!AA$30&gt;=35,$C114/12,"")</f>
        <v/>
      </c>
      <c r="AB114" s="16" t="str">
        <f>IF(Production!AB$30&gt;=35,$C114/12,"")</f>
        <v/>
      </c>
      <c r="AC114" s="16" t="str">
        <f>IF(Production!AC$30&gt;=35,$C114/12,"")</f>
        <v/>
      </c>
      <c r="AE114" s="16" t="str">
        <f>IF(Production!AE$30&gt;=35,$C114/12,"")</f>
        <v/>
      </c>
      <c r="AF114" s="16" t="str">
        <f>IF(Production!AF$30&gt;=35,$C114/12,"")</f>
        <v/>
      </c>
      <c r="AG114" s="16" t="str">
        <f>IF(Production!AG$30&gt;=35,$C114/12,"")</f>
        <v/>
      </c>
      <c r="AH114" s="16" t="str">
        <f>IF(Production!AH$30&gt;=35,$C114/12,"")</f>
        <v/>
      </c>
      <c r="AI114" s="16" t="str">
        <f>IF(Production!AI$30&gt;=35,$C114/12,"")</f>
        <v/>
      </c>
      <c r="AJ114" s="16" t="str">
        <f>IF(Production!AJ$30&gt;=35,$C114/12,"")</f>
        <v/>
      </c>
      <c r="AK114" s="16" t="str">
        <f>IF(Production!AK$30&gt;=35,$C114/12,"")</f>
        <v/>
      </c>
      <c r="AL114" s="16" t="str">
        <f>IF(Production!AL$30&gt;=35,$C114/12,"")</f>
        <v/>
      </c>
      <c r="AM114" s="16" t="str">
        <f>IF(Production!AM$30&gt;=35,$C114/12,"")</f>
        <v/>
      </c>
      <c r="AN114" s="16" t="str">
        <f>IF(Production!AN$30&gt;=35,$C114/12,"")</f>
        <v/>
      </c>
      <c r="AO114" s="16" t="str">
        <f>IF(Production!AO$30&gt;=35,$C114/12,"")</f>
        <v/>
      </c>
      <c r="AP114" s="16" t="str">
        <f>IF(Production!AP$30&gt;=35,$C114/12,"")</f>
        <v/>
      </c>
      <c r="AR114" s="16">
        <f t="shared" si="464"/>
        <v>0</v>
      </c>
      <c r="AS114" s="16">
        <f t="shared" si="482"/>
        <v>0</v>
      </c>
      <c r="AT114" s="16">
        <f t="shared" si="483"/>
        <v>0</v>
      </c>
      <c r="AU114" s="16">
        <f t="shared" si="484"/>
        <v>0</v>
      </c>
      <c r="AV114" s="16">
        <f t="shared" si="485"/>
        <v>0</v>
      </c>
      <c r="AX114" s="16">
        <f t="shared" si="486"/>
        <v>0</v>
      </c>
      <c r="AY114" s="16">
        <f t="shared" si="487"/>
        <v>0</v>
      </c>
      <c r="AZ114" s="16">
        <f t="shared" si="488"/>
        <v>0</v>
      </c>
      <c r="BA114" s="16">
        <f t="shared" si="489"/>
        <v>0</v>
      </c>
      <c r="BB114" s="16">
        <f t="shared" si="490"/>
        <v>0</v>
      </c>
      <c r="BJ114" s="16">
        <f t="shared" si="479"/>
        <v>0</v>
      </c>
      <c r="BK114" s="16">
        <f>IF(BK$133&gt;=35,+$C114/4,0)</f>
        <v>0</v>
      </c>
      <c r="BL114" s="16">
        <f t="shared" ref="BL114:BN114" si="515">IF(BL$133&gt;=35,+$C114/4,0)</f>
        <v>0</v>
      </c>
      <c r="BM114" s="16">
        <f t="shared" si="515"/>
        <v>0</v>
      </c>
      <c r="BN114" s="16">
        <f t="shared" si="515"/>
        <v>0</v>
      </c>
      <c r="BP114" s="16">
        <f t="shared" si="480"/>
        <v>0</v>
      </c>
      <c r="BQ114" s="16">
        <f t="shared" ref="BQ114:BT114" si="516">IF(BQ$133&gt;=35,+$C114/4,0)</f>
        <v>0</v>
      </c>
      <c r="BR114" s="16">
        <f t="shared" si="516"/>
        <v>0</v>
      </c>
      <c r="BS114" s="16">
        <f t="shared" si="516"/>
        <v>0</v>
      </c>
      <c r="BT114" s="16">
        <f t="shared" si="516"/>
        <v>0</v>
      </c>
      <c r="BV114" s="16">
        <f t="shared" si="481"/>
        <v>25000</v>
      </c>
      <c r="BW114" s="16">
        <f t="shared" ref="BW114:BZ114" si="517">IF(BW$133&gt;=35,+$C114/4,0)</f>
        <v>0</v>
      </c>
      <c r="BX114" s="16">
        <f t="shared" si="517"/>
        <v>0</v>
      </c>
      <c r="BY114" s="16">
        <f t="shared" si="517"/>
        <v>12500</v>
      </c>
      <c r="BZ114" s="16">
        <f t="shared" si="517"/>
        <v>12500</v>
      </c>
    </row>
    <row r="115" spans="2:78" s="265" customFormat="1" x14ac:dyDescent="0.25">
      <c r="B115" s="16" t="s">
        <v>1101</v>
      </c>
      <c r="C115" s="16">
        <v>50000</v>
      </c>
      <c r="U115" s="16" t="str">
        <f>IF(Production!U$30&gt;=36,$C115/12,"")</f>
        <v/>
      </c>
      <c r="V115" s="16" t="str">
        <f>IF(Production!V$30&gt;=36,$C115/12,"")</f>
        <v/>
      </c>
      <c r="W115" s="16" t="str">
        <f>IF(Production!W$30&gt;=36,$C115/12,"")</f>
        <v/>
      </c>
      <c r="X115" s="16" t="str">
        <f>IF(Production!X$30&gt;=36,$C115/12,"")</f>
        <v/>
      </c>
      <c r="Y115" s="16" t="str">
        <f>IF(Production!Y$30&gt;=36,$C115/12,"")</f>
        <v/>
      </c>
      <c r="Z115" s="16" t="str">
        <f>IF(Production!Z$30&gt;=36,$C115/12,"")</f>
        <v/>
      </c>
      <c r="AA115" s="16" t="str">
        <f>IF(Production!AA$30&gt;=36,$C115/12,"")</f>
        <v/>
      </c>
      <c r="AB115" s="16" t="str">
        <f>IF(Production!AB$30&gt;=36,$C115/12,"")</f>
        <v/>
      </c>
      <c r="AC115" s="16" t="str">
        <f>IF(Production!AC$30&gt;=36,$C115/12,"")</f>
        <v/>
      </c>
      <c r="AE115" s="16" t="str">
        <f>IF(Production!AE$30&gt;=36,$C115/12,"")</f>
        <v/>
      </c>
      <c r="AF115" s="16" t="str">
        <f>IF(Production!AF$30&gt;=36,$C115/12,"")</f>
        <v/>
      </c>
      <c r="AG115" s="16" t="str">
        <f>IF(Production!AG$30&gt;=36,$C115/12,"")</f>
        <v/>
      </c>
      <c r="AH115" s="16" t="str">
        <f>IF(Production!AH$30&gt;=36,$C115/12,"")</f>
        <v/>
      </c>
      <c r="AI115" s="16" t="str">
        <f>IF(Production!AI$30&gt;=36,$C115/12,"")</f>
        <v/>
      </c>
      <c r="AJ115" s="16" t="str">
        <f>IF(Production!AJ$30&gt;=36,$C115/12,"")</f>
        <v/>
      </c>
      <c r="AK115" s="16" t="str">
        <f>IF(Production!AK$30&gt;=36,$C115/12,"")</f>
        <v/>
      </c>
      <c r="AL115" s="16" t="str">
        <f>IF(Production!AL$30&gt;=36,$C115/12,"")</f>
        <v/>
      </c>
      <c r="AM115" s="16" t="str">
        <f>IF(Production!AM$30&gt;=36,$C115/12,"")</f>
        <v/>
      </c>
      <c r="AN115" s="16" t="str">
        <f>IF(Production!AN$30&gt;=36,$C115/12,"")</f>
        <v/>
      </c>
      <c r="AO115" s="16" t="str">
        <f>IF(Production!AO$30&gt;=36,$C115/12,"")</f>
        <v/>
      </c>
      <c r="AP115" s="16" t="str">
        <f>IF(Production!AP$30&gt;=36,$C115/12,"")</f>
        <v/>
      </c>
      <c r="AR115" s="16">
        <f t="shared" si="464"/>
        <v>0</v>
      </c>
      <c r="AS115" s="16">
        <f t="shared" si="482"/>
        <v>0</v>
      </c>
      <c r="AT115" s="16">
        <f t="shared" si="483"/>
        <v>0</v>
      </c>
      <c r="AU115" s="16">
        <f t="shared" si="484"/>
        <v>0</v>
      </c>
      <c r="AV115" s="16">
        <f t="shared" si="485"/>
        <v>0</v>
      </c>
      <c r="AX115" s="16">
        <f t="shared" si="486"/>
        <v>0</v>
      </c>
      <c r="AY115" s="16">
        <f t="shared" si="487"/>
        <v>0</v>
      </c>
      <c r="AZ115" s="16">
        <f t="shared" si="488"/>
        <v>0</v>
      </c>
      <c r="BA115" s="16">
        <f t="shared" si="489"/>
        <v>0</v>
      </c>
      <c r="BB115" s="16">
        <f t="shared" si="490"/>
        <v>0</v>
      </c>
      <c r="BJ115" s="16">
        <f t="shared" si="479"/>
        <v>0</v>
      </c>
      <c r="BK115" s="16">
        <f>IF(BK$133&gt;=36,+$C115/4,0)</f>
        <v>0</v>
      </c>
      <c r="BL115" s="16">
        <f t="shared" ref="BL115:BN115" si="518">IF(BL$133&gt;=36,+$C115/4,0)</f>
        <v>0</v>
      </c>
      <c r="BM115" s="16">
        <f t="shared" si="518"/>
        <v>0</v>
      </c>
      <c r="BN115" s="16">
        <f t="shared" si="518"/>
        <v>0</v>
      </c>
      <c r="BP115" s="16">
        <f t="shared" si="480"/>
        <v>0</v>
      </c>
      <c r="BQ115" s="16">
        <f t="shared" ref="BQ115:BT115" si="519">IF(BQ$133&gt;=36,+$C115/4,0)</f>
        <v>0</v>
      </c>
      <c r="BR115" s="16">
        <f t="shared" si="519"/>
        <v>0</v>
      </c>
      <c r="BS115" s="16">
        <f t="shared" si="519"/>
        <v>0</v>
      </c>
      <c r="BT115" s="16">
        <f t="shared" si="519"/>
        <v>0</v>
      </c>
      <c r="BV115" s="16">
        <f t="shared" si="481"/>
        <v>25000</v>
      </c>
      <c r="BW115" s="16">
        <f t="shared" ref="BW115:BZ115" si="520">IF(BW$133&gt;=36,+$C115/4,0)</f>
        <v>0</v>
      </c>
      <c r="BX115" s="16">
        <f t="shared" si="520"/>
        <v>0</v>
      </c>
      <c r="BY115" s="16">
        <f t="shared" si="520"/>
        <v>12500</v>
      </c>
      <c r="BZ115" s="16">
        <f t="shared" si="520"/>
        <v>12500</v>
      </c>
    </row>
    <row r="116" spans="2:78" s="265" customFormat="1" x14ac:dyDescent="0.25">
      <c r="B116" s="16" t="s">
        <v>1102</v>
      </c>
      <c r="C116" s="16">
        <v>50000</v>
      </c>
      <c r="U116" s="16" t="str">
        <f>IF(Production!U$30&gt;=37,$C116/12,"")</f>
        <v/>
      </c>
      <c r="V116" s="16" t="str">
        <f>IF(Production!V$30&gt;=37,$C116/12,"")</f>
        <v/>
      </c>
      <c r="W116" s="16" t="str">
        <f>IF(Production!W$30&gt;=37,$C116/12,"")</f>
        <v/>
      </c>
      <c r="X116" s="16" t="str">
        <f>IF(Production!X$30&gt;=37,$C116/12,"")</f>
        <v/>
      </c>
      <c r="Y116" s="16" t="str">
        <f>IF(Production!Y$30&gt;=37,$C116/12,"")</f>
        <v/>
      </c>
      <c r="Z116" s="16" t="str">
        <f>IF(Production!Z$30&gt;=37,$C116/12,"")</f>
        <v/>
      </c>
      <c r="AA116" s="16" t="str">
        <f>IF(Production!AA$30&gt;=37,$C116/12,"")</f>
        <v/>
      </c>
      <c r="AB116" s="16" t="str">
        <f>IF(Production!AB$30&gt;=37,$C116/12,"")</f>
        <v/>
      </c>
      <c r="AC116" s="16" t="str">
        <f>IF(Production!AC$30&gt;=37,$C116/12,"")</f>
        <v/>
      </c>
      <c r="AE116" s="16" t="str">
        <f>IF(Production!AE$30&gt;=37,$C116/12,"")</f>
        <v/>
      </c>
      <c r="AF116" s="16" t="str">
        <f>IF(Production!AF$30&gt;=37,$C116/12,"")</f>
        <v/>
      </c>
      <c r="AG116" s="16" t="str">
        <f>IF(Production!AG$30&gt;=37,$C116/12,"")</f>
        <v/>
      </c>
      <c r="AH116" s="16" t="str">
        <f>IF(Production!AH$30&gt;=37,$C116/12,"")</f>
        <v/>
      </c>
      <c r="AI116" s="16" t="str">
        <f>IF(Production!AI$30&gt;=37,$C116/12,"")</f>
        <v/>
      </c>
      <c r="AJ116" s="16" t="str">
        <f>IF(Production!AJ$30&gt;=37,$C116/12,"")</f>
        <v/>
      </c>
      <c r="AK116" s="16" t="str">
        <f>IF(Production!AK$30&gt;=37,$C116/12,"")</f>
        <v/>
      </c>
      <c r="AL116" s="16" t="str">
        <f>IF(Production!AL$30&gt;=37,$C116/12,"")</f>
        <v/>
      </c>
      <c r="AM116" s="16" t="str">
        <f>IF(Production!AM$30&gt;=37,$C116/12,"")</f>
        <v/>
      </c>
      <c r="AN116" s="16" t="str">
        <f>IF(Production!AN$30&gt;=37,$C116/12,"")</f>
        <v/>
      </c>
      <c r="AO116" s="16" t="str">
        <f>IF(Production!AO$30&gt;=37,$C116/12,"")</f>
        <v/>
      </c>
      <c r="AP116" s="16" t="str">
        <f>IF(Production!AP$30&gt;=37,$C116/12,"")</f>
        <v/>
      </c>
      <c r="AR116" s="16">
        <f t="shared" si="464"/>
        <v>0</v>
      </c>
      <c r="AS116" s="16">
        <f t="shared" si="482"/>
        <v>0</v>
      </c>
      <c r="AT116" s="16">
        <f t="shared" si="483"/>
        <v>0</v>
      </c>
      <c r="AU116" s="16">
        <f t="shared" si="484"/>
        <v>0</v>
      </c>
      <c r="AV116" s="16">
        <f t="shared" si="485"/>
        <v>0</v>
      </c>
      <c r="AX116" s="16">
        <f t="shared" si="486"/>
        <v>0</v>
      </c>
      <c r="AY116" s="16">
        <f t="shared" si="487"/>
        <v>0</v>
      </c>
      <c r="AZ116" s="16">
        <f t="shared" si="488"/>
        <v>0</v>
      </c>
      <c r="BA116" s="16">
        <f t="shared" si="489"/>
        <v>0</v>
      </c>
      <c r="BB116" s="16">
        <f t="shared" si="490"/>
        <v>0</v>
      </c>
      <c r="BJ116" s="16">
        <f t="shared" si="479"/>
        <v>0</v>
      </c>
      <c r="BK116" s="16">
        <f>IF(BK$133&gt;=37,+$C116/4,0)</f>
        <v>0</v>
      </c>
      <c r="BL116" s="16">
        <f t="shared" ref="BL116:BN116" si="521">IF(BL$133&gt;=37,+$C116/4,0)</f>
        <v>0</v>
      </c>
      <c r="BM116" s="16">
        <f t="shared" si="521"/>
        <v>0</v>
      </c>
      <c r="BN116" s="16">
        <f t="shared" si="521"/>
        <v>0</v>
      </c>
      <c r="BP116" s="16">
        <f t="shared" si="480"/>
        <v>0</v>
      </c>
      <c r="BQ116" s="16">
        <f t="shared" ref="BQ116:BT116" si="522">IF(BQ$133&gt;=37,+$C116/4,0)</f>
        <v>0</v>
      </c>
      <c r="BR116" s="16">
        <f t="shared" si="522"/>
        <v>0</v>
      </c>
      <c r="BS116" s="16">
        <f t="shared" si="522"/>
        <v>0</v>
      </c>
      <c r="BT116" s="16">
        <f t="shared" si="522"/>
        <v>0</v>
      </c>
      <c r="BV116" s="16">
        <f t="shared" si="481"/>
        <v>12500</v>
      </c>
      <c r="BW116" s="16">
        <f t="shared" ref="BW116:BZ116" si="523">IF(BW$133&gt;=37,+$C116/4,0)</f>
        <v>0</v>
      </c>
      <c r="BX116" s="16">
        <f t="shared" si="523"/>
        <v>0</v>
      </c>
      <c r="BY116" s="16">
        <f t="shared" si="523"/>
        <v>0</v>
      </c>
      <c r="BZ116" s="16">
        <f t="shared" si="523"/>
        <v>12500</v>
      </c>
    </row>
    <row r="117" spans="2:78" s="265" customFormat="1" x14ac:dyDescent="0.25">
      <c r="B117" s="16" t="s">
        <v>1103</v>
      </c>
      <c r="C117" s="16">
        <v>50000</v>
      </c>
      <c r="U117" s="16" t="str">
        <f>IF(Production!U$30&gt;=38,$C117/12,"")</f>
        <v/>
      </c>
      <c r="V117" s="16" t="str">
        <f>IF(Production!V$30&gt;=38,$C117/12,"")</f>
        <v/>
      </c>
      <c r="W117" s="16" t="str">
        <f>IF(Production!W$30&gt;=38,$C117/12,"")</f>
        <v/>
      </c>
      <c r="X117" s="16" t="str">
        <f>IF(Production!X$30&gt;=38,$C117/12,"")</f>
        <v/>
      </c>
      <c r="Y117" s="16" t="str">
        <f>IF(Production!Y$30&gt;=38,$C117/12,"")</f>
        <v/>
      </c>
      <c r="Z117" s="16" t="str">
        <f>IF(Production!Z$30&gt;=38,$C117/12,"")</f>
        <v/>
      </c>
      <c r="AA117" s="16" t="str">
        <f>IF(Production!AA$30&gt;=38,$C117/12,"")</f>
        <v/>
      </c>
      <c r="AB117" s="16" t="str">
        <f>IF(Production!AB$30&gt;=38,$C117/12,"")</f>
        <v/>
      </c>
      <c r="AC117" s="16" t="str">
        <f>IF(Production!AC$30&gt;=38,$C117/12,"")</f>
        <v/>
      </c>
      <c r="AE117" s="16" t="str">
        <f>IF(Production!AE$30&gt;=38,$C117/12,"")</f>
        <v/>
      </c>
      <c r="AF117" s="16" t="str">
        <f>IF(Production!AF$30&gt;=38,$C117/12,"")</f>
        <v/>
      </c>
      <c r="AG117" s="16" t="str">
        <f>IF(Production!AG$30&gt;=38,$C117/12,"")</f>
        <v/>
      </c>
      <c r="AH117" s="16" t="str">
        <f>IF(Production!AH$30&gt;=38,$C117/12,"")</f>
        <v/>
      </c>
      <c r="AI117" s="16" t="str">
        <f>IF(Production!AI$30&gt;=38,$C117/12,"")</f>
        <v/>
      </c>
      <c r="AJ117" s="16" t="str">
        <f>IF(Production!AJ$30&gt;=38,$C117/12,"")</f>
        <v/>
      </c>
      <c r="AK117" s="16" t="str">
        <f>IF(Production!AK$30&gt;=38,$C117/12,"")</f>
        <v/>
      </c>
      <c r="AL117" s="16" t="str">
        <f>IF(Production!AL$30&gt;=38,$C117/12,"")</f>
        <v/>
      </c>
      <c r="AM117" s="16" t="str">
        <f>IF(Production!AM$30&gt;=38,$C117/12,"")</f>
        <v/>
      </c>
      <c r="AN117" s="16" t="str">
        <f>IF(Production!AN$30&gt;=38,$C117/12,"")</f>
        <v/>
      </c>
      <c r="AO117" s="16" t="str">
        <f>IF(Production!AO$30&gt;=38,$C117/12,"")</f>
        <v/>
      </c>
      <c r="AP117" s="16" t="str">
        <f>IF(Production!AP$30&gt;=38,$C117/12,"")</f>
        <v/>
      </c>
      <c r="AR117" s="16">
        <f t="shared" si="464"/>
        <v>0</v>
      </c>
      <c r="AS117" s="16">
        <f t="shared" si="482"/>
        <v>0</v>
      </c>
      <c r="AT117" s="16">
        <f t="shared" si="483"/>
        <v>0</v>
      </c>
      <c r="AU117" s="16">
        <f t="shared" si="484"/>
        <v>0</v>
      </c>
      <c r="AV117" s="16">
        <f t="shared" si="485"/>
        <v>0</v>
      </c>
      <c r="AX117" s="16">
        <f t="shared" si="486"/>
        <v>0</v>
      </c>
      <c r="AY117" s="16">
        <f t="shared" si="487"/>
        <v>0</v>
      </c>
      <c r="AZ117" s="16">
        <f t="shared" si="488"/>
        <v>0</v>
      </c>
      <c r="BA117" s="16">
        <f t="shared" si="489"/>
        <v>0</v>
      </c>
      <c r="BB117" s="16">
        <f t="shared" si="490"/>
        <v>0</v>
      </c>
      <c r="BJ117" s="16">
        <f t="shared" si="479"/>
        <v>0</v>
      </c>
      <c r="BK117" s="16">
        <f>IF(BK$133&gt;=38,+$C117/4,0)</f>
        <v>0</v>
      </c>
      <c r="BL117" s="16">
        <f t="shared" ref="BL117:BN117" si="524">IF(BL$133&gt;=38,+$C117/4,0)</f>
        <v>0</v>
      </c>
      <c r="BM117" s="16">
        <f t="shared" si="524"/>
        <v>0</v>
      </c>
      <c r="BN117" s="16">
        <f t="shared" si="524"/>
        <v>0</v>
      </c>
      <c r="BP117" s="16">
        <f t="shared" si="480"/>
        <v>0</v>
      </c>
      <c r="BQ117" s="16">
        <f t="shared" ref="BQ117:BT117" si="525">IF(BQ$133&gt;=38,+$C117/4,0)</f>
        <v>0</v>
      </c>
      <c r="BR117" s="16">
        <f t="shared" si="525"/>
        <v>0</v>
      </c>
      <c r="BS117" s="16">
        <f t="shared" si="525"/>
        <v>0</v>
      </c>
      <c r="BT117" s="16">
        <f t="shared" si="525"/>
        <v>0</v>
      </c>
      <c r="BV117" s="16">
        <f t="shared" si="481"/>
        <v>12500</v>
      </c>
      <c r="BW117" s="16">
        <f t="shared" ref="BW117:BZ117" si="526">IF(BW$133&gt;=38,+$C117/4,0)</f>
        <v>0</v>
      </c>
      <c r="BX117" s="16">
        <f t="shared" si="526"/>
        <v>0</v>
      </c>
      <c r="BY117" s="16">
        <f t="shared" si="526"/>
        <v>0</v>
      </c>
      <c r="BZ117" s="16">
        <f t="shared" si="526"/>
        <v>12500</v>
      </c>
    </row>
    <row r="118" spans="2:78" s="265" customFormat="1" x14ac:dyDescent="0.25">
      <c r="B118" s="16" t="s">
        <v>1104</v>
      </c>
      <c r="C118" s="16">
        <v>50000</v>
      </c>
      <c r="U118" s="16" t="str">
        <f>IF(Production!U$30&gt;=39,$C118/12,"")</f>
        <v/>
      </c>
      <c r="V118" s="16" t="str">
        <f>IF(Production!V$30&gt;=39,$C118/12,"")</f>
        <v/>
      </c>
      <c r="W118" s="16" t="str">
        <f>IF(Production!W$30&gt;=39,$C118/12,"")</f>
        <v/>
      </c>
      <c r="X118" s="16" t="str">
        <f>IF(Production!X$30&gt;=39,$C118/12,"")</f>
        <v/>
      </c>
      <c r="Y118" s="16" t="str">
        <f>IF(Production!Y$30&gt;=39,$C118/12,"")</f>
        <v/>
      </c>
      <c r="Z118" s="16" t="str">
        <f>IF(Production!Z$30&gt;=39,$C118/12,"")</f>
        <v/>
      </c>
      <c r="AA118" s="16" t="str">
        <f>IF(Production!AA$30&gt;=39,$C118/12,"")</f>
        <v/>
      </c>
      <c r="AB118" s="16" t="str">
        <f>IF(Production!AB$30&gt;=39,$C118/12,"")</f>
        <v/>
      </c>
      <c r="AC118" s="16" t="str">
        <f>IF(Production!AC$30&gt;=39,$C118/12,"")</f>
        <v/>
      </c>
      <c r="AE118" s="16" t="str">
        <f>IF(Production!AE$30&gt;=39,$C118/12,"")</f>
        <v/>
      </c>
      <c r="AF118" s="16" t="str">
        <f>IF(Production!AF$30&gt;=39,$C118/12,"")</f>
        <v/>
      </c>
      <c r="AG118" s="16" t="str">
        <f>IF(Production!AG$30&gt;=39,$C118/12,"")</f>
        <v/>
      </c>
      <c r="AH118" s="16" t="str">
        <f>IF(Production!AH$30&gt;=39,$C118/12,"")</f>
        <v/>
      </c>
      <c r="AI118" s="16" t="str">
        <f>IF(Production!AI$30&gt;=39,$C118/12,"")</f>
        <v/>
      </c>
      <c r="AJ118" s="16" t="str">
        <f>IF(Production!AJ$30&gt;=39,$C118/12,"")</f>
        <v/>
      </c>
      <c r="AK118" s="16" t="str">
        <f>IF(Production!AK$30&gt;=39,$C118/12,"")</f>
        <v/>
      </c>
      <c r="AL118" s="16" t="str">
        <f>IF(Production!AL$30&gt;=39,$C118/12,"")</f>
        <v/>
      </c>
      <c r="AM118" s="16" t="str">
        <f>IF(Production!AM$30&gt;=39,$C118/12,"")</f>
        <v/>
      </c>
      <c r="AN118" s="16" t="str">
        <f>IF(Production!AN$30&gt;=39,$C118/12,"")</f>
        <v/>
      </c>
      <c r="AO118" s="16" t="str">
        <f>IF(Production!AO$30&gt;=39,$C118/12,"")</f>
        <v/>
      </c>
      <c r="AP118" s="16" t="str">
        <f>IF(Production!AP$30&gt;=39,$C118/12,"")</f>
        <v/>
      </c>
      <c r="AR118" s="16">
        <f t="shared" si="464"/>
        <v>0</v>
      </c>
      <c r="AS118" s="16">
        <f t="shared" si="482"/>
        <v>0</v>
      </c>
      <c r="AT118" s="16">
        <f t="shared" si="483"/>
        <v>0</v>
      </c>
      <c r="AU118" s="16">
        <f t="shared" si="484"/>
        <v>0</v>
      </c>
      <c r="AV118" s="16">
        <f t="shared" si="485"/>
        <v>0</v>
      </c>
      <c r="AX118" s="16">
        <f t="shared" si="486"/>
        <v>0</v>
      </c>
      <c r="AY118" s="16">
        <f t="shared" si="487"/>
        <v>0</v>
      </c>
      <c r="AZ118" s="16">
        <f t="shared" si="488"/>
        <v>0</v>
      </c>
      <c r="BA118" s="16">
        <f t="shared" si="489"/>
        <v>0</v>
      </c>
      <c r="BB118" s="16">
        <f t="shared" si="490"/>
        <v>0</v>
      </c>
      <c r="BJ118" s="16">
        <f t="shared" si="479"/>
        <v>0</v>
      </c>
      <c r="BK118" s="16">
        <f>IF(BK$133&gt;=39,+$C118/4,0)</f>
        <v>0</v>
      </c>
      <c r="BL118" s="16">
        <f t="shared" ref="BL118:BN118" si="527">IF(BL$133&gt;=39,+$C118/4,0)</f>
        <v>0</v>
      </c>
      <c r="BM118" s="16">
        <f t="shared" si="527"/>
        <v>0</v>
      </c>
      <c r="BN118" s="16">
        <f t="shared" si="527"/>
        <v>0</v>
      </c>
      <c r="BP118" s="16">
        <f t="shared" si="480"/>
        <v>0</v>
      </c>
      <c r="BQ118" s="16">
        <f t="shared" ref="BQ118:BT118" si="528">IF(BQ$133&gt;=39,+$C118/4,0)</f>
        <v>0</v>
      </c>
      <c r="BR118" s="16">
        <f t="shared" si="528"/>
        <v>0</v>
      </c>
      <c r="BS118" s="16">
        <f t="shared" si="528"/>
        <v>0</v>
      </c>
      <c r="BT118" s="16">
        <f t="shared" si="528"/>
        <v>0</v>
      </c>
      <c r="BV118" s="16">
        <f t="shared" si="481"/>
        <v>0</v>
      </c>
      <c r="BW118" s="16">
        <f t="shared" ref="BW118:BZ118" si="529">IF(BW$133&gt;=39,+$C118/4,0)</f>
        <v>0</v>
      </c>
      <c r="BX118" s="16">
        <f t="shared" si="529"/>
        <v>0</v>
      </c>
      <c r="BY118" s="16">
        <f t="shared" si="529"/>
        <v>0</v>
      </c>
      <c r="BZ118" s="16">
        <f t="shared" si="529"/>
        <v>0</v>
      </c>
    </row>
    <row r="119" spans="2:78" s="265" customFormat="1" x14ac:dyDescent="0.25">
      <c r="B119" s="16" t="s">
        <v>1105</v>
      </c>
      <c r="C119" s="16">
        <v>50000</v>
      </c>
      <c r="U119" s="16" t="str">
        <f>IF(Production!U$30&gt;=40,$C119/12,"")</f>
        <v/>
      </c>
      <c r="V119" s="16" t="str">
        <f>IF(Production!V$30&gt;=40,$C119/12,"")</f>
        <v/>
      </c>
      <c r="W119" s="16" t="str">
        <f>IF(Production!W$30&gt;=40,$C119/12,"")</f>
        <v/>
      </c>
      <c r="X119" s="16" t="str">
        <f>IF(Production!X$30&gt;=40,$C119/12,"")</f>
        <v/>
      </c>
      <c r="Y119" s="16" t="str">
        <f>IF(Production!Y$30&gt;=40,$C119/12,"")</f>
        <v/>
      </c>
      <c r="Z119" s="16" t="str">
        <f>IF(Production!Z$30&gt;=40,$C119/12,"")</f>
        <v/>
      </c>
      <c r="AA119" s="16" t="str">
        <f>IF(Production!AA$30&gt;=40,$C119/12,"")</f>
        <v/>
      </c>
      <c r="AB119" s="16" t="str">
        <f>IF(Production!AB$30&gt;=40,$C119/12,"")</f>
        <v/>
      </c>
      <c r="AC119" s="16" t="str">
        <f>IF(Production!AC$30&gt;=40,$C119/12,"")</f>
        <v/>
      </c>
      <c r="AE119" s="16" t="str">
        <f>IF(Production!AE$30&gt;=40,$C119/12,"")</f>
        <v/>
      </c>
      <c r="AF119" s="16" t="str">
        <f>IF(Production!AF$30&gt;=40,$C119/12,"")</f>
        <v/>
      </c>
      <c r="AG119" s="16" t="str">
        <f>IF(Production!AG$30&gt;=40,$C119/12,"")</f>
        <v/>
      </c>
      <c r="AH119" s="16" t="str">
        <f>IF(Production!AH$30&gt;=40,$C119/12,"")</f>
        <v/>
      </c>
      <c r="AI119" s="16" t="str">
        <f>IF(Production!AI$30&gt;=40,$C119/12,"")</f>
        <v/>
      </c>
      <c r="AJ119" s="16" t="str">
        <f>IF(Production!AJ$30&gt;=40,$C119/12,"")</f>
        <v/>
      </c>
      <c r="AK119" s="16" t="str">
        <f>IF(Production!AK$30&gt;=40,$C119/12,"")</f>
        <v/>
      </c>
      <c r="AL119" s="16" t="str">
        <f>IF(Production!AL$30&gt;=40,$C119/12,"")</f>
        <v/>
      </c>
      <c r="AM119" s="16" t="str">
        <f>IF(Production!AM$30&gt;=40,$C119/12,"")</f>
        <v/>
      </c>
      <c r="AN119" s="16" t="str">
        <f>IF(Production!AN$30&gt;=40,$C119/12,"")</f>
        <v/>
      </c>
      <c r="AO119" s="16" t="str">
        <f>IF(Production!AO$30&gt;=40,$C119/12,"")</f>
        <v/>
      </c>
      <c r="AP119" s="16" t="str">
        <f>IF(Production!AP$30&gt;=40,$C119/12,"")</f>
        <v/>
      </c>
      <c r="AR119" s="16">
        <f t="shared" si="464"/>
        <v>0</v>
      </c>
      <c r="AS119" s="16">
        <f t="shared" si="482"/>
        <v>0</v>
      </c>
      <c r="AT119" s="16">
        <f t="shared" si="483"/>
        <v>0</v>
      </c>
      <c r="AU119" s="16">
        <f t="shared" si="484"/>
        <v>0</v>
      </c>
      <c r="AV119" s="16">
        <f t="shared" si="485"/>
        <v>0</v>
      </c>
      <c r="AX119" s="16">
        <f t="shared" si="486"/>
        <v>0</v>
      </c>
      <c r="AY119" s="16">
        <f t="shared" si="487"/>
        <v>0</v>
      </c>
      <c r="AZ119" s="16">
        <f t="shared" si="488"/>
        <v>0</v>
      </c>
      <c r="BA119" s="16">
        <f t="shared" si="489"/>
        <v>0</v>
      </c>
      <c r="BB119" s="16">
        <f t="shared" si="490"/>
        <v>0</v>
      </c>
      <c r="BJ119" s="16">
        <f t="shared" si="479"/>
        <v>0</v>
      </c>
      <c r="BK119" s="16">
        <f>IF(BK$133&gt;=40,+$C119/4,0)</f>
        <v>0</v>
      </c>
      <c r="BL119" s="16">
        <f t="shared" ref="BL119:BN119" si="530">IF(BL$133&gt;=40,+$C119/4,0)</f>
        <v>0</v>
      </c>
      <c r="BM119" s="16">
        <f t="shared" si="530"/>
        <v>0</v>
      </c>
      <c r="BN119" s="16">
        <f t="shared" si="530"/>
        <v>0</v>
      </c>
      <c r="BP119" s="16">
        <f t="shared" si="480"/>
        <v>0</v>
      </c>
      <c r="BQ119" s="16">
        <f t="shared" ref="BQ119:BT119" si="531">IF(BQ$133&gt;=40,+$C119/4,0)</f>
        <v>0</v>
      </c>
      <c r="BR119" s="16">
        <f t="shared" si="531"/>
        <v>0</v>
      </c>
      <c r="BS119" s="16">
        <f t="shared" si="531"/>
        <v>0</v>
      </c>
      <c r="BT119" s="16">
        <f t="shared" si="531"/>
        <v>0</v>
      </c>
      <c r="BV119" s="16">
        <f t="shared" si="481"/>
        <v>0</v>
      </c>
      <c r="BW119" s="16">
        <f t="shared" ref="BW119:BZ119" si="532">IF(BW$133&gt;=40,+$C119/4,0)</f>
        <v>0</v>
      </c>
      <c r="BX119" s="16">
        <f t="shared" si="532"/>
        <v>0</v>
      </c>
      <c r="BY119" s="16">
        <f t="shared" si="532"/>
        <v>0</v>
      </c>
      <c r="BZ119" s="16">
        <f t="shared" si="532"/>
        <v>0</v>
      </c>
    </row>
    <row r="120" spans="2:78" s="265" customFormat="1" x14ac:dyDescent="0.25">
      <c r="B120" s="16" t="s">
        <v>1106</v>
      </c>
      <c r="C120" s="16">
        <v>50000</v>
      </c>
      <c r="U120" s="16" t="str">
        <f>IF(Production!U$30&gt;=41,$C120/12,"")</f>
        <v/>
      </c>
      <c r="V120" s="16" t="str">
        <f>IF(Production!V$30&gt;=41,$C120/12,"")</f>
        <v/>
      </c>
      <c r="W120" s="16" t="str">
        <f>IF(Production!W$30&gt;=41,$C120/12,"")</f>
        <v/>
      </c>
      <c r="X120" s="16" t="str">
        <f>IF(Production!X$30&gt;=41,$C120/12,"")</f>
        <v/>
      </c>
      <c r="Y120" s="16" t="str">
        <f>IF(Production!Y$30&gt;=41,$C120/12,"")</f>
        <v/>
      </c>
      <c r="Z120" s="16" t="str">
        <f>IF(Production!Z$30&gt;=41,$C120/12,"")</f>
        <v/>
      </c>
      <c r="AA120" s="16" t="str">
        <f>IF(Production!AA$30&gt;=41,$C120/12,"")</f>
        <v/>
      </c>
      <c r="AB120" s="16" t="str">
        <f>IF(Production!AB$30&gt;=41,$C120/12,"")</f>
        <v/>
      </c>
      <c r="AC120" s="16" t="str">
        <f>IF(Production!AC$30&gt;=41,$C120/12,"")</f>
        <v/>
      </c>
      <c r="AE120" s="16" t="str">
        <f>IF(Production!AE$30&gt;=41,$C120/12,"")</f>
        <v/>
      </c>
      <c r="AF120" s="16" t="str">
        <f>IF(Production!AF$30&gt;=41,$C120/12,"")</f>
        <v/>
      </c>
      <c r="AG120" s="16" t="str">
        <f>IF(Production!AG$30&gt;=41,$C120/12,"")</f>
        <v/>
      </c>
      <c r="AH120" s="16" t="str">
        <f>IF(Production!AH$30&gt;=41,$C120/12,"")</f>
        <v/>
      </c>
      <c r="AI120" s="16" t="str">
        <f>IF(Production!AI$30&gt;=41,$C120/12,"")</f>
        <v/>
      </c>
      <c r="AJ120" s="16" t="str">
        <f>IF(Production!AJ$30&gt;=41,$C120/12,"")</f>
        <v/>
      </c>
      <c r="AK120" s="16" t="str">
        <f>IF(Production!AK$30&gt;=41,$C120/12,"")</f>
        <v/>
      </c>
      <c r="AL120" s="16" t="str">
        <f>IF(Production!AL$30&gt;=41,$C120/12,"")</f>
        <v/>
      </c>
      <c r="AM120" s="16" t="str">
        <f>IF(Production!AM$30&gt;=41,$C120/12,"")</f>
        <v/>
      </c>
      <c r="AN120" s="16" t="str">
        <f>IF(Production!AN$30&gt;=41,$C120/12,"")</f>
        <v/>
      </c>
      <c r="AO120" s="16" t="str">
        <f>IF(Production!AO$30&gt;=41,$C120/12,"")</f>
        <v/>
      </c>
      <c r="AP120" s="16" t="str">
        <f>IF(Production!AP$30&gt;=41,$C120/12,"")</f>
        <v/>
      </c>
      <c r="AR120" s="16">
        <f t="shared" si="464"/>
        <v>0</v>
      </c>
      <c r="AS120" s="16">
        <f t="shared" si="482"/>
        <v>0</v>
      </c>
      <c r="AT120" s="16">
        <f t="shared" si="483"/>
        <v>0</v>
      </c>
      <c r="AU120" s="16">
        <f t="shared" si="484"/>
        <v>0</v>
      </c>
      <c r="AV120" s="16">
        <f t="shared" si="485"/>
        <v>0</v>
      </c>
      <c r="AX120" s="16">
        <f t="shared" si="486"/>
        <v>0</v>
      </c>
      <c r="AY120" s="16">
        <f t="shared" si="487"/>
        <v>0</v>
      </c>
      <c r="AZ120" s="16">
        <f t="shared" si="488"/>
        <v>0</v>
      </c>
      <c r="BA120" s="16">
        <f t="shared" si="489"/>
        <v>0</v>
      </c>
      <c r="BB120" s="16">
        <f t="shared" si="490"/>
        <v>0</v>
      </c>
      <c r="BJ120" s="16">
        <f t="shared" si="479"/>
        <v>0</v>
      </c>
      <c r="BK120" s="16">
        <f>IF(BK$133&gt;=41,+$C120/4,0)</f>
        <v>0</v>
      </c>
      <c r="BL120" s="16">
        <f t="shared" ref="BL120:BN120" si="533">IF(BL$133&gt;=41,+$C120/4,0)</f>
        <v>0</v>
      </c>
      <c r="BM120" s="16">
        <f t="shared" si="533"/>
        <v>0</v>
      </c>
      <c r="BN120" s="16">
        <f t="shared" si="533"/>
        <v>0</v>
      </c>
      <c r="BP120" s="16">
        <f t="shared" si="480"/>
        <v>0</v>
      </c>
      <c r="BQ120" s="16">
        <f t="shared" ref="BQ120:BT120" si="534">IF(BQ$133&gt;=41,+$C120/4,0)</f>
        <v>0</v>
      </c>
      <c r="BR120" s="16">
        <f t="shared" si="534"/>
        <v>0</v>
      </c>
      <c r="BS120" s="16">
        <f t="shared" si="534"/>
        <v>0</v>
      </c>
      <c r="BT120" s="16">
        <f t="shared" si="534"/>
        <v>0</v>
      </c>
      <c r="BV120" s="16">
        <f t="shared" si="481"/>
        <v>0</v>
      </c>
      <c r="BW120" s="16">
        <f t="shared" ref="BW120:BZ120" si="535">IF(BW$133&gt;=41,+$C120/4,0)</f>
        <v>0</v>
      </c>
      <c r="BX120" s="16">
        <f t="shared" si="535"/>
        <v>0</v>
      </c>
      <c r="BY120" s="16">
        <f t="shared" si="535"/>
        <v>0</v>
      </c>
      <c r="BZ120" s="16">
        <f t="shared" si="535"/>
        <v>0</v>
      </c>
    </row>
    <row r="121" spans="2:78" s="265" customFormat="1" x14ac:dyDescent="0.25">
      <c r="B121" s="16" t="s">
        <v>1107</v>
      </c>
      <c r="C121" s="16">
        <v>50000</v>
      </c>
      <c r="U121" s="16" t="str">
        <f>IF(Production!U$30&gt;=42,$C121/12,"")</f>
        <v/>
      </c>
      <c r="V121" s="16" t="str">
        <f>IF(Production!V$30&gt;=42,$C121/12,"")</f>
        <v/>
      </c>
      <c r="W121" s="16" t="str">
        <f>IF(Production!W$30&gt;=42,$C121/12,"")</f>
        <v/>
      </c>
      <c r="X121" s="16" t="str">
        <f>IF(Production!X$30&gt;=42,$C121/12,"")</f>
        <v/>
      </c>
      <c r="Y121" s="16" t="str">
        <f>IF(Production!Y$30&gt;=42,$C121/12,"")</f>
        <v/>
      </c>
      <c r="Z121" s="16" t="str">
        <f>IF(Production!Z$30&gt;=42,$C121/12,"")</f>
        <v/>
      </c>
      <c r="AA121" s="16" t="str">
        <f>IF(Production!AA$30&gt;=42,$C121/12,"")</f>
        <v/>
      </c>
      <c r="AB121" s="16" t="str">
        <f>IF(Production!AB$30&gt;=42,$C121/12,"")</f>
        <v/>
      </c>
      <c r="AC121" s="16" t="str">
        <f>IF(Production!AC$30&gt;=42,$C121/12,"")</f>
        <v/>
      </c>
      <c r="AE121" s="16" t="str">
        <f>IF(Production!AE$30&gt;=42,$C121/12,"")</f>
        <v/>
      </c>
      <c r="AF121" s="16" t="str">
        <f>IF(Production!AF$30&gt;=42,$C121/12,"")</f>
        <v/>
      </c>
      <c r="AG121" s="16" t="str">
        <f>IF(Production!AG$30&gt;=42,$C121/12,"")</f>
        <v/>
      </c>
      <c r="AH121" s="16" t="str">
        <f>IF(Production!AH$30&gt;=42,$C121/12,"")</f>
        <v/>
      </c>
      <c r="AI121" s="16" t="str">
        <f>IF(Production!AI$30&gt;=42,$C121/12,"")</f>
        <v/>
      </c>
      <c r="AJ121" s="16" t="str">
        <f>IF(Production!AJ$30&gt;=42,$C121/12,"")</f>
        <v/>
      </c>
      <c r="AK121" s="16" t="str">
        <f>IF(Production!AK$30&gt;=42,$C121/12,"")</f>
        <v/>
      </c>
      <c r="AL121" s="16" t="str">
        <f>IF(Production!AL$30&gt;=42,$C121/12,"")</f>
        <v/>
      </c>
      <c r="AM121" s="16" t="str">
        <f>IF(Production!AM$30&gt;=42,$C121/12,"")</f>
        <v/>
      </c>
      <c r="AN121" s="16" t="str">
        <f>IF(Production!AN$30&gt;=42,$C121/12,"")</f>
        <v/>
      </c>
      <c r="AO121" s="16" t="str">
        <f>IF(Production!AO$30&gt;=42,$C121/12,"")</f>
        <v/>
      </c>
      <c r="AP121" s="16" t="str">
        <f>IF(Production!AP$30&gt;=42,$C121/12,"")</f>
        <v/>
      </c>
      <c r="AR121" s="16">
        <f t="shared" si="464"/>
        <v>0</v>
      </c>
      <c r="AS121" s="16">
        <f t="shared" si="482"/>
        <v>0</v>
      </c>
      <c r="AT121" s="16">
        <f t="shared" si="483"/>
        <v>0</v>
      </c>
      <c r="AU121" s="16">
        <f t="shared" si="484"/>
        <v>0</v>
      </c>
      <c r="AV121" s="16">
        <f t="shared" si="485"/>
        <v>0</v>
      </c>
      <c r="AX121" s="16">
        <f t="shared" si="486"/>
        <v>0</v>
      </c>
      <c r="AY121" s="16">
        <f t="shared" si="487"/>
        <v>0</v>
      </c>
      <c r="AZ121" s="16">
        <f t="shared" si="488"/>
        <v>0</v>
      </c>
      <c r="BA121" s="16">
        <f t="shared" si="489"/>
        <v>0</v>
      </c>
      <c r="BB121" s="16">
        <f t="shared" si="490"/>
        <v>0</v>
      </c>
      <c r="BJ121" s="16">
        <f t="shared" si="479"/>
        <v>0</v>
      </c>
      <c r="BK121" s="16">
        <f>IF(BK$133&gt;=42,+$C121/4,0)</f>
        <v>0</v>
      </c>
      <c r="BL121" s="16">
        <f t="shared" ref="BL121:BN121" si="536">IF(BL$133&gt;=42,+$C121/4,0)</f>
        <v>0</v>
      </c>
      <c r="BM121" s="16">
        <f t="shared" si="536"/>
        <v>0</v>
      </c>
      <c r="BN121" s="16">
        <f t="shared" si="536"/>
        <v>0</v>
      </c>
      <c r="BP121" s="16">
        <f t="shared" si="480"/>
        <v>0</v>
      </c>
      <c r="BQ121" s="16">
        <f t="shared" ref="BQ121:BT121" si="537">IF(BQ$133&gt;=42,+$C121/4,0)</f>
        <v>0</v>
      </c>
      <c r="BR121" s="16">
        <f t="shared" si="537"/>
        <v>0</v>
      </c>
      <c r="BS121" s="16">
        <f t="shared" si="537"/>
        <v>0</v>
      </c>
      <c r="BT121" s="16">
        <f t="shared" si="537"/>
        <v>0</v>
      </c>
      <c r="BV121" s="16">
        <f t="shared" si="481"/>
        <v>0</v>
      </c>
      <c r="BW121" s="16">
        <f t="shared" ref="BW121:BZ121" si="538">IF(BW$133&gt;=42,+$C121/4,0)</f>
        <v>0</v>
      </c>
      <c r="BX121" s="16">
        <f t="shared" si="538"/>
        <v>0</v>
      </c>
      <c r="BY121" s="16">
        <f t="shared" si="538"/>
        <v>0</v>
      </c>
      <c r="BZ121" s="16">
        <f t="shared" si="538"/>
        <v>0</v>
      </c>
    </row>
    <row r="122" spans="2:78" s="265" customFormat="1" x14ac:dyDescent="0.25">
      <c r="B122" s="16" t="s">
        <v>1108</v>
      </c>
      <c r="C122" s="16">
        <v>50000</v>
      </c>
      <c r="U122" s="16" t="str">
        <f>IF(Production!U$30&gt;=43,$C122/12,"")</f>
        <v/>
      </c>
      <c r="V122" s="16" t="str">
        <f>IF(Production!V$30&gt;=43,$C122/12,"")</f>
        <v/>
      </c>
      <c r="W122" s="16" t="str">
        <f>IF(Production!W$30&gt;=43,$C122/12,"")</f>
        <v/>
      </c>
      <c r="X122" s="16" t="str">
        <f>IF(Production!X$30&gt;=43,$C122/12,"")</f>
        <v/>
      </c>
      <c r="Y122" s="16" t="str">
        <f>IF(Production!Y$30&gt;=43,$C122/12,"")</f>
        <v/>
      </c>
      <c r="Z122" s="16" t="str">
        <f>IF(Production!Z$30&gt;=43,$C122/12,"")</f>
        <v/>
      </c>
      <c r="AA122" s="16" t="str">
        <f>IF(Production!AA$30&gt;=43,$C122/12,"")</f>
        <v/>
      </c>
      <c r="AB122" s="16" t="str">
        <f>IF(Production!AB$30&gt;=43,$C122/12,"")</f>
        <v/>
      </c>
      <c r="AC122" s="16" t="str">
        <f>IF(Production!AC$30&gt;=43,$C122/12,"")</f>
        <v/>
      </c>
      <c r="AE122" s="16" t="str">
        <f>IF(Production!AE$30&gt;=43,$C122/12,"")</f>
        <v/>
      </c>
      <c r="AF122" s="16" t="str">
        <f>IF(Production!AF$30&gt;=43,$C122/12,"")</f>
        <v/>
      </c>
      <c r="AG122" s="16" t="str">
        <f>IF(Production!AG$30&gt;=43,$C122/12,"")</f>
        <v/>
      </c>
      <c r="AH122" s="16" t="str">
        <f>IF(Production!AH$30&gt;=43,$C122/12,"")</f>
        <v/>
      </c>
      <c r="AI122" s="16" t="str">
        <f>IF(Production!AI$30&gt;=43,$C122/12,"")</f>
        <v/>
      </c>
      <c r="AJ122" s="16" t="str">
        <f>IF(Production!AJ$30&gt;=43,$C122/12,"")</f>
        <v/>
      </c>
      <c r="AK122" s="16" t="str">
        <f>IF(Production!AK$30&gt;=43,$C122/12,"")</f>
        <v/>
      </c>
      <c r="AL122" s="16" t="str">
        <f>IF(Production!AL$30&gt;=43,$C122/12,"")</f>
        <v/>
      </c>
      <c r="AM122" s="16" t="str">
        <f>IF(Production!AM$30&gt;=43,$C122/12,"")</f>
        <v/>
      </c>
      <c r="AN122" s="16" t="str">
        <f>IF(Production!AN$30&gt;=43,$C122/12,"")</f>
        <v/>
      </c>
      <c r="AO122" s="16" t="str">
        <f>IF(Production!AO$30&gt;=43,$C122/12,"")</f>
        <v/>
      </c>
      <c r="AP122" s="16" t="str">
        <f>IF(Production!AP$30&gt;=43,$C122/12,"")</f>
        <v/>
      </c>
      <c r="AR122" s="16">
        <f t="shared" si="464"/>
        <v>0</v>
      </c>
      <c r="AS122" s="16">
        <f t="shared" si="482"/>
        <v>0</v>
      </c>
      <c r="AT122" s="16">
        <f t="shared" si="483"/>
        <v>0</v>
      </c>
      <c r="AU122" s="16">
        <f t="shared" si="484"/>
        <v>0</v>
      </c>
      <c r="AV122" s="16">
        <f t="shared" si="485"/>
        <v>0</v>
      </c>
      <c r="AX122" s="16">
        <f t="shared" si="486"/>
        <v>0</v>
      </c>
      <c r="AY122" s="16">
        <f t="shared" si="487"/>
        <v>0</v>
      </c>
      <c r="AZ122" s="16">
        <f t="shared" si="488"/>
        <v>0</v>
      </c>
      <c r="BA122" s="16">
        <f t="shared" si="489"/>
        <v>0</v>
      </c>
      <c r="BB122" s="16">
        <f t="shared" si="490"/>
        <v>0</v>
      </c>
      <c r="BJ122" s="16">
        <f t="shared" si="479"/>
        <v>0</v>
      </c>
      <c r="BK122" s="16">
        <f>IF(BK$133&gt;=43,+$C122/4,0)</f>
        <v>0</v>
      </c>
      <c r="BL122" s="16">
        <f t="shared" ref="BL122:BN122" si="539">IF(BL$133&gt;=43,+$C122/4,0)</f>
        <v>0</v>
      </c>
      <c r="BM122" s="16">
        <f t="shared" si="539"/>
        <v>0</v>
      </c>
      <c r="BN122" s="16">
        <f t="shared" si="539"/>
        <v>0</v>
      </c>
      <c r="BP122" s="16">
        <f t="shared" si="480"/>
        <v>0</v>
      </c>
      <c r="BQ122" s="16">
        <f t="shared" ref="BQ122:BT122" si="540">IF(BQ$133&gt;=43,+$C122/4,0)</f>
        <v>0</v>
      </c>
      <c r="BR122" s="16">
        <f t="shared" si="540"/>
        <v>0</v>
      </c>
      <c r="BS122" s="16">
        <f t="shared" si="540"/>
        <v>0</v>
      </c>
      <c r="BT122" s="16">
        <f t="shared" si="540"/>
        <v>0</v>
      </c>
      <c r="BV122" s="16">
        <f t="shared" si="481"/>
        <v>0</v>
      </c>
      <c r="BW122" s="16">
        <f t="shared" ref="BW122:BZ122" si="541">IF(BW$133&gt;=43,+$C122/4,0)</f>
        <v>0</v>
      </c>
      <c r="BX122" s="16">
        <f t="shared" si="541"/>
        <v>0</v>
      </c>
      <c r="BY122" s="16">
        <f t="shared" si="541"/>
        <v>0</v>
      </c>
      <c r="BZ122" s="16">
        <f t="shared" si="541"/>
        <v>0</v>
      </c>
    </row>
    <row r="123" spans="2:78" s="265" customFormat="1" x14ac:dyDescent="0.25">
      <c r="B123" s="16" t="s">
        <v>1109</v>
      </c>
      <c r="C123" s="16">
        <v>50000</v>
      </c>
      <c r="U123" s="16" t="str">
        <f>IF(Production!U$30&gt;=44,$C123/12,"")</f>
        <v/>
      </c>
      <c r="V123" s="16" t="str">
        <f>IF(Production!V$30&gt;=44,$C123/12,"")</f>
        <v/>
      </c>
      <c r="W123" s="16" t="str">
        <f>IF(Production!W$30&gt;=44,$C123/12,"")</f>
        <v/>
      </c>
      <c r="X123" s="16" t="str">
        <f>IF(Production!X$30&gt;=44,$C123/12,"")</f>
        <v/>
      </c>
      <c r="Y123" s="16" t="str">
        <f>IF(Production!Y$30&gt;=44,$C123/12,"")</f>
        <v/>
      </c>
      <c r="Z123" s="16" t="str">
        <f>IF(Production!Z$30&gt;=44,$C123/12,"")</f>
        <v/>
      </c>
      <c r="AA123" s="16" t="str">
        <f>IF(Production!AA$30&gt;=44,$C123/12,"")</f>
        <v/>
      </c>
      <c r="AB123" s="16" t="str">
        <f>IF(Production!AB$30&gt;=44,$C123/12,"")</f>
        <v/>
      </c>
      <c r="AC123" s="16" t="str">
        <f>IF(Production!AC$30&gt;=44,$C123/12,"")</f>
        <v/>
      </c>
      <c r="AE123" s="16" t="str">
        <f>IF(Production!AE$30&gt;=44,$C123/12,"")</f>
        <v/>
      </c>
      <c r="AF123" s="16" t="str">
        <f>IF(Production!AF$30&gt;=44,$C123/12,"")</f>
        <v/>
      </c>
      <c r="AG123" s="16" t="str">
        <f>IF(Production!AG$30&gt;=44,$C123/12,"")</f>
        <v/>
      </c>
      <c r="AH123" s="16" t="str">
        <f>IF(Production!AH$30&gt;=44,$C123/12,"")</f>
        <v/>
      </c>
      <c r="AI123" s="16" t="str">
        <f>IF(Production!AI$30&gt;=44,$C123/12,"")</f>
        <v/>
      </c>
      <c r="AJ123" s="16" t="str">
        <f>IF(Production!AJ$30&gt;=44,$C123/12,"")</f>
        <v/>
      </c>
      <c r="AK123" s="16" t="str">
        <f>IF(Production!AK$30&gt;=44,$C123/12,"")</f>
        <v/>
      </c>
      <c r="AL123" s="16" t="str">
        <f>IF(Production!AL$30&gt;=44,$C123/12,"")</f>
        <v/>
      </c>
      <c r="AM123" s="16" t="str">
        <f>IF(Production!AM$30&gt;=44,$C123/12,"")</f>
        <v/>
      </c>
      <c r="AN123" s="16" t="str">
        <f>IF(Production!AN$30&gt;=44,$C123/12,"")</f>
        <v/>
      </c>
      <c r="AO123" s="16" t="str">
        <f>IF(Production!AO$30&gt;=44,$C123/12,"")</f>
        <v/>
      </c>
      <c r="AP123" s="16" t="str">
        <f>IF(Production!AP$30&gt;=44,$C123/12,"")</f>
        <v/>
      </c>
      <c r="AR123" s="16">
        <f t="shared" si="464"/>
        <v>0</v>
      </c>
      <c r="AS123" s="16">
        <f t="shared" si="482"/>
        <v>0</v>
      </c>
      <c r="AT123" s="16">
        <f t="shared" si="483"/>
        <v>0</v>
      </c>
      <c r="AU123" s="16">
        <f t="shared" si="484"/>
        <v>0</v>
      </c>
      <c r="AV123" s="16">
        <f t="shared" si="485"/>
        <v>0</v>
      </c>
      <c r="AX123" s="16">
        <f t="shared" si="486"/>
        <v>0</v>
      </c>
      <c r="AY123" s="16">
        <f t="shared" si="487"/>
        <v>0</v>
      </c>
      <c r="AZ123" s="16">
        <f t="shared" si="488"/>
        <v>0</v>
      </c>
      <c r="BA123" s="16">
        <f t="shared" si="489"/>
        <v>0</v>
      </c>
      <c r="BB123" s="16">
        <f t="shared" si="490"/>
        <v>0</v>
      </c>
      <c r="BJ123" s="16">
        <f t="shared" si="479"/>
        <v>0</v>
      </c>
      <c r="BK123" s="16">
        <f>IF(BK$133&gt;=44,+$C123/4,0)</f>
        <v>0</v>
      </c>
      <c r="BL123" s="16">
        <f t="shared" ref="BL123:BN123" si="542">IF(BL$133&gt;=44,+$C123/4,0)</f>
        <v>0</v>
      </c>
      <c r="BM123" s="16">
        <f t="shared" si="542"/>
        <v>0</v>
      </c>
      <c r="BN123" s="16">
        <f t="shared" si="542"/>
        <v>0</v>
      </c>
      <c r="BP123" s="16">
        <f t="shared" si="480"/>
        <v>0</v>
      </c>
      <c r="BQ123" s="16">
        <f t="shared" ref="BQ123:BT123" si="543">IF(BQ$133&gt;=44,+$C123/4,0)</f>
        <v>0</v>
      </c>
      <c r="BR123" s="16">
        <f t="shared" si="543"/>
        <v>0</v>
      </c>
      <c r="BS123" s="16">
        <f t="shared" si="543"/>
        <v>0</v>
      </c>
      <c r="BT123" s="16">
        <f t="shared" si="543"/>
        <v>0</v>
      </c>
      <c r="BV123" s="16">
        <f t="shared" si="481"/>
        <v>0</v>
      </c>
      <c r="BW123" s="16">
        <f t="shared" ref="BW123:BZ123" si="544">IF(BW$133&gt;=44,+$C123/4,0)</f>
        <v>0</v>
      </c>
      <c r="BX123" s="16">
        <f t="shared" si="544"/>
        <v>0</v>
      </c>
      <c r="BY123" s="16">
        <f t="shared" si="544"/>
        <v>0</v>
      </c>
      <c r="BZ123" s="16">
        <f t="shared" si="544"/>
        <v>0</v>
      </c>
    </row>
    <row r="124" spans="2:78" s="265" customFormat="1" x14ac:dyDescent="0.25">
      <c r="B124" s="16" t="s">
        <v>1110</v>
      </c>
      <c r="C124" s="16">
        <v>50000</v>
      </c>
      <c r="U124" s="16" t="str">
        <f>IF(Production!U$30&gt;=45,$C124/12,"")</f>
        <v/>
      </c>
      <c r="V124" s="16" t="str">
        <f>IF(Production!V$30&gt;=45,$C124/12,"")</f>
        <v/>
      </c>
      <c r="W124" s="16" t="str">
        <f>IF(Production!W$30&gt;=45,$C124/12,"")</f>
        <v/>
      </c>
      <c r="X124" s="16" t="str">
        <f>IF(Production!X$30&gt;=45,$C124/12,"")</f>
        <v/>
      </c>
      <c r="Y124" s="16" t="str">
        <f>IF(Production!Y$30&gt;=45,$C124/12,"")</f>
        <v/>
      </c>
      <c r="Z124" s="16" t="str">
        <f>IF(Production!Z$30&gt;=45,$C124/12,"")</f>
        <v/>
      </c>
      <c r="AA124" s="16" t="str">
        <f>IF(Production!AA$30&gt;=45,$C124/12,"")</f>
        <v/>
      </c>
      <c r="AB124" s="16" t="str">
        <f>IF(Production!AB$30&gt;=45,$C124/12,"")</f>
        <v/>
      </c>
      <c r="AC124" s="16" t="str">
        <f>IF(Production!AC$30&gt;=45,$C124/12,"")</f>
        <v/>
      </c>
      <c r="AE124" s="16" t="str">
        <f>IF(Production!AE$30&gt;=45,$C124/12,"")</f>
        <v/>
      </c>
      <c r="AF124" s="16" t="str">
        <f>IF(Production!AF$30&gt;=45,$C124/12,"")</f>
        <v/>
      </c>
      <c r="AG124" s="16" t="str">
        <f>IF(Production!AG$30&gt;=45,$C124/12,"")</f>
        <v/>
      </c>
      <c r="AH124" s="16" t="str">
        <f>IF(Production!AH$30&gt;=45,$C124/12,"")</f>
        <v/>
      </c>
      <c r="AI124" s="16" t="str">
        <f>IF(Production!AI$30&gt;=45,$C124/12,"")</f>
        <v/>
      </c>
      <c r="AJ124" s="16" t="str">
        <f>IF(Production!AJ$30&gt;=45,$C124/12,"")</f>
        <v/>
      </c>
      <c r="AK124" s="16" t="str">
        <f>IF(Production!AK$30&gt;=45,$C124/12,"")</f>
        <v/>
      </c>
      <c r="AL124" s="16" t="str">
        <f>IF(Production!AL$30&gt;=45,$C124/12,"")</f>
        <v/>
      </c>
      <c r="AM124" s="16" t="str">
        <f>IF(Production!AM$30&gt;=45,$C124/12,"")</f>
        <v/>
      </c>
      <c r="AN124" s="16" t="str">
        <f>IF(Production!AN$30&gt;=45,$C124/12,"")</f>
        <v/>
      </c>
      <c r="AO124" s="16" t="str">
        <f>IF(Production!AO$30&gt;=45,$C124/12,"")</f>
        <v/>
      </c>
      <c r="AP124" s="16" t="str">
        <f>IF(Production!AP$30&gt;=45,$C124/12,"")</f>
        <v/>
      </c>
      <c r="AR124" s="16">
        <f t="shared" si="464"/>
        <v>0</v>
      </c>
      <c r="AS124" s="16">
        <f t="shared" si="482"/>
        <v>0</v>
      </c>
      <c r="AT124" s="16">
        <f t="shared" si="483"/>
        <v>0</v>
      </c>
      <c r="AU124" s="16">
        <f t="shared" si="484"/>
        <v>0</v>
      </c>
      <c r="AV124" s="16">
        <f t="shared" si="485"/>
        <v>0</v>
      </c>
      <c r="AX124" s="16">
        <f t="shared" si="486"/>
        <v>0</v>
      </c>
      <c r="AY124" s="16">
        <f t="shared" si="487"/>
        <v>0</v>
      </c>
      <c r="AZ124" s="16">
        <f t="shared" si="488"/>
        <v>0</v>
      </c>
      <c r="BA124" s="16">
        <f t="shared" si="489"/>
        <v>0</v>
      </c>
      <c r="BB124" s="16">
        <f t="shared" si="490"/>
        <v>0</v>
      </c>
      <c r="BJ124" s="16">
        <f t="shared" si="479"/>
        <v>0</v>
      </c>
      <c r="BK124" s="16">
        <f>IF(BK$133&gt;=45,+$C124/4,0)</f>
        <v>0</v>
      </c>
      <c r="BL124" s="16">
        <f t="shared" ref="BL124:BN124" si="545">IF(BL$133&gt;=45,+$C124/4,0)</f>
        <v>0</v>
      </c>
      <c r="BM124" s="16">
        <f t="shared" si="545"/>
        <v>0</v>
      </c>
      <c r="BN124" s="16">
        <f t="shared" si="545"/>
        <v>0</v>
      </c>
      <c r="BP124" s="16">
        <f t="shared" si="480"/>
        <v>0</v>
      </c>
      <c r="BQ124" s="16">
        <f t="shared" ref="BQ124:BT124" si="546">IF(BQ$133&gt;=45,+$C124/4,0)</f>
        <v>0</v>
      </c>
      <c r="BR124" s="16">
        <f t="shared" si="546"/>
        <v>0</v>
      </c>
      <c r="BS124" s="16">
        <f t="shared" si="546"/>
        <v>0</v>
      </c>
      <c r="BT124" s="16">
        <f t="shared" si="546"/>
        <v>0</v>
      </c>
      <c r="BV124" s="16">
        <f t="shared" si="481"/>
        <v>0</v>
      </c>
      <c r="BW124" s="16">
        <f t="shared" ref="BW124:BZ124" si="547">IF(BW$133&gt;=45,+$C124/4,0)</f>
        <v>0</v>
      </c>
      <c r="BX124" s="16">
        <f t="shared" si="547"/>
        <v>0</v>
      </c>
      <c r="BY124" s="16">
        <f t="shared" si="547"/>
        <v>0</v>
      </c>
      <c r="BZ124" s="16">
        <f t="shared" si="547"/>
        <v>0</v>
      </c>
    </row>
    <row r="125" spans="2:78" s="265" customFormat="1" x14ac:dyDescent="0.25">
      <c r="B125" s="16" t="s">
        <v>1111</v>
      </c>
      <c r="C125" s="16">
        <v>50000</v>
      </c>
      <c r="U125" s="16" t="str">
        <f>IF(Production!U$30&gt;=46,$C125/12,"")</f>
        <v/>
      </c>
      <c r="V125" s="16" t="str">
        <f>IF(Production!V$30&gt;=46,$C125/12,"")</f>
        <v/>
      </c>
      <c r="W125" s="16" t="str">
        <f>IF(Production!W$30&gt;=46,$C125/12,"")</f>
        <v/>
      </c>
      <c r="X125" s="16" t="str">
        <f>IF(Production!X$30&gt;=46,$C125/12,"")</f>
        <v/>
      </c>
      <c r="Y125" s="16" t="str">
        <f>IF(Production!Y$30&gt;=46,$C125/12,"")</f>
        <v/>
      </c>
      <c r="Z125" s="16" t="str">
        <f>IF(Production!Z$30&gt;=46,$C125/12,"")</f>
        <v/>
      </c>
      <c r="AA125" s="16" t="str">
        <f>IF(Production!AA$30&gt;=46,$C125/12,"")</f>
        <v/>
      </c>
      <c r="AB125" s="16" t="str">
        <f>IF(Production!AB$30&gt;=46,$C125/12,"")</f>
        <v/>
      </c>
      <c r="AC125" s="16" t="str">
        <f>IF(Production!AC$30&gt;=46,$C125/12,"")</f>
        <v/>
      </c>
      <c r="AE125" s="16" t="str">
        <f>IF(Production!AE$30&gt;=46,$C125/12,"")</f>
        <v/>
      </c>
      <c r="AF125" s="16" t="str">
        <f>IF(Production!AF$30&gt;=46,$C125/12,"")</f>
        <v/>
      </c>
      <c r="AG125" s="16" t="str">
        <f>IF(Production!AG$30&gt;=46,$C125/12,"")</f>
        <v/>
      </c>
      <c r="AH125" s="16" t="str">
        <f>IF(Production!AH$30&gt;=46,$C125/12,"")</f>
        <v/>
      </c>
      <c r="AI125" s="16" t="str">
        <f>IF(Production!AI$30&gt;=46,$C125/12,"")</f>
        <v/>
      </c>
      <c r="AJ125" s="16" t="str">
        <f>IF(Production!AJ$30&gt;=46,$C125/12,"")</f>
        <v/>
      </c>
      <c r="AK125" s="16" t="str">
        <f>IF(Production!AK$30&gt;=46,$C125/12,"")</f>
        <v/>
      </c>
      <c r="AL125" s="16" t="str">
        <f>IF(Production!AL$30&gt;=46,$C125/12,"")</f>
        <v/>
      </c>
      <c r="AM125" s="16" t="str">
        <f>IF(Production!AM$30&gt;=46,$C125/12,"")</f>
        <v/>
      </c>
      <c r="AN125" s="16" t="str">
        <f>IF(Production!AN$30&gt;=46,$C125/12,"")</f>
        <v/>
      </c>
      <c r="AO125" s="16" t="str">
        <f>IF(Production!AO$30&gt;=46,$C125/12,"")</f>
        <v/>
      </c>
      <c r="AP125" s="16" t="str">
        <f>IF(Production!AP$30&gt;=46,$C125/12,"")</f>
        <v/>
      </c>
      <c r="AR125" s="16">
        <f t="shared" si="464"/>
        <v>0</v>
      </c>
      <c r="AS125" s="16">
        <f t="shared" si="482"/>
        <v>0</v>
      </c>
      <c r="AT125" s="16">
        <f t="shared" si="483"/>
        <v>0</v>
      </c>
      <c r="AU125" s="16">
        <f t="shared" si="484"/>
        <v>0</v>
      </c>
      <c r="AV125" s="16">
        <f t="shared" si="485"/>
        <v>0</v>
      </c>
      <c r="AX125" s="16">
        <f t="shared" si="486"/>
        <v>0</v>
      </c>
      <c r="AY125" s="16">
        <f t="shared" si="487"/>
        <v>0</v>
      </c>
      <c r="AZ125" s="16">
        <f t="shared" si="488"/>
        <v>0</v>
      </c>
      <c r="BA125" s="16">
        <f t="shared" si="489"/>
        <v>0</v>
      </c>
      <c r="BB125" s="16">
        <f t="shared" si="490"/>
        <v>0</v>
      </c>
      <c r="BJ125" s="16">
        <f t="shared" si="479"/>
        <v>0</v>
      </c>
      <c r="BK125" s="16">
        <f>IF(BK$133&gt;=46,+$C125/4,0)</f>
        <v>0</v>
      </c>
      <c r="BL125" s="16">
        <f t="shared" ref="BL125:BN125" si="548">IF(BL$133&gt;=46,+$C125/4,0)</f>
        <v>0</v>
      </c>
      <c r="BM125" s="16">
        <f t="shared" si="548"/>
        <v>0</v>
      </c>
      <c r="BN125" s="16">
        <f t="shared" si="548"/>
        <v>0</v>
      </c>
      <c r="BP125" s="16">
        <f t="shared" si="480"/>
        <v>0</v>
      </c>
      <c r="BQ125" s="16">
        <f t="shared" ref="BQ125:BT125" si="549">IF(BQ$133&gt;=46,+$C125/4,0)</f>
        <v>0</v>
      </c>
      <c r="BR125" s="16">
        <f t="shared" si="549"/>
        <v>0</v>
      </c>
      <c r="BS125" s="16">
        <f t="shared" si="549"/>
        <v>0</v>
      </c>
      <c r="BT125" s="16">
        <f t="shared" si="549"/>
        <v>0</v>
      </c>
      <c r="BV125" s="16">
        <f t="shared" si="481"/>
        <v>0</v>
      </c>
      <c r="BW125" s="16">
        <f t="shared" ref="BW125:BZ125" si="550">IF(BW$133&gt;=46,+$C125/4,0)</f>
        <v>0</v>
      </c>
      <c r="BX125" s="16">
        <f t="shared" si="550"/>
        <v>0</v>
      </c>
      <c r="BY125" s="16">
        <f t="shared" si="550"/>
        <v>0</v>
      </c>
      <c r="BZ125" s="16">
        <f t="shared" si="550"/>
        <v>0</v>
      </c>
    </row>
    <row r="126" spans="2:78" s="265" customFormat="1" x14ac:dyDescent="0.25">
      <c r="B126" s="16" t="s">
        <v>1112</v>
      </c>
      <c r="C126" s="16">
        <v>50000</v>
      </c>
      <c r="U126" s="16" t="str">
        <f>IF(Production!U$30&gt;=47,$C126/12,"")</f>
        <v/>
      </c>
      <c r="V126" s="16" t="str">
        <f>IF(Production!V$30&gt;=47,$C126/12,"")</f>
        <v/>
      </c>
      <c r="W126" s="16" t="str">
        <f>IF(Production!W$30&gt;=47,$C126/12,"")</f>
        <v/>
      </c>
      <c r="X126" s="16" t="str">
        <f>IF(Production!X$30&gt;=47,$C126/12,"")</f>
        <v/>
      </c>
      <c r="Y126" s="16" t="str">
        <f>IF(Production!Y$30&gt;=47,$C126/12,"")</f>
        <v/>
      </c>
      <c r="Z126" s="16" t="str">
        <f>IF(Production!Z$30&gt;=47,$C126/12,"")</f>
        <v/>
      </c>
      <c r="AA126" s="16" t="str">
        <f>IF(Production!AA$30&gt;=47,$C126/12,"")</f>
        <v/>
      </c>
      <c r="AB126" s="16" t="str">
        <f>IF(Production!AB$30&gt;=47,$C126/12,"")</f>
        <v/>
      </c>
      <c r="AC126" s="16" t="str">
        <f>IF(Production!AC$30&gt;=47,$C126/12,"")</f>
        <v/>
      </c>
      <c r="AE126" s="16" t="str">
        <f>IF(Production!AE$30&gt;=47,$C126/12,"")</f>
        <v/>
      </c>
      <c r="AF126" s="16" t="str">
        <f>IF(Production!AF$30&gt;=47,$C126/12,"")</f>
        <v/>
      </c>
      <c r="AG126" s="16" t="str">
        <f>IF(Production!AG$30&gt;=47,$C126/12,"")</f>
        <v/>
      </c>
      <c r="AH126" s="16" t="str">
        <f>IF(Production!AH$30&gt;=47,$C126/12,"")</f>
        <v/>
      </c>
      <c r="AI126" s="16" t="str">
        <f>IF(Production!AI$30&gt;=47,$C126/12,"")</f>
        <v/>
      </c>
      <c r="AJ126" s="16" t="str">
        <f>IF(Production!AJ$30&gt;=47,$C126/12,"")</f>
        <v/>
      </c>
      <c r="AK126" s="16" t="str">
        <f>IF(Production!AK$30&gt;=47,$C126/12,"")</f>
        <v/>
      </c>
      <c r="AL126" s="16" t="str">
        <f>IF(Production!AL$30&gt;=47,$C126/12,"")</f>
        <v/>
      </c>
      <c r="AM126" s="16" t="str">
        <f>IF(Production!AM$30&gt;=47,$C126/12,"")</f>
        <v/>
      </c>
      <c r="AN126" s="16" t="str">
        <f>IF(Production!AN$30&gt;=47,$C126/12,"")</f>
        <v/>
      </c>
      <c r="AO126" s="16" t="str">
        <f>IF(Production!AO$30&gt;=47,$C126/12,"")</f>
        <v/>
      </c>
      <c r="AP126" s="16" t="str">
        <f>IF(Production!AP$30&gt;=47,$C126/12,"")</f>
        <v/>
      </c>
      <c r="AR126" s="16">
        <f t="shared" si="464"/>
        <v>0</v>
      </c>
      <c r="AS126" s="16">
        <f t="shared" si="482"/>
        <v>0</v>
      </c>
      <c r="AT126" s="16">
        <f t="shared" si="483"/>
        <v>0</v>
      </c>
      <c r="AU126" s="16">
        <f t="shared" si="484"/>
        <v>0</v>
      </c>
      <c r="AV126" s="16">
        <f t="shared" si="485"/>
        <v>0</v>
      </c>
      <c r="AX126" s="16">
        <f t="shared" si="486"/>
        <v>0</v>
      </c>
      <c r="AY126" s="16">
        <f t="shared" si="487"/>
        <v>0</v>
      </c>
      <c r="AZ126" s="16">
        <f t="shared" si="488"/>
        <v>0</v>
      </c>
      <c r="BA126" s="16">
        <f t="shared" si="489"/>
        <v>0</v>
      </c>
      <c r="BB126" s="16">
        <f t="shared" si="490"/>
        <v>0</v>
      </c>
      <c r="BJ126" s="16">
        <f t="shared" si="479"/>
        <v>0</v>
      </c>
      <c r="BK126" s="16">
        <f>IF(BK$133&gt;=47,+$C126/4,0)</f>
        <v>0</v>
      </c>
      <c r="BL126" s="16">
        <f t="shared" ref="BL126:BN126" si="551">IF(BL$133&gt;=47,+$C126/4,0)</f>
        <v>0</v>
      </c>
      <c r="BM126" s="16">
        <f t="shared" si="551"/>
        <v>0</v>
      </c>
      <c r="BN126" s="16">
        <f t="shared" si="551"/>
        <v>0</v>
      </c>
      <c r="BP126" s="16">
        <f t="shared" si="480"/>
        <v>0</v>
      </c>
      <c r="BQ126" s="16">
        <f t="shared" ref="BQ126:BT126" si="552">IF(BQ$133&gt;=47,+$C126/4,0)</f>
        <v>0</v>
      </c>
      <c r="BR126" s="16">
        <f t="shared" si="552"/>
        <v>0</v>
      </c>
      <c r="BS126" s="16">
        <f t="shared" si="552"/>
        <v>0</v>
      </c>
      <c r="BT126" s="16">
        <f t="shared" si="552"/>
        <v>0</v>
      </c>
      <c r="BV126" s="16">
        <f t="shared" si="481"/>
        <v>0</v>
      </c>
      <c r="BW126" s="16">
        <f t="shared" ref="BW126:BZ126" si="553">IF(BW$133&gt;=47,+$C126/4,0)</f>
        <v>0</v>
      </c>
      <c r="BX126" s="16">
        <f t="shared" si="553"/>
        <v>0</v>
      </c>
      <c r="BY126" s="16">
        <f t="shared" si="553"/>
        <v>0</v>
      </c>
      <c r="BZ126" s="16">
        <f t="shared" si="553"/>
        <v>0</v>
      </c>
    </row>
    <row r="127" spans="2:78" s="265" customFormat="1" x14ac:dyDescent="0.25">
      <c r="B127" s="16" t="s">
        <v>1113</v>
      </c>
      <c r="C127" s="16">
        <v>50000</v>
      </c>
      <c r="U127" s="16" t="str">
        <f>IF(Production!U$30&gt;=48,$C127/12,"")</f>
        <v/>
      </c>
      <c r="V127" s="16" t="str">
        <f>IF(Production!V$30&gt;=48,$C127/12,"")</f>
        <v/>
      </c>
      <c r="W127" s="16" t="str">
        <f>IF(Production!W$30&gt;=48,$C127/12,"")</f>
        <v/>
      </c>
      <c r="X127" s="16" t="str">
        <f>IF(Production!X$30&gt;=48,$C127/12,"")</f>
        <v/>
      </c>
      <c r="Y127" s="16" t="str">
        <f>IF(Production!Y$30&gt;=48,$C127/12,"")</f>
        <v/>
      </c>
      <c r="Z127" s="16" t="str">
        <f>IF(Production!Z$30&gt;=48,$C127/12,"")</f>
        <v/>
      </c>
      <c r="AA127" s="16" t="str">
        <f>IF(Production!AA$30&gt;=48,$C127/12,"")</f>
        <v/>
      </c>
      <c r="AB127" s="16" t="str">
        <f>IF(Production!AB$30&gt;=48,$C127/12,"")</f>
        <v/>
      </c>
      <c r="AC127" s="16" t="str">
        <f>IF(Production!AC$30&gt;=48,$C127/12,"")</f>
        <v/>
      </c>
      <c r="AE127" s="16" t="str">
        <f>IF(Production!AE$30&gt;=48,$C127/12,"")</f>
        <v/>
      </c>
      <c r="AF127" s="16" t="str">
        <f>IF(Production!AF$30&gt;=48,$C127/12,"")</f>
        <v/>
      </c>
      <c r="AG127" s="16" t="str">
        <f>IF(Production!AG$30&gt;=48,$C127/12,"")</f>
        <v/>
      </c>
      <c r="AH127" s="16" t="str">
        <f>IF(Production!AH$30&gt;=48,$C127/12,"")</f>
        <v/>
      </c>
      <c r="AI127" s="16" t="str">
        <f>IF(Production!AI$30&gt;=48,$C127/12,"")</f>
        <v/>
      </c>
      <c r="AJ127" s="16" t="str">
        <f>IF(Production!AJ$30&gt;=48,$C127/12,"")</f>
        <v/>
      </c>
      <c r="AK127" s="16" t="str">
        <f>IF(Production!AK$30&gt;=48,$C127/12,"")</f>
        <v/>
      </c>
      <c r="AL127" s="16" t="str">
        <f>IF(Production!AL$30&gt;=48,$C127/12,"")</f>
        <v/>
      </c>
      <c r="AM127" s="16" t="str">
        <f>IF(Production!AM$30&gt;=48,$C127/12,"")</f>
        <v/>
      </c>
      <c r="AN127" s="16" t="str">
        <f>IF(Production!AN$30&gt;=48,$C127/12,"")</f>
        <v/>
      </c>
      <c r="AO127" s="16" t="str">
        <f>IF(Production!AO$30&gt;=48,$C127/12,"")</f>
        <v/>
      </c>
      <c r="AP127" s="16" t="str">
        <f>IF(Production!AP$30&gt;=48,$C127/12,"")</f>
        <v/>
      </c>
      <c r="AR127" s="16">
        <f t="shared" si="464"/>
        <v>0</v>
      </c>
      <c r="AS127" s="16">
        <f t="shared" si="482"/>
        <v>0</v>
      </c>
      <c r="AT127" s="16">
        <f t="shared" si="483"/>
        <v>0</v>
      </c>
      <c r="AU127" s="16">
        <f t="shared" si="484"/>
        <v>0</v>
      </c>
      <c r="AV127" s="16">
        <f t="shared" si="485"/>
        <v>0</v>
      </c>
      <c r="AX127" s="16">
        <f t="shared" si="486"/>
        <v>0</v>
      </c>
      <c r="AY127" s="16">
        <f t="shared" si="487"/>
        <v>0</v>
      </c>
      <c r="AZ127" s="16">
        <f t="shared" si="488"/>
        <v>0</v>
      </c>
      <c r="BA127" s="16">
        <f t="shared" si="489"/>
        <v>0</v>
      </c>
      <c r="BB127" s="16">
        <f t="shared" si="490"/>
        <v>0</v>
      </c>
      <c r="BJ127" s="16">
        <f t="shared" si="479"/>
        <v>0</v>
      </c>
      <c r="BK127" s="16">
        <f>IF(BK$133&gt;=48,+$C127/4,0)</f>
        <v>0</v>
      </c>
      <c r="BL127" s="16">
        <f t="shared" ref="BL127:BN127" si="554">IF(BL$133&gt;=48,+$C127/4,0)</f>
        <v>0</v>
      </c>
      <c r="BM127" s="16">
        <f t="shared" si="554"/>
        <v>0</v>
      </c>
      <c r="BN127" s="16">
        <f t="shared" si="554"/>
        <v>0</v>
      </c>
      <c r="BP127" s="16">
        <f t="shared" si="480"/>
        <v>0</v>
      </c>
      <c r="BQ127" s="16">
        <f t="shared" ref="BQ127:BT127" si="555">IF(BQ$133&gt;=48,+$C127/4,0)</f>
        <v>0</v>
      </c>
      <c r="BR127" s="16">
        <f t="shared" si="555"/>
        <v>0</v>
      </c>
      <c r="BS127" s="16">
        <f t="shared" si="555"/>
        <v>0</v>
      </c>
      <c r="BT127" s="16">
        <f t="shared" si="555"/>
        <v>0</v>
      </c>
      <c r="BV127" s="16">
        <f t="shared" si="481"/>
        <v>0</v>
      </c>
      <c r="BW127" s="16">
        <f t="shared" ref="BW127:BZ127" si="556">IF(BW$133&gt;=48,+$C127/4,0)</f>
        <v>0</v>
      </c>
      <c r="BX127" s="16">
        <f t="shared" si="556"/>
        <v>0</v>
      </c>
      <c r="BY127" s="16">
        <f t="shared" si="556"/>
        <v>0</v>
      </c>
      <c r="BZ127" s="16">
        <f t="shared" si="556"/>
        <v>0</v>
      </c>
    </row>
    <row r="128" spans="2:78" s="265" customFormat="1" x14ac:dyDescent="0.25">
      <c r="B128" s="16" t="s">
        <v>1114</v>
      </c>
      <c r="C128" s="16">
        <v>50000</v>
      </c>
      <c r="U128" s="16" t="str">
        <f>IF(Production!U$30&gt;=49,$C128/12,"")</f>
        <v/>
      </c>
      <c r="V128" s="16" t="str">
        <f>IF(Production!V$30&gt;=49,$C128/12,"")</f>
        <v/>
      </c>
      <c r="W128" s="16" t="str">
        <f>IF(Production!W$30&gt;=49,$C128/12,"")</f>
        <v/>
      </c>
      <c r="X128" s="16" t="str">
        <f>IF(Production!X$30&gt;=49,$C128/12,"")</f>
        <v/>
      </c>
      <c r="Y128" s="16" t="str">
        <f>IF(Production!Y$30&gt;=49,$C128/12,"")</f>
        <v/>
      </c>
      <c r="Z128" s="16" t="str">
        <f>IF(Production!Z$30&gt;=49,$C128/12,"")</f>
        <v/>
      </c>
      <c r="AA128" s="16" t="str">
        <f>IF(Production!AA$30&gt;=49,$C128/12,"")</f>
        <v/>
      </c>
      <c r="AB128" s="16" t="str">
        <f>IF(Production!AB$30&gt;=49,$C128/12,"")</f>
        <v/>
      </c>
      <c r="AC128" s="16" t="str">
        <f>IF(Production!AC$30&gt;=49,$C128/12,"")</f>
        <v/>
      </c>
      <c r="AE128" s="16" t="str">
        <f>IF(Production!AE$30&gt;=49,$C128/12,"")</f>
        <v/>
      </c>
      <c r="AF128" s="16" t="str">
        <f>IF(Production!AF$30&gt;=49,$C128/12,"")</f>
        <v/>
      </c>
      <c r="AG128" s="16" t="str">
        <f>IF(Production!AG$30&gt;=49,$C128/12,"")</f>
        <v/>
      </c>
      <c r="AH128" s="16" t="str">
        <f>IF(Production!AH$30&gt;=49,$C128/12,"")</f>
        <v/>
      </c>
      <c r="AI128" s="16" t="str">
        <f>IF(Production!AI$30&gt;=49,$C128/12,"")</f>
        <v/>
      </c>
      <c r="AJ128" s="16" t="str">
        <f>IF(Production!AJ$30&gt;=49,$C128/12,"")</f>
        <v/>
      </c>
      <c r="AK128" s="16" t="str">
        <f>IF(Production!AK$30&gt;=49,$C128/12,"")</f>
        <v/>
      </c>
      <c r="AL128" s="16" t="str">
        <f>IF(Production!AL$30&gt;=49,$C128/12,"")</f>
        <v/>
      </c>
      <c r="AM128" s="16" t="str">
        <f>IF(Production!AM$30&gt;=49,$C128/12,"")</f>
        <v/>
      </c>
      <c r="AN128" s="16" t="str">
        <f>IF(Production!AN$30&gt;=49,$C128/12,"")</f>
        <v/>
      </c>
      <c r="AO128" s="16" t="str">
        <f>IF(Production!AO$30&gt;=49,$C128/12,"")</f>
        <v/>
      </c>
      <c r="AP128" s="16" t="str">
        <f>IF(Production!AP$30&gt;=49,$C128/12,"")</f>
        <v/>
      </c>
      <c r="AR128" s="16">
        <f t="shared" si="464"/>
        <v>0</v>
      </c>
      <c r="AS128" s="16">
        <f t="shared" si="482"/>
        <v>0</v>
      </c>
      <c r="AT128" s="16">
        <f t="shared" si="483"/>
        <v>0</v>
      </c>
      <c r="AU128" s="16">
        <f t="shared" si="484"/>
        <v>0</v>
      </c>
      <c r="AV128" s="16">
        <f t="shared" si="485"/>
        <v>0</v>
      </c>
      <c r="AX128" s="16">
        <f t="shared" si="486"/>
        <v>0</v>
      </c>
      <c r="AY128" s="16">
        <f t="shared" si="487"/>
        <v>0</v>
      </c>
      <c r="AZ128" s="16">
        <f t="shared" si="488"/>
        <v>0</v>
      </c>
      <c r="BA128" s="16">
        <f t="shared" si="489"/>
        <v>0</v>
      </c>
      <c r="BB128" s="16">
        <f t="shared" si="490"/>
        <v>0</v>
      </c>
      <c r="BJ128" s="16">
        <f t="shared" si="479"/>
        <v>0</v>
      </c>
      <c r="BK128" s="16">
        <f>IF(BK$133&gt;=49,+$C128/4,0)</f>
        <v>0</v>
      </c>
      <c r="BL128" s="16">
        <f t="shared" ref="BL128:BN128" si="557">IF(BL$133&gt;=49,+$C128/4,0)</f>
        <v>0</v>
      </c>
      <c r="BM128" s="16">
        <f t="shared" si="557"/>
        <v>0</v>
      </c>
      <c r="BN128" s="16">
        <f t="shared" si="557"/>
        <v>0</v>
      </c>
      <c r="BP128" s="16">
        <f t="shared" si="480"/>
        <v>0</v>
      </c>
      <c r="BQ128" s="16">
        <f t="shared" ref="BQ128:BT128" si="558">IF(BQ$133&gt;=49,+$C128/4,0)</f>
        <v>0</v>
      </c>
      <c r="BR128" s="16">
        <f t="shared" si="558"/>
        <v>0</v>
      </c>
      <c r="BS128" s="16">
        <f t="shared" si="558"/>
        <v>0</v>
      </c>
      <c r="BT128" s="16">
        <f t="shared" si="558"/>
        <v>0</v>
      </c>
      <c r="BV128" s="16">
        <f t="shared" si="481"/>
        <v>0</v>
      </c>
      <c r="BW128" s="16">
        <f t="shared" ref="BW128:BZ128" si="559">IF(BW$133&gt;=49,+$C128/4,0)</f>
        <v>0</v>
      </c>
      <c r="BX128" s="16">
        <f t="shared" si="559"/>
        <v>0</v>
      </c>
      <c r="BY128" s="16">
        <f t="shared" si="559"/>
        <v>0</v>
      </c>
      <c r="BZ128" s="16">
        <f t="shared" si="559"/>
        <v>0</v>
      </c>
    </row>
    <row r="129" spans="1:78" s="265" customFormat="1" x14ac:dyDescent="0.25">
      <c r="B129" s="16" t="s">
        <v>1115</v>
      </c>
      <c r="C129" s="16">
        <v>50000</v>
      </c>
      <c r="U129" s="16" t="str">
        <f>IF(Production!U$30&gt;=50,$C129/12,"")</f>
        <v/>
      </c>
      <c r="V129" s="16" t="str">
        <f>IF(Production!V$30&gt;=50,$C129/12,"")</f>
        <v/>
      </c>
      <c r="W129" s="16" t="str">
        <f>IF(Production!W$30&gt;=50,$C129/12,"")</f>
        <v/>
      </c>
      <c r="X129" s="16" t="str">
        <f>IF(Production!X$30&gt;=50,$C129/12,"")</f>
        <v/>
      </c>
      <c r="Y129" s="16" t="str">
        <f>IF(Production!Y$30&gt;=50,$C129/12,"")</f>
        <v/>
      </c>
      <c r="Z129" s="16" t="str">
        <f>IF(Production!Z$30&gt;=50,$C129/12,"")</f>
        <v/>
      </c>
      <c r="AA129" s="16" t="str">
        <f>IF(Production!AA$30&gt;=50,$C129/12,"")</f>
        <v/>
      </c>
      <c r="AB129" s="16" t="str">
        <f>IF(Production!AB$30&gt;=50,$C129/12,"")</f>
        <v/>
      </c>
      <c r="AC129" s="16" t="str">
        <f>IF(Production!AC$30&gt;=50,$C129/12,"")</f>
        <v/>
      </c>
      <c r="AE129" s="16" t="str">
        <f>IF(Production!AE$30&gt;=50,$C129/12,"")</f>
        <v/>
      </c>
      <c r="AF129" s="16" t="str">
        <f>IF(Production!AF$30&gt;=50,$C129/12,"")</f>
        <v/>
      </c>
      <c r="AG129" s="16" t="str">
        <f>IF(Production!AG$30&gt;=50,$C129/12,"")</f>
        <v/>
      </c>
      <c r="AH129" s="16" t="str">
        <f>IF(Production!AH$30&gt;=50,$C129/12,"")</f>
        <v/>
      </c>
      <c r="AI129" s="16" t="str">
        <f>IF(Production!AI$30&gt;=50,$C129/12,"")</f>
        <v/>
      </c>
      <c r="AJ129" s="16" t="str">
        <f>IF(Production!AJ$30&gt;=50,$C129/12,"")</f>
        <v/>
      </c>
      <c r="AK129" s="16" t="str">
        <f>IF(Production!AK$30&gt;=50,$C129/12,"")</f>
        <v/>
      </c>
      <c r="AL129" s="16" t="str">
        <f>IF(Production!AL$30&gt;=50,$C129/12,"")</f>
        <v/>
      </c>
      <c r="AM129" s="16" t="str">
        <f>IF(Production!AM$30&gt;=50,$C129/12,"")</f>
        <v/>
      </c>
      <c r="AN129" s="16" t="str">
        <f>IF(Production!AN$30&gt;=50,$C129/12,"")</f>
        <v/>
      </c>
      <c r="AO129" s="16" t="str">
        <f>IF(Production!AO$30&gt;=50,$C129/12,"")</f>
        <v/>
      </c>
      <c r="AP129" s="16" t="str">
        <f>IF(Production!AP$30&gt;=50,$C129/12,"")</f>
        <v/>
      </c>
      <c r="AR129" s="16">
        <f t="shared" si="464"/>
        <v>0</v>
      </c>
      <c r="AS129" s="16">
        <f t="shared" si="482"/>
        <v>0</v>
      </c>
      <c r="AT129" s="16">
        <f t="shared" si="483"/>
        <v>0</v>
      </c>
      <c r="AU129" s="16">
        <f t="shared" si="484"/>
        <v>0</v>
      </c>
      <c r="AV129" s="16">
        <f t="shared" si="485"/>
        <v>0</v>
      </c>
      <c r="AX129" s="16">
        <f t="shared" si="486"/>
        <v>0</v>
      </c>
      <c r="AY129" s="16">
        <f t="shared" si="487"/>
        <v>0</v>
      </c>
      <c r="AZ129" s="16">
        <f t="shared" si="488"/>
        <v>0</v>
      </c>
      <c r="BA129" s="16">
        <f t="shared" si="489"/>
        <v>0</v>
      </c>
      <c r="BB129" s="16">
        <f t="shared" si="490"/>
        <v>0</v>
      </c>
      <c r="BJ129" s="16">
        <f t="shared" si="479"/>
        <v>0</v>
      </c>
      <c r="BK129" s="16">
        <f>IF(BK$133&gt;=50,+$C129/4,0)</f>
        <v>0</v>
      </c>
      <c r="BL129" s="16">
        <f t="shared" ref="BL129:BN129" si="560">IF(BL$133&gt;=50,+$C129/4,0)</f>
        <v>0</v>
      </c>
      <c r="BM129" s="16">
        <f t="shared" si="560"/>
        <v>0</v>
      </c>
      <c r="BN129" s="16">
        <f t="shared" si="560"/>
        <v>0</v>
      </c>
      <c r="BP129" s="16">
        <f t="shared" si="480"/>
        <v>0</v>
      </c>
      <c r="BQ129" s="16">
        <f t="shared" ref="BQ129:BT129" si="561">IF(BQ$133&gt;=50,+$C129/4,0)</f>
        <v>0</v>
      </c>
      <c r="BR129" s="16">
        <f t="shared" si="561"/>
        <v>0</v>
      </c>
      <c r="BS129" s="16">
        <f t="shared" si="561"/>
        <v>0</v>
      </c>
      <c r="BT129" s="16">
        <f t="shared" si="561"/>
        <v>0</v>
      </c>
      <c r="BV129" s="16">
        <f t="shared" si="481"/>
        <v>0</v>
      </c>
      <c r="BW129" s="16">
        <f t="shared" ref="BW129:BZ129" si="562">IF(BW$133&gt;=50,+$C129/4,0)</f>
        <v>0</v>
      </c>
      <c r="BX129" s="16">
        <f t="shared" si="562"/>
        <v>0</v>
      </c>
      <c r="BY129" s="16">
        <f t="shared" si="562"/>
        <v>0</v>
      </c>
      <c r="BZ129" s="16">
        <f t="shared" si="562"/>
        <v>0</v>
      </c>
    </row>
    <row r="130" spans="1:78" s="16" customFormat="1" x14ac:dyDescent="0.25"/>
    <row r="131" spans="1:78" s="16" customFormat="1" x14ac:dyDescent="0.25">
      <c r="B131" s="16" t="s">
        <v>80</v>
      </c>
      <c r="E131" s="17">
        <f>SUM(E80:E130)</f>
        <v>0</v>
      </c>
      <c r="F131" s="17">
        <f t="shared" ref="F131:P131" si="563">SUM(F80:F130)</f>
        <v>0</v>
      </c>
      <c r="G131" s="17">
        <f t="shared" si="563"/>
        <v>0</v>
      </c>
      <c r="H131" s="17">
        <f t="shared" si="563"/>
        <v>0</v>
      </c>
      <c r="I131" s="17">
        <f t="shared" si="563"/>
        <v>0</v>
      </c>
      <c r="J131" s="17">
        <f t="shared" si="563"/>
        <v>0</v>
      </c>
      <c r="K131" s="17">
        <f t="shared" si="563"/>
        <v>0</v>
      </c>
      <c r="L131" s="17">
        <f t="shared" si="563"/>
        <v>0</v>
      </c>
      <c r="M131" s="17">
        <f t="shared" si="563"/>
        <v>0</v>
      </c>
      <c r="N131" s="17">
        <f t="shared" si="563"/>
        <v>0</v>
      </c>
      <c r="O131" s="17">
        <f t="shared" si="563"/>
        <v>0</v>
      </c>
      <c r="P131" s="17">
        <f t="shared" si="563"/>
        <v>0</v>
      </c>
      <c r="R131" s="17">
        <f>SUM(R80:R130)</f>
        <v>4583.333333333333</v>
      </c>
      <c r="S131" s="17">
        <f t="shared" ref="S131" si="564">SUM(S80:S130)</f>
        <v>4583.333333333333</v>
      </c>
      <c r="T131" s="17">
        <f t="shared" ref="T131" si="565">SUM(T80:T130)</f>
        <v>4583.333333333333</v>
      </c>
      <c r="U131" s="17">
        <f t="shared" ref="U131" si="566">SUM(U80:U130)</f>
        <v>31666.666666666664</v>
      </c>
      <c r="V131" s="17">
        <f t="shared" ref="V131" si="567">SUM(V80:V130)</f>
        <v>48333.333333333321</v>
      </c>
      <c r="W131" s="17">
        <f t="shared" ref="W131" si="568">SUM(W80:W130)</f>
        <v>94166.666666666672</v>
      </c>
      <c r="X131" s="17">
        <f t="shared" ref="X131" si="569">SUM(X80:X130)</f>
        <v>110833.33333333336</v>
      </c>
      <c r="Y131" s="17">
        <f t="shared" ref="Y131" si="570">SUM(Y80:Y130)</f>
        <v>110833.33333333336</v>
      </c>
      <c r="Z131" s="17">
        <f t="shared" ref="Z131" si="571">SUM(Z80:Z130)</f>
        <v>110833.33333333336</v>
      </c>
      <c r="AA131" s="17">
        <f t="shared" ref="AA131" si="572">SUM(AA80:AA130)</f>
        <v>110833.33333333336</v>
      </c>
      <c r="AB131" s="17">
        <f t="shared" ref="AB131" si="573">SUM(AB80:AB130)</f>
        <v>110833.33333333336</v>
      </c>
      <c r="AC131" s="17">
        <f t="shared" ref="AC131:AP131" si="574">SUM(AC80:AC130)</f>
        <v>110833.33333333336</v>
      </c>
      <c r="AE131" s="17">
        <f t="shared" si="574"/>
        <v>110833.33333333336</v>
      </c>
      <c r="AF131" s="17">
        <f t="shared" si="574"/>
        <v>110833.33333333336</v>
      </c>
      <c r="AG131" s="17">
        <f t="shared" si="574"/>
        <v>110833.33333333336</v>
      </c>
      <c r="AH131" s="17">
        <f>SUM(AH80:AH130)</f>
        <v>18333.333333333332</v>
      </c>
      <c r="AI131" s="17">
        <f t="shared" si="574"/>
        <v>18333.333333333332</v>
      </c>
      <c r="AJ131" s="17">
        <f t="shared" si="574"/>
        <v>18333.333333333332</v>
      </c>
      <c r="AK131" s="17">
        <f t="shared" si="574"/>
        <v>18333.333333333332</v>
      </c>
      <c r="AL131" s="17">
        <f t="shared" si="574"/>
        <v>18333.333333333332</v>
      </c>
      <c r="AM131" s="17">
        <f t="shared" si="574"/>
        <v>18333.333333333332</v>
      </c>
      <c r="AN131" s="17">
        <f t="shared" si="574"/>
        <v>18333.333333333332</v>
      </c>
      <c r="AO131" s="17">
        <f t="shared" si="574"/>
        <v>18333.333333333332</v>
      </c>
      <c r="AP131" s="17">
        <f t="shared" si="574"/>
        <v>22916.666666666664</v>
      </c>
      <c r="AR131" s="17">
        <f t="shared" ref="AR131:AV131" si="575">SUM(AR80:AR130)</f>
        <v>0</v>
      </c>
      <c r="AS131" s="17">
        <f t="shared" si="575"/>
        <v>0</v>
      </c>
      <c r="AT131" s="17">
        <f t="shared" si="575"/>
        <v>0</v>
      </c>
      <c r="AU131" s="17">
        <f t="shared" si="575"/>
        <v>0</v>
      </c>
      <c r="AV131" s="17">
        <f t="shared" si="575"/>
        <v>0</v>
      </c>
      <c r="AX131" s="17">
        <f t="shared" ref="AX131:BB131" si="576">SUM(AX80:AX130)</f>
        <v>852916.6666666664</v>
      </c>
      <c r="AY131" s="17">
        <f t="shared" si="576"/>
        <v>13750</v>
      </c>
      <c r="AZ131" s="17">
        <f t="shared" si="576"/>
        <v>174166.66666666654</v>
      </c>
      <c r="BA131" s="17">
        <f t="shared" si="576"/>
        <v>332500</v>
      </c>
      <c r="BB131" s="17">
        <f t="shared" si="576"/>
        <v>332500</v>
      </c>
      <c r="BD131" s="17">
        <f t="shared" ref="BD131:BJ131" si="577">SUM(BD80:BD130)</f>
        <v>502083.33333333337</v>
      </c>
      <c r="BE131" s="17">
        <f t="shared" si="577"/>
        <v>350833.33333333331</v>
      </c>
      <c r="BF131" s="17">
        <f t="shared" si="577"/>
        <v>55000</v>
      </c>
      <c r="BG131" s="17">
        <f t="shared" si="577"/>
        <v>55000</v>
      </c>
      <c r="BH131" s="17">
        <f t="shared" si="577"/>
        <v>59583.333333333336</v>
      </c>
      <c r="BJ131" s="17">
        <f t="shared" si="577"/>
        <v>630000</v>
      </c>
      <c r="BK131" s="17">
        <f t="shared" ref="BK131:BN131" si="578">SUM(BK80:BK130)</f>
        <v>107500</v>
      </c>
      <c r="BL131" s="17">
        <f t="shared" si="578"/>
        <v>157500</v>
      </c>
      <c r="BM131" s="17">
        <f t="shared" si="578"/>
        <v>170000</v>
      </c>
      <c r="BN131" s="17">
        <f t="shared" si="578"/>
        <v>195000</v>
      </c>
      <c r="BP131" s="17">
        <f t="shared" ref="BP131" si="579">SUM(BP80:BP130)</f>
        <v>1117500</v>
      </c>
      <c r="BQ131" s="17">
        <f t="shared" ref="BQ131:BT131" si="580">SUM(BQ80:BQ130)</f>
        <v>207500</v>
      </c>
      <c r="BR131" s="17">
        <f t="shared" si="580"/>
        <v>282500</v>
      </c>
      <c r="BS131" s="17">
        <f t="shared" si="580"/>
        <v>295000</v>
      </c>
      <c r="BT131" s="17">
        <f t="shared" si="580"/>
        <v>332500</v>
      </c>
      <c r="BV131" s="17">
        <f t="shared" ref="BV131" si="581">SUM(BV80:BV130)</f>
        <v>1717500</v>
      </c>
      <c r="BW131" s="17">
        <f t="shared" ref="BW131:BZ131" si="582">SUM(BW80:BW130)</f>
        <v>357500</v>
      </c>
      <c r="BX131" s="17">
        <f t="shared" si="582"/>
        <v>420000</v>
      </c>
      <c r="BY131" s="17">
        <f t="shared" si="582"/>
        <v>457500</v>
      </c>
      <c r="BZ131" s="17">
        <f t="shared" si="582"/>
        <v>482500</v>
      </c>
    </row>
    <row r="132" spans="1:78" s="16" customFormat="1" x14ac:dyDescent="0.25">
      <c r="B132" s="16" t="s">
        <v>380</v>
      </c>
      <c r="C132" s="24">
        <f>+C80/2080</f>
        <v>26.442307692307693</v>
      </c>
      <c r="R132" s="16">
        <f>COUNT(R80:R130)</f>
        <v>1</v>
      </c>
      <c r="S132" s="16">
        <f t="shared" ref="S132:AP132" si="583">COUNT(S80:S130)</f>
        <v>1</v>
      </c>
      <c r="T132" s="16">
        <f t="shared" si="583"/>
        <v>1</v>
      </c>
      <c r="U132" s="16">
        <f t="shared" si="583"/>
        <v>7</v>
      </c>
      <c r="V132" s="16">
        <f t="shared" si="583"/>
        <v>11</v>
      </c>
      <c r="W132" s="16">
        <f t="shared" si="583"/>
        <v>22</v>
      </c>
      <c r="X132" s="16">
        <f t="shared" si="583"/>
        <v>26</v>
      </c>
      <c r="Y132" s="16">
        <f t="shared" si="583"/>
        <v>26</v>
      </c>
      <c r="Z132" s="16">
        <f t="shared" si="583"/>
        <v>26</v>
      </c>
      <c r="AA132" s="16">
        <f t="shared" si="583"/>
        <v>26</v>
      </c>
      <c r="AB132" s="16">
        <f t="shared" si="583"/>
        <v>26</v>
      </c>
      <c r="AC132" s="16">
        <f t="shared" si="583"/>
        <v>26</v>
      </c>
      <c r="AE132" s="16">
        <f t="shared" si="583"/>
        <v>26</v>
      </c>
      <c r="AF132" s="16">
        <f t="shared" si="583"/>
        <v>26</v>
      </c>
      <c r="AG132" s="16">
        <f t="shared" si="583"/>
        <v>26</v>
      </c>
      <c r="AH132" s="16">
        <f t="shared" si="583"/>
        <v>4</v>
      </c>
      <c r="AI132" s="16">
        <f t="shared" si="583"/>
        <v>4</v>
      </c>
      <c r="AJ132" s="16">
        <f t="shared" si="583"/>
        <v>4</v>
      </c>
      <c r="AK132" s="16">
        <f t="shared" si="583"/>
        <v>4</v>
      </c>
      <c r="AL132" s="16">
        <f t="shared" si="583"/>
        <v>4</v>
      </c>
      <c r="AM132" s="16">
        <f t="shared" si="583"/>
        <v>4</v>
      </c>
      <c r="AN132" s="16">
        <f t="shared" si="583"/>
        <v>4</v>
      </c>
      <c r="AO132" s="16">
        <f t="shared" si="583"/>
        <v>4</v>
      </c>
      <c r="AP132" s="16">
        <f t="shared" si="583"/>
        <v>5</v>
      </c>
      <c r="AX132" s="16">
        <f>AVERAGE(R132:AC132)</f>
        <v>16.583333333333332</v>
      </c>
      <c r="BD132" s="16">
        <f>AVERAGE(AE132:AP132)</f>
        <v>9.5833333333333339</v>
      </c>
      <c r="BJ132" s="16">
        <f>AVERAGE(BK132:BN132)</f>
        <v>12</v>
      </c>
      <c r="BK132" s="16">
        <f t="shared" ref="BK132:BN132" si="584">COUNTIF(BK80:BK130,"&gt;0")</f>
        <v>8</v>
      </c>
      <c r="BL132" s="16">
        <f t="shared" si="584"/>
        <v>12</v>
      </c>
      <c r="BM132" s="16">
        <f t="shared" si="584"/>
        <v>13</v>
      </c>
      <c r="BN132" s="16">
        <f t="shared" si="584"/>
        <v>15</v>
      </c>
      <c r="BP132" s="16">
        <f>AVERAGE(BQ132:BT132)</f>
        <v>21.75</v>
      </c>
      <c r="BQ132" s="16">
        <f t="shared" ref="BQ132:BT132" si="585">COUNTIF(BQ80:BQ130,"&gt;0")</f>
        <v>16</v>
      </c>
      <c r="BR132" s="16">
        <f t="shared" si="585"/>
        <v>22</v>
      </c>
      <c r="BS132" s="16">
        <f t="shared" si="585"/>
        <v>23</v>
      </c>
      <c r="BT132" s="16">
        <f t="shared" si="585"/>
        <v>26</v>
      </c>
      <c r="BV132" s="16">
        <f>AVERAGE(BW132:BZ132)</f>
        <v>33.75</v>
      </c>
      <c r="BW132" s="16">
        <f t="shared" ref="BW132:BZ132" si="586">COUNTIF(BW80:BW130,"&gt;0")</f>
        <v>28</v>
      </c>
      <c r="BX132" s="16">
        <f t="shared" si="586"/>
        <v>33</v>
      </c>
      <c r="BY132" s="16">
        <f t="shared" si="586"/>
        <v>36</v>
      </c>
      <c r="BZ132" s="16">
        <f t="shared" si="586"/>
        <v>38</v>
      </c>
    </row>
    <row r="133" spans="1:78" s="16" customFormat="1" x14ac:dyDescent="0.25">
      <c r="B133" s="16" t="s">
        <v>573</v>
      </c>
      <c r="C133" s="24"/>
      <c r="S133" s="66"/>
      <c r="T133" s="66"/>
      <c r="U133" s="66"/>
      <c r="V133" s="16">
        <f>+Production!V30</f>
        <v>11</v>
      </c>
      <c r="W133" s="16">
        <f>+Production!W30</f>
        <v>22</v>
      </c>
      <c r="X133" s="16">
        <f>+Production!X30</f>
        <v>26</v>
      </c>
      <c r="Y133" s="16">
        <f>+Production!Y30</f>
        <v>26</v>
      </c>
      <c r="Z133" s="16">
        <f>+Production!Z30</f>
        <v>26</v>
      </c>
      <c r="AA133" s="16">
        <f>+Production!AA30</f>
        <v>26</v>
      </c>
      <c r="AB133" s="16">
        <f>+Production!AB30</f>
        <v>26</v>
      </c>
      <c r="AC133" s="16">
        <f>+Production!AC30</f>
        <v>26</v>
      </c>
      <c r="AE133" s="16">
        <f>+Production!AE30</f>
        <v>26</v>
      </c>
      <c r="AF133" s="16">
        <f>+Production!AF30</f>
        <v>26</v>
      </c>
      <c r="AG133" s="16">
        <f>+Production!AG30</f>
        <v>26</v>
      </c>
      <c r="AH133" s="16">
        <f>+Production!AH30</f>
        <v>4</v>
      </c>
      <c r="AI133" s="16">
        <f>+Production!AI30</f>
        <v>4</v>
      </c>
      <c r="AJ133" s="16">
        <f>+Production!AJ30</f>
        <v>4</v>
      </c>
      <c r="AK133" s="16">
        <f>+Production!AK30</f>
        <v>4</v>
      </c>
      <c r="AL133" s="16">
        <f>+Production!AL30</f>
        <v>4</v>
      </c>
      <c r="AM133" s="16">
        <f>+Production!AM30</f>
        <v>4</v>
      </c>
      <c r="AN133" s="16">
        <f>+Production!AN30</f>
        <v>4</v>
      </c>
      <c r="AO133" s="16">
        <f>+Production!AO30</f>
        <v>4</v>
      </c>
      <c r="AP133" s="16">
        <f>+Production!AP30</f>
        <v>5</v>
      </c>
      <c r="AY133" s="66">
        <f>+Production!AY30</f>
        <v>0</v>
      </c>
      <c r="AZ133" s="66">
        <f>+Production!AZ30</f>
        <v>0</v>
      </c>
      <c r="BA133" s="66">
        <f>+Production!BA30</f>
        <v>0</v>
      </c>
      <c r="BB133" s="66">
        <f>+Production!BB30</f>
        <v>0</v>
      </c>
      <c r="BK133" s="66">
        <f>+Production!BK30</f>
        <v>8</v>
      </c>
      <c r="BL133" s="66">
        <f>+Production!BL30</f>
        <v>12</v>
      </c>
      <c r="BM133" s="66">
        <f>+Production!BM30</f>
        <v>13</v>
      </c>
      <c r="BN133" s="66">
        <f>+Production!BN30</f>
        <v>15</v>
      </c>
      <c r="BQ133" s="66">
        <f>+Production!BQ30</f>
        <v>16</v>
      </c>
      <c r="BR133" s="66">
        <f>+Production!BR30</f>
        <v>22</v>
      </c>
      <c r="BS133" s="66">
        <f>+Production!BS30</f>
        <v>23</v>
      </c>
      <c r="BT133" s="66">
        <f>+Production!BT30</f>
        <v>26</v>
      </c>
      <c r="BW133" s="66">
        <f>+Production!BW30</f>
        <v>28</v>
      </c>
      <c r="BX133" s="66">
        <f>+Production!BX30</f>
        <v>33</v>
      </c>
      <c r="BY133" s="66">
        <f>+Production!BY30</f>
        <v>36</v>
      </c>
      <c r="BZ133" s="66">
        <f>+Production!BZ30</f>
        <v>38</v>
      </c>
    </row>
    <row r="134" spans="1:78" s="16" customFormat="1" x14ac:dyDescent="0.25">
      <c r="C134" s="24"/>
    </row>
    <row r="135" spans="1:78" s="16" customFormat="1" x14ac:dyDescent="0.25">
      <c r="A135" s="16" t="s">
        <v>63</v>
      </c>
    </row>
    <row r="136" spans="1:78" s="16" customFormat="1" x14ac:dyDescent="0.25">
      <c r="B136" s="16" t="s">
        <v>64</v>
      </c>
      <c r="AR136" s="16">
        <f t="shared" ref="AR136:AR150" si="587">SUM(E136:P136)</f>
        <v>0</v>
      </c>
      <c r="AS136" s="16">
        <f t="shared" ref="AS136:AS150" si="588">SUM(E136:G136)</f>
        <v>0</v>
      </c>
      <c r="AT136" s="16">
        <f t="shared" ref="AT136:AT150" si="589">SUM(H136:J136)</f>
        <v>0</v>
      </c>
      <c r="AU136" s="16">
        <f t="shared" ref="AU136:AU150" si="590">SUM(K136:M136)</f>
        <v>0</v>
      </c>
      <c r="AV136" s="16">
        <f t="shared" ref="AV136:AV150" si="591">SUM(N136:P136)</f>
        <v>0</v>
      </c>
      <c r="AX136" s="16">
        <f t="shared" ref="AX136:AX150" si="592">SUM(R136:AC136)</f>
        <v>0</v>
      </c>
      <c r="AY136" s="16">
        <f t="shared" ref="AY136:AY150" si="593">SUM(R136:T136)</f>
        <v>0</v>
      </c>
      <c r="AZ136" s="16">
        <f t="shared" ref="AZ136:AZ150" si="594">SUM(U136:W136)</f>
        <v>0</v>
      </c>
      <c r="BA136" s="16">
        <f t="shared" ref="BA136:BA150" si="595">SUM(X136:Z136)</f>
        <v>0</v>
      </c>
      <c r="BB136" s="16">
        <f t="shared" ref="BB136:BB150" si="596">SUM(AA136:AC136)</f>
        <v>0</v>
      </c>
      <c r="BD136" s="16">
        <f t="shared" ref="BD136:BD150" si="597">SUM(AE136:AP136)</f>
        <v>0</v>
      </c>
      <c r="BE136" s="16">
        <f t="shared" ref="BE136:BE150" si="598">SUM(AE136:AG136)</f>
        <v>0</v>
      </c>
      <c r="BF136" s="16">
        <f t="shared" ref="BF136:BF150" si="599">SUM(AH136:AJ136)</f>
        <v>0</v>
      </c>
      <c r="BG136" s="16">
        <f t="shared" ref="BG136:BG150" si="600">SUM(AK136:AM136)</f>
        <v>0</v>
      </c>
      <c r="BH136" s="16">
        <f t="shared" ref="BH136:BH150" si="601">SUM(AN136:AP136)</f>
        <v>0</v>
      </c>
      <c r="BJ136" s="16">
        <f t="shared" ref="BJ136:BJ150" si="602">SUM(BK136:BN136)</f>
        <v>0</v>
      </c>
      <c r="BP136" s="16">
        <f t="shared" ref="BP136:BP150" si="603">SUM(BQ136:BT136)</f>
        <v>0</v>
      </c>
      <c r="BV136" s="16">
        <f t="shared" ref="BV136:BV150" si="604">SUM(BW136:BZ136)</f>
        <v>0</v>
      </c>
    </row>
    <row r="137" spans="1:78" s="16" customFormat="1" x14ac:dyDescent="0.25">
      <c r="B137" s="16" t="s">
        <v>65</v>
      </c>
      <c r="AR137" s="16">
        <f t="shared" si="587"/>
        <v>0</v>
      </c>
      <c r="AS137" s="16">
        <f t="shared" si="588"/>
        <v>0</v>
      </c>
      <c r="AT137" s="16">
        <f t="shared" si="589"/>
        <v>0</v>
      </c>
      <c r="AU137" s="16">
        <f t="shared" si="590"/>
        <v>0</v>
      </c>
      <c r="AV137" s="16">
        <f t="shared" si="591"/>
        <v>0</v>
      </c>
      <c r="AX137" s="16">
        <f t="shared" si="592"/>
        <v>0</v>
      </c>
      <c r="AY137" s="16">
        <f t="shared" si="593"/>
        <v>0</v>
      </c>
      <c r="AZ137" s="16">
        <f t="shared" si="594"/>
        <v>0</v>
      </c>
      <c r="BA137" s="16">
        <f t="shared" si="595"/>
        <v>0</v>
      </c>
      <c r="BB137" s="16">
        <f t="shared" si="596"/>
        <v>0</v>
      </c>
      <c r="BD137" s="16">
        <f t="shared" si="597"/>
        <v>0</v>
      </c>
      <c r="BE137" s="16">
        <f t="shared" si="598"/>
        <v>0</v>
      </c>
      <c r="BF137" s="16">
        <f t="shared" si="599"/>
        <v>0</v>
      </c>
      <c r="BG137" s="16">
        <f t="shared" si="600"/>
        <v>0</v>
      </c>
      <c r="BH137" s="16">
        <f t="shared" si="601"/>
        <v>0</v>
      </c>
      <c r="BJ137" s="16">
        <f t="shared" si="602"/>
        <v>0</v>
      </c>
      <c r="BP137" s="16">
        <f t="shared" si="603"/>
        <v>0</v>
      </c>
      <c r="BV137" s="16">
        <f t="shared" si="604"/>
        <v>0</v>
      </c>
    </row>
    <row r="138" spans="1:78" s="16" customFormat="1" x14ac:dyDescent="0.25">
      <c r="B138" s="16" t="s">
        <v>66</v>
      </c>
      <c r="AR138" s="16">
        <f t="shared" si="587"/>
        <v>0</v>
      </c>
      <c r="AS138" s="16">
        <f t="shared" si="588"/>
        <v>0</v>
      </c>
      <c r="AT138" s="16">
        <f t="shared" si="589"/>
        <v>0</v>
      </c>
      <c r="AU138" s="16">
        <f t="shared" si="590"/>
        <v>0</v>
      </c>
      <c r="AV138" s="16">
        <f t="shared" si="591"/>
        <v>0</v>
      </c>
      <c r="AX138" s="16">
        <f t="shared" si="592"/>
        <v>0</v>
      </c>
      <c r="AY138" s="16">
        <f t="shared" si="593"/>
        <v>0</v>
      </c>
      <c r="AZ138" s="16">
        <f t="shared" si="594"/>
        <v>0</v>
      </c>
      <c r="BA138" s="16">
        <f t="shared" si="595"/>
        <v>0</v>
      </c>
      <c r="BB138" s="16">
        <f t="shared" si="596"/>
        <v>0</v>
      </c>
      <c r="BD138" s="16">
        <f t="shared" si="597"/>
        <v>0</v>
      </c>
      <c r="BE138" s="16">
        <f t="shared" si="598"/>
        <v>0</v>
      </c>
      <c r="BF138" s="16">
        <f t="shared" si="599"/>
        <v>0</v>
      </c>
      <c r="BG138" s="16">
        <f t="shared" si="600"/>
        <v>0</v>
      </c>
      <c r="BH138" s="16">
        <f t="shared" si="601"/>
        <v>0</v>
      </c>
      <c r="BJ138" s="16">
        <f t="shared" si="602"/>
        <v>0</v>
      </c>
      <c r="BP138" s="16">
        <f t="shared" si="603"/>
        <v>0</v>
      </c>
      <c r="BV138" s="16">
        <f t="shared" si="604"/>
        <v>0</v>
      </c>
    </row>
    <row r="139" spans="1:78" s="16" customFormat="1" x14ac:dyDescent="0.25">
      <c r="B139" s="16" t="s">
        <v>67</v>
      </c>
      <c r="AR139" s="16">
        <f t="shared" si="587"/>
        <v>0</v>
      </c>
      <c r="AS139" s="16">
        <f t="shared" si="588"/>
        <v>0</v>
      </c>
      <c r="AT139" s="16">
        <f t="shared" si="589"/>
        <v>0</v>
      </c>
      <c r="AU139" s="16">
        <f t="shared" si="590"/>
        <v>0</v>
      </c>
      <c r="AV139" s="16">
        <f t="shared" si="591"/>
        <v>0</v>
      </c>
      <c r="AX139" s="16">
        <f t="shared" si="592"/>
        <v>0</v>
      </c>
      <c r="AY139" s="16">
        <f t="shared" si="593"/>
        <v>0</v>
      </c>
      <c r="AZ139" s="16">
        <f t="shared" si="594"/>
        <v>0</v>
      </c>
      <c r="BA139" s="16">
        <f t="shared" si="595"/>
        <v>0</v>
      </c>
      <c r="BB139" s="16">
        <f t="shared" si="596"/>
        <v>0</v>
      </c>
      <c r="BD139" s="16">
        <f t="shared" si="597"/>
        <v>0</v>
      </c>
      <c r="BE139" s="16">
        <f t="shared" si="598"/>
        <v>0</v>
      </c>
      <c r="BF139" s="16">
        <f t="shared" si="599"/>
        <v>0</v>
      </c>
      <c r="BG139" s="16">
        <f t="shared" si="600"/>
        <v>0</v>
      </c>
      <c r="BH139" s="16">
        <f t="shared" si="601"/>
        <v>0</v>
      </c>
      <c r="BJ139" s="16">
        <f t="shared" si="602"/>
        <v>0</v>
      </c>
      <c r="BP139" s="16">
        <f t="shared" si="603"/>
        <v>0</v>
      </c>
      <c r="BV139" s="16">
        <f t="shared" si="604"/>
        <v>0</v>
      </c>
    </row>
    <row r="140" spans="1:78" s="16" customFormat="1" x14ac:dyDescent="0.25">
      <c r="B140" s="16" t="s">
        <v>68</v>
      </c>
      <c r="AR140" s="16">
        <f t="shared" si="587"/>
        <v>0</v>
      </c>
      <c r="AS140" s="16">
        <f t="shared" si="588"/>
        <v>0</v>
      </c>
      <c r="AT140" s="16">
        <f t="shared" si="589"/>
        <v>0</v>
      </c>
      <c r="AU140" s="16">
        <f t="shared" si="590"/>
        <v>0</v>
      </c>
      <c r="AV140" s="16">
        <f t="shared" si="591"/>
        <v>0</v>
      </c>
      <c r="AX140" s="16">
        <f t="shared" si="592"/>
        <v>0</v>
      </c>
      <c r="AY140" s="16">
        <f t="shared" si="593"/>
        <v>0</v>
      </c>
      <c r="AZ140" s="16">
        <f t="shared" si="594"/>
        <v>0</v>
      </c>
      <c r="BA140" s="16">
        <f t="shared" si="595"/>
        <v>0</v>
      </c>
      <c r="BB140" s="16">
        <f t="shared" si="596"/>
        <v>0</v>
      </c>
      <c r="BD140" s="16">
        <f t="shared" si="597"/>
        <v>0</v>
      </c>
      <c r="BE140" s="16">
        <f t="shared" si="598"/>
        <v>0</v>
      </c>
      <c r="BF140" s="16">
        <f t="shared" si="599"/>
        <v>0</v>
      </c>
      <c r="BG140" s="16">
        <f t="shared" si="600"/>
        <v>0</v>
      </c>
      <c r="BH140" s="16">
        <f t="shared" si="601"/>
        <v>0</v>
      </c>
      <c r="BJ140" s="16">
        <f t="shared" si="602"/>
        <v>0</v>
      </c>
      <c r="BP140" s="16">
        <f t="shared" si="603"/>
        <v>0</v>
      </c>
      <c r="BV140" s="16">
        <f t="shared" si="604"/>
        <v>0</v>
      </c>
    </row>
    <row r="141" spans="1:78" s="16" customFormat="1" x14ac:dyDescent="0.25">
      <c r="B141" s="16" t="s">
        <v>69</v>
      </c>
      <c r="AR141" s="16">
        <f t="shared" si="587"/>
        <v>0</v>
      </c>
      <c r="AS141" s="16">
        <f t="shared" si="588"/>
        <v>0</v>
      </c>
      <c r="AT141" s="16">
        <f t="shared" si="589"/>
        <v>0</v>
      </c>
      <c r="AU141" s="16">
        <f t="shared" si="590"/>
        <v>0</v>
      </c>
      <c r="AV141" s="16">
        <f t="shared" si="591"/>
        <v>0</v>
      </c>
      <c r="AX141" s="16">
        <f t="shared" si="592"/>
        <v>0</v>
      </c>
      <c r="AY141" s="16">
        <f t="shared" si="593"/>
        <v>0</v>
      </c>
      <c r="AZ141" s="16">
        <f t="shared" si="594"/>
        <v>0</v>
      </c>
      <c r="BA141" s="16">
        <f t="shared" si="595"/>
        <v>0</v>
      </c>
      <c r="BB141" s="16">
        <f t="shared" si="596"/>
        <v>0</v>
      </c>
      <c r="BD141" s="16">
        <f t="shared" si="597"/>
        <v>0</v>
      </c>
      <c r="BE141" s="16">
        <f t="shared" si="598"/>
        <v>0</v>
      </c>
      <c r="BF141" s="16">
        <f t="shared" si="599"/>
        <v>0</v>
      </c>
      <c r="BG141" s="16">
        <f t="shared" si="600"/>
        <v>0</v>
      </c>
      <c r="BH141" s="16">
        <f t="shared" si="601"/>
        <v>0</v>
      </c>
      <c r="BJ141" s="16">
        <f t="shared" si="602"/>
        <v>0</v>
      </c>
      <c r="BP141" s="16">
        <f t="shared" si="603"/>
        <v>0</v>
      </c>
      <c r="BV141" s="16">
        <f t="shared" si="604"/>
        <v>0</v>
      </c>
    </row>
    <row r="142" spans="1:78" s="16" customFormat="1" x14ac:dyDescent="0.25">
      <c r="B142" s="16" t="s">
        <v>70</v>
      </c>
      <c r="AR142" s="16">
        <f t="shared" si="587"/>
        <v>0</v>
      </c>
      <c r="AS142" s="16">
        <f t="shared" si="588"/>
        <v>0</v>
      </c>
      <c r="AT142" s="16">
        <f t="shared" si="589"/>
        <v>0</v>
      </c>
      <c r="AU142" s="16">
        <f t="shared" si="590"/>
        <v>0</v>
      </c>
      <c r="AV142" s="16">
        <f t="shared" si="591"/>
        <v>0</v>
      </c>
      <c r="AX142" s="16">
        <f t="shared" si="592"/>
        <v>0</v>
      </c>
      <c r="AY142" s="16">
        <f t="shared" si="593"/>
        <v>0</v>
      </c>
      <c r="AZ142" s="16">
        <f t="shared" si="594"/>
        <v>0</v>
      </c>
      <c r="BA142" s="16">
        <f t="shared" si="595"/>
        <v>0</v>
      </c>
      <c r="BB142" s="16">
        <f t="shared" si="596"/>
        <v>0</v>
      </c>
      <c r="BD142" s="16">
        <f t="shared" si="597"/>
        <v>0</v>
      </c>
      <c r="BE142" s="16">
        <f t="shared" si="598"/>
        <v>0</v>
      </c>
      <c r="BF142" s="16">
        <f t="shared" si="599"/>
        <v>0</v>
      </c>
      <c r="BG142" s="16">
        <f t="shared" si="600"/>
        <v>0</v>
      </c>
      <c r="BH142" s="16">
        <f t="shared" si="601"/>
        <v>0</v>
      </c>
      <c r="BJ142" s="16">
        <f t="shared" si="602"/>
        <v>0</v>
      </c>
      <c r="BP142" s="16">
        <f t="shared" si="603"/>
        <v>0</v>
      </c>
      <c r="BV142" s="16">
        <f t="shared" si="604"/>
        <v>0</v>
      </c>
    </row>
    <row r="143" spans="1:78" s="16" customFormat="1" x14ac:dyDescent="0.25">
      <c r="B143" s="16" t="s">
        <v>71</v>
      </c>
      <c r="AR143" s="16">
        <f t="shared" si="587"/>
        <v>0</v>
      </c>
      <c r="AS143" s="16">
        <f t="shared" si="588"/>
        <v>0</v>
      </c>
      <c r="AT143" s="16">
        <f t="shared" si="589"/>
        <v>0</v>
      </c>
      <c r="AU143" s="16">
        <f t="shared" si="590"/>
        <v>0</v>
      </c>
      <c r="AV143" s="16">
        <f t="shared" si="591"/>
        <v>0</v>
      </c>
      <c r="AX143" s="16">
        <f t="shared" si="592"/>
        <v>0</v>
      </c>
      <c r="AY143" s="16">
        <f t="shared" si="593"/>
        <v>0</v>
      </c>
      <c r="AZ143" s="16">
        <f t="shared" si="594"/>
        <v>0</v>
      </c>
      <c r="BA143" s="16">
        <f t="shared" si="595"/>
        <v>0</v>
      </c>
      <c r="BB143" s="16">
        <f t="shared" si="596"/>
        <v>0</v>
      </c>
      <c r="BD143" s="16">
        <f t="shared" si="597"/>
        <v>0</v>
      </c>
      <c r="BE143" s="16">
        <f t="shared" si="598"/>
        <v>0</v>
      </c>
      <c r="BF143" s="16">
        <f t="shared" si="599"/>
        <v>0</v>
      </c>
      <c r="BG143" s="16">
        <f t="shared" si="600"/>
        <v>0</v>
      </c>
      <c r="BH143" s="16">
        <f t="shared" si="601"/>
        <v>0</v>
      </c>
      <c r="BJ143" s="16">
        <f t="shared" si="602"/>
        <v>0</v>
      </c>
      <c r="BP143" s="16">
        <f t="shared" si="603"/>
        <v>0</v>
      </c>
      <c r="BV143" s="16">
        <f t="shared" si="604"/>
        <v>0</v>
      </c>
    </row>
    <row r="144" spans="1:78" s="16" customFormat="1" x14ac:dyDescent="0.25">
      <c r="B144" s="16" t="s">
        <v>72</v>
      </c>
      <c r="AR144" s="16">
        <f t="shared" si="587"/>
        <v>0</v>
      </c>
      <c r="AS144" s="16">
        <f t="shared" si="588"/>
        <v>0</v>
      </c>
      <c r="AT144" s="16">
        <f t="shared" si="589"/>
        <v>0</v>
      </c>
      <c r="AU144" s="16">
        <f t="shared" si="590"/>
        <v>0</v>
      </c>
      <c r="AV144" s="16">
        <f t="shared" si="591"/>
        <v>0</v>
      </c>
      <c r="AX144" s="16">
        <f t="shared" si="592"/>
        <v>0</v>
      </c>
      <c r="AY144" s="16">
        <f t="shared" si="593"/>
        <v>0</v>
      </c>
      <c r="AZ144" s="16">
        <f t="shared" si="594"/>
        <v>0</v>
      </c>
      <c r="BA144" s="16">
        <f t="shared" si="595"/>
        <v>0</v>
      </c>
      <c r="BB144" s="16">
        <f t="shared" si="596"/>
        <v>0</v>
      </c>
      <c r="BD144" s="16">
        <f t="shared" si="597"/>
        <v>0</v>
      </c>
      <c r="BE144" s="16">
        <f t="shared" si="598"/>
        <v>0</v>
      </c>
      <c r="BF144" s="16">
        <f t="shared" si="599"/>
        <v>0</v>
      </c>
      <c r="BG144" s="16">
        <f t="shared" si="600"/>
        <v>0</v>
      </c>
      <c r="BH144" s="16">
        <f t="shared" si="601"/>
        <v>0</v>
      </c>
      <c r="BJ144" s="16">
        <f t="shared" si="602"/>
        <v>0</v>
      </c>
      <c r="BP144" s="16">
        <f t="shared" si="603"/>
        <v>0</v>
      </c>
      <c r="BV144" s="16">
        <f t="shared" si="604"/>
        <v>0</v>
      </c>
    </row>
    <row r="145" spans="2:78" s="16" customFormat="1" x14ac:dyDescent="0.25">
      <c r="B145" s="16" t="s">
        <v>73</v>
      </c>
      <c r="AR145" s="16">
        <f t="shared" si="587"/>
        <v>0</v>
      </c>
      <c r="AS145" s="16">
        <f t="shared" si="588"/>
        <v>0</v>
      </c>
      <c r="AT145" s="16">
        <f t="shared" si="589"/>
        <v>0</v>
      </c>
      <c r="AU145" s="16">
        <f t="shared" si="590"/>
        <v>0</v>
      </c>
      <c r="AV145" s="16">
        <f t="shared" si="591"/>
        <v>0</v>
      </c>
      <c r="AX145" s="16">
        <f t="shared" si="592"/>
        <v>0</v>
      </c>
      <c r="AY145" s="16">
        <f t="shared" si="593"/>
        <v>0</v>
      </c>
      <c r="AZ145" s="16">
        <f t="shared" si="594"/>
        <v>0</v>
      </c>
      <c r="BA145" s="16">
        <f t="shared" si="595"/>
        <v>0</v>
      </c>
      <c r="BB145" s="16">
        <f t="shared" si="596"/>
        <v>0</v>
      </c>
      <c r="BD145" s="16">
        <f t="shared" si="597"/>
        <v>0</v>
      </c>
      <c r="BE145" s="16">
        <f t="shared" si="598"/>
        <v>0</v>
      </c>
      <c r="BF145" s="16">
        <f t="shared" si="599"/>
        <v>0</v>
      </c>
      <c r="BG145" s="16">
        <f t="shared" si="600"/>
        <v>0</v>
      </c>
      <c r="BH145" s="16">
        <f t="shared" si="601"/>
        <v>0</v>
      </c>
      <c r="BJ145" s="16">
        <f t="shared" si="602"/>
        <v>0</v>
      </c>
      <c r="BP145" s="16">
        <f t="shared" si="603"/>
        <v>0</v>
      </c>
      <c r="BV145" s="16">
        <f t="shared" si="604"/>
        <v>0</v>
      </c>
    </row>
    <row r="146" spans="2:78" s="16" customFormat="1" x14ac:dyDescent="0.25">
      <c r="B146" s="16" t="s">
        <v>74</v>
      </c>
      <c r="AR146" s="16">
        <f t="shared" si="587"/>
        <v>0</v>
      </c>
      <c r="AS146" s="16">
        <f t="shared" si="588"/>
        <v>0</v>
      </c>
      <c r="AT146" s="16">
        <f t="shared" si="589"/>
        <v>0</v>
      </c>
      <c r="AU146" s="16">
        <f t="shared" si="590"/>
        <v>0</v>
      </c>
      <c r="AV146" s="16">
        <f t="shared" si="591"/>
        <v>0</v>
      </c>
      <c r="AX146" s="16">
        <f t="shared" si="592"/>
        <v>0</v>
      </c>
      <c r="AY146" s="16">
        <f t="shared" si="593"/>
        <v>0</v>
      </c>
      <c r="AZ146" s="16">
        <f t="shared" si="594"/>
        <v>0</v>
      </c>
      <c r="BA146" s="16">
        <f t="shared" si="595"/>
        <v>0</v>
      </c>
      <c r="BB146" s="16">
        <f t="shared" si="596"/>
        <v>0</v>
      </c>
      <c r="BD146" s="16">
        <f t="shared" si="597"/>
        <v>0</v>
      </c>
      <c r="BE146" s="16">
        <f t="shared" si="598"/>
        <v>0</v>
      </c>
      <c r="BF146" s="16">
        <f t="shared" si="599"/>
        <v>0</v>
      </c>
      <c r="BG146" s="16">
        <f t="shared" si="600"/>
        <v>0</v>
      </c>
      <c r="BH146" s="16">
        <f t="shared" si="601"/>
        <v>0</v>
      </c>
      <c r="BJ146" s="16">
        <f t="shared" si="602"/>
        <v>0</v>
      </c>
      <c r="BP146" s="16">
        <f t="shared" si="603"/>
        <v>0</v>
      </c>
      <c r="BV146" s="16">
        <f t="shared" si="604"/>
        <v>0</v>
      </c>
    </row>
    <row r="147" spans="2:78" s="16" customFormat="1" x14ac:dyDescent="0.25">
      <c r="B147" s="16" t="s">
        <v>75</v>
      </c>
      <c r="AR147" s="16">
        <f t="shared" si="587"/>
        <v>0</v>
      </c>
      <c r="AS147" s="16">
        <f t="shared" si="588"/>
        <v>0</v>
      </c>
      <c r="AT147" s="16">
        <f t="shared" si="589"/>
        <v>0</v>
      </c>
      <c r="AU147" s="16">
        <f t="shared" si="590"/>
        <v>0</v>
      </c>
      <c r="AV147" s="16">
        <f t="shared" si="591"/>
        <v>0</v>
      </c>
      <c r="AX147" s="16">
        <f t="shared" si="592"/>
        <v>0</v>
      </c>
      <c r="AY147" s="16">
        <f t="shared" si="593"/>
        <v>0</v>
      </c>
      <c r="AZ147" s="16">
        <f t="shared" si="594"/>
        <v>0</v>
      </c>
      <c r="BA147" s="16">
        <f t="shared" si="595"/>
        <v>0</v>
      </c>
      <c r="BB147" s="16">
        <f t="shared" si="596"/>
        <v>0</v>
      </c>
      <c r="BD147" s="16">
        <f t="shared" si="597"/>
        <v>0</v>
      </c>
      <c r="BE147" s="16">
        <f t="shared" si="598"/>
        <v>0</v>
      </c>
      <c r="BF147" s="16">
        <f t="shared" si="599"/>
        <v>0</v>
      </c>
      <c r="BG147" s="16">
        <f t="shared" si="600"/>
        <v>0</v>
      </c>
      <c r="BH147" s="16">
        <f t="shared" si="601"/>
        <v>0</v>
      </c>
      <c r="BJ147" s="16">
        <f t="shared" si="602"/>
        <v>0</v>
      </c>
      <c r="BP147" s="16">
        <f t="shared" si="603"/>
        <v>0</v>
      </c>
      <c r="BV147" s="16">
        <f t="shared" si="604"/>
        <v>0</v>
      </c>
    </row>
    <row r="148" spans="2:78" s="16" customFormat="1" x14ac:dyDescent="0.25">
      <c r="B148" s="16" t="s">
        <v>76</v>
      </c>
      <c r="AR148" s="16">
        <f t="shared" si="587"/>
        <v>0</v>
      </c>
      <c r="AS148" s="16">
        <f t="shared" si="588"/>
        <v>0</v>
      </c>
      <c r="AT148" s="16">
        <f t="shared" si="589"/>
        <v>0</v>
      </c>
      <c r="AU148" s="16">
        <f t="shared" si="590"/>
        <v>0</v>
      </c>
      <c r="AV148" s="16">
        <f t="shared" si="591"/>
        <v>0</v>
      </c>
      <c r="AX148" s="16">
        <f t="shared" si="592"/>
        <v>0</v>
      </c>
      <c r="AY148" s="16">
        <f t="shared" si="593"/>
        <v>0</v>
      </c>
      <c r="AZ148" s="16">
        <f t="shared" si="594"/>
        <v>0</v>
      </c>
      <c r="BA148" s="16">
        <f t="shared" si="595"/>
        <v>0</v>
      </c>
      <c r="BB148" s="16">
        <f t="shared" si="596"/>
        <v>0</v>
      </c>
      <c r="BD148" s="16">
        <f t="shared" si="597"/>
        <v>0</v>
      </c>
      <c r="BE148" s="16">
        <f t="shared" si="598"/>
        <v>0</v>
      </c>
      <c r="BF148" s="16">
        <f t="shared" si="599"/>
        <v>0</v>
      </c>
      <c r="BG148" s="16">
        <f t="shared" si="600"/>
        <v>0</v>
      </c>
      <c r="BH148" s="16">
        <f t="shared" si="601"/>
        <v>0</v>
      </c>
      <c r="BJ148" s="16">
        <f t="shared" si="602"/>
        <v>0</v>
      </c>
      <c r="BP148" s="16">
        <f t="shared" si="603"/>
        <v>0</v>
      </c>
      <c r="BV148" s="16">
        <f t="shared" si="604"/>
        <v>0</v>
      </c>
    </row>
    <row r="149" spans="2:78" s="16" customFormat="1" x14ac:dyDescent="0.25">
      <c r="B149" s="16" t="s">
        <v>77</v>
      </c>
      <c r="AR149" s="16">
        <f t="shared" si="587"/>
        <v>0</v>
      </c>
      <c r="AS149" s="16">
        <f t="shared" si="588"/>
        <v>0</v>
      </c>
      <c r="AT149" s="16">
        <f t="shared" si="589"/>
        <v>0</v>
      </c>
      <c r="AU149" s="16">
        <f t="shared" si="590"/>
        <v>0</v>
      </c>
      <c r="AV149" s="16">
        <f t="shared" si="591"/>
        <v>0</v>
      </c>
      <c r="AX149" s="16">
        <f t="shared" si="592"/>
        <v>0</v>
      </c>
      <c r="AY149" s="16">
        <f t="shared" si="593"/>
        <v>0</v>
      </c>
      <c r="AZ149" s="16">
        <f t="shared" si="594"/>
        <v>0</v>
      </c>
      <c r="BA149" s="16">
        <f t="shared" si="595"/>
        <v>0</v>
      </c>
      <c r="BB149" s="16">
        <f t="shared" si="596"/>
        <v>0</v>
      </c>
      <c r="BD149" s="16">
        <f t="shared" si="597"/>
        <v>0</v>
      </c>
      <c r="BE149" s="16">
        <f t="shared" si="598"/>
        <v>0</v>
      </c>
      <c r="BF149" s="16">
        <f t="shared" si="599"/>
        <v>0</v>
      </c>
      <c r="BG149" s="16">
        <f t="shared" si="600"/>
        <v>0</v>
      </c>
      <c r="BH149" s="16">
        <f t="shared" si="601"/>
        <v>0</v>
      </c>
      <c r="BJ149" s="16">
        <f t="shared" si="602"/>
        <v>0</v>
      </c>
      <c r="BP149" s="16">
        <f t="shared" si="603"/>
        <v>0</v>
      </c>
      <c r="BV149" s="16">
        <f t="shared" si="604"/>
        <v>0</v>
      </c>
    </row>
    <row r="150" spans="2:78" s="16" customFormat="1" x14ac:dyDescent="0.25">
      <c r="B150" s="16" t="s">
        <v>78</v>
      </c>
      <c r="AR150" s="16">
        <f t="shared" si="587"/>
        <v>0</v>
      </c>
      <c r="AS150" s="16">
        <f t="shared" si="588"/>
        <v>0</v>
      </c>
      <c r="AT150" s="16">
        <f t="shared" si="589"/>
        <v>0</v>
      </c>
      <c r="AU150" s="16">
        <f t="shared" si="590"/>
        <v>0</v>
      </c>
      <c r="AV150" s="16">
        <f t="shared" si="591"/>
        <v>0</v>
      </c>
      <c r="AX150" s="16">
        <f t="shared" si="592"/>
        <v>0</v>
      </c>
      <c r="AY150" s="16">
        <f t="shared" si="593"/>
        <v>0</v>
      </c>
      <c r="AZ150" s="16">
        <f t="shared" si="594"/>
        <v>0</v>
      </c>
      <c r="BA150" s="16">
        <f t="shared" si="595"/>
        <v>0</v>
      </c>
      <c r="BB150" s="16">
        <f t="shared" si="596"/>
        <v>0</v>
      </c>
      <c r="BD150" s="16">
        <f t="shared" si="597"/>
        <v>0</v>
      </c>
      <c r="BE150" s="16">
        <f t="shared" si="598"/>
        <v>0</v>
      </c>
      <c r="BF150" s="16">
        <f t="shared" si="599"/>
        <v>0</v>
      </c>
      <c r="BG150" s="16">
        <f t="shared" si="600"/>
        <v>0</v>
      </c>
      <c r="BH150" s="16">
        <f t="shared" si="601"/>
        <v>0</v>
      </c>
      <c r="BJ150" s="16">
        <f t="shared" si="602"/>
        <v>0</v>
      </c>
      <c r="BP150" s="16">
        <f t="shared" si="603"/>
        <v>0</v>
      </c>
      <c r="BV150" s="16">
        <f t="shared" si="604"/>
        <v>0</v>
      </c>
    </row>
    <row r="151" spans="2:78" s="16" customFormat="1" x14ac:dyDescent="0.25"/>
    <row r="152" spans="2:78" s="16" customFormat="1" x14ac:dyDescent="0.25">
      <c r="B152" s="16" t="s">
        <v>79</v>
      </c>
      <c r="E152" s="17">
        <f>SUM(E136:E150)</f>
        <v>0</v>
      </c>
      <c r="F152" s="17">
        <f t="shared" ref="F152:P152" si="605">SUM(F136:F150)</f>
        <v>0</v>
      </c>
      <c r="G152" s="17">
        <f t="shared" si="605"/>
        <v>0</v>
      </c>
      <c r="H152" s="17">
        <f t="shared" si="605"/>
        <v>0</v>
      </c>
      <c r="I152" s="17">
        <f t="shared" si="605"/>
        <v>0</v>
      </c>
      <c r="J152" s="17">
        <f t="shared" si="605"/>
        <v>0</v>
      </c>
      <c r="K152" s="17">
        <f t="shared" si="605"/>
        <v>0</v>
      </c>
      <c r="L152" s="17">
        <f t="shared" si="605"/>
        <v>0</v>
      </c>
      <c r="M152" s="17">
        <f t="shared" si="605"/>
        <v>0</v>
      </c>
      <c r="N152" s="17">
        <f t="shared" si="605"/>
        <v>0</v>
      </c>
      <c r="O152" s="17">
        <f t="shared" si="605"/>
        <v>0</v>
      </c>
      <c r="P152" s="17">
        <f t="shared" si="605"/>
        <v>0</v>
      </c>
      <c r="R152" s="17">
        <f>SUM(R136:R150)</f>
        <v>0</v>
      </c>
      <c r="S152" s="17">
        <f t="shared" ref="S152:AC152" si="606">SUM(S136:S150)</f>
        <v>0</v>
      </c>
      <c r="T152" s="17">
        <f t="shared" si="606"/>
        <v>0</v>
      </c>
      <c r="U152" s="17">
        <f t="shared" si="606"/>
        <v>0</v>
      </c>
      <c r="V152" s="17">
        <f t="shared" si="606"/>
        <v>0</v>
      </c>
      <c r="W152" s="17">
        <f t="shared" si="606"/>
        <v>0</v>
      </c>
      <c r="X152" s="17">
        <f t="shared" si="606"/>
        <v>0</v>
      </c>
      <c r="Y152" s="17">
        <f t="shared" si="606"/>
        <v>0</v>
      </c>
      <c r="Z152" s="17">
        <f t="shared" si="606"/>
        <v>0</v>
      </c>
      <c r="AA152" s="17">
        <f t="shared" si="606"/>
        <v>0</v>
      </c>
      <c r="AB152" s="17">
        <f t="shared" si="606"/>
        <v>0</v>
      </c>
      <c r="AC152" s="17">
        <f t="shared" si="606"/>
        <v>0</v>
      </c>
      <c r="AE152" s="17">
        <f t="shared" ref="AE152:AP152" si="607">SUM(AE136:AE150)</f>
        <v>0</v>
      </c>
      <c r="AF152" s="17">
        <f t="shared" si="607"/>
        <v>0</v>
      </c>
      <c r="AG152" s="17">
        <f t="shared" si="607"/>
        <v>0</v>
      </c>
      <c r="AH152" s="17">
        <f t="shared" si="607"/>
        <v>0</v>
      </c>
      <c r="AI152" s="17">
        <f t="shared" si="607"/>
        <v>0</v>
      </c>
      <c r="AJ152" s="17">
        <f t="shared" si="607"/>
        <v>0</v>
      </c>
      <c r="AK152" s="17">
        <f t="shared" si="607"/>
        <v>0</v>
      </c>
      <c r="AL152" s="17">
        <f t="shared" si="607"/>
        <v>0</v>
      </c>
      <c r="AM152" s="17">
        <f t="shared" si="607"/>
        <v>0</v>
      </c>
      <c r="AN152" s="17">
        <f t="shared" si="607"/>
        <v>0</v>
      </c>
      <c r="AO152" s="17">
        <f t="shared" si="607"/>
        <v>0</v>
      </c>
      <c r="AP152" s="17">
        <f t="shared" si="607"/>
        <v>0</v>
      </c>
      <c r="AR152" s="17">
        <f t="shared" ref="AR152:AV152" si="608">SUM(AR136:AR150)</f>
        <v>0</v>
      </c>
      <c r="AS152" s="17">
        <f t="shared" si="608"/>
        <v>0</v>
      </c>
      <c r="AT152" s="17">
        <f t="shared" si="608"/>
        <v>0</v>
      </c>
      <c r="AU152" s="17">
        <f t="shared" si="608"/>
        <v>0</v>
      </c>
      <c r="AV152" s="17">
        <f t="shared" si="608"/>
        <v>0</v>
      </c>
      <c r="AX152" s="17">
        <f t="shared" ref="AX152:BB152" si="609">SUM(AX136:AX150)</f>
        <v>0</v>
      </c>
      <c r="AY152" s="17">
        <f t="shared" si="609"/>
        <v>0</v>
      </c>
      <c r="AZ152" s="17">
        <f t="shared" si="609"/>
        <v>0</v>
      </c>
      <c r="BA152" s="17">
        <f t="shared" si="609"/>
        <v>0</v>
      </c>
      <c r="BB152" s="17">
        <f t="shared" si="609"/>
        <v>0</v>
      </c>
      <c r="BD152" s="17">
        <f t="shared" ref="BD152:BZ152" si="610">SUM(BD136:BD150)</f>
        <v>0</v>
      </c>
      <c r="BE152" s="17">
        <f t="shared" si="610"/>
        <v>0</v>
      </c>
      <c r="BF152" s="17">
        <f t="shared" si="610"/>
        <v>0</v>
      </c>
      <c r="BG152" s="17">
        <f t="shared" si="610"/>
        <v>0</v>
      </c>
      <c r="BH152" s="17">
        <f t="shared" si="610"/>
        <v>0</v>
      </c>
      <c r="BJ152" s="17">
        <f t="shared" si="610"/>
        <v>0</v>
      </c>
      <c r="BK152" s="17">
        <f t="shared" si="610"/>
        <v>0</v>
      </c>
      <c r="BL152" s="17">
        <f t="shared" si="610"/>
        <v>0</v>
      </c>
      <c r="BM152" s="17">
        <f t="shared" si="610"/>
        <v>0</v>
      </c>
      <c r="BN152" s="17">
        <f t="shared" si="610"/>
        <v>0</v>
      </c>
      <c r="BP152" s="17">
        <f t="shared" ref="BP152" si="611">SUM(BP136:BP150)</f>
        <v>0</v>
      </c>
      <c r="BQ152" s="17">
        <f t="shared" si="610"/>
        <v>0</v>
      </c>
      <c r="BR152" s="17">
        <f t="shared" si="610"/>
        <v>0</v>
      </c>
      <c r="BS152" s="17">
        <f t="shared" si="610"/>
        <v>0</v>
      </c>
      <c r="BT152" s="17">
        <f t="shared" si="610"/>
        <v>0</v>
      </c>
      <c r="BV152" s="17">
        <f t="shared" ref="BV152" si="612">SUM(BV136:BV150)</f>
        <v>0</v>
      </c>
      <c r="BW152" s="17">
        <f t="shared" si="610"/>
        <v>0</v>
      </c>
      <c r="BX152" s="17">
        <f t="shared" si="610"/>
        <v>0</v>
      </c>
      <c r="BY152" s="17">
        <f t="shared" si="610"/>
        <v>0</v>
      </c>
      <c r="BZ152" s="17">
        <f t="shared" si="610"/>
        <v>0</v>
      </c>
    </row>
    <row r="153" spans="2:78" s="16" customFormat="1" x14ac:dyDescent="0.25"/>
    <row r="154" spans="2:78" s="16" customFormat="1" x14ac:dyDescent="0.25">
      <c r="B154" s="16" t="s">
        <v>297</v>
      </c>
      <c r="AX154" s="24">
        <f>(AX131/+AX132)/2080</f>
        <v>24.72700038654812</v>
      </c>
      <c r="BD154" s="24">
        <f>(BD131/+BD132)/2080</f>
        <v>25.188127090301005</v>
      </c>
      <c r="BJ154" s="24">
        <f>(BJ131/+BJ132)/2080</f>
        <v>25.240384615384617</v>
      </c>
      <c r="BP154" s="24">
        <f>(BP131/+BP132)/2080</f>
        <v>24.701591511936339</v>
      </c>
      <c r="BV154" s="24">
        <f>(BV131/+BV132)/2080</f>
        <v>24.465811965811966</v>
      </c>
    </row>
    <row r="155" spans="2:78" s="16" customFormat="1" x14ac:dyDescent="0.25"/>
    <row r="156" spans="2:78" s="16" customFormat="1" x14ac:dyDescent="0.25">
      <c r="B156" s="16" t="s">
        <v>298</v>
      </c>
      <c r="AX156" s="16">
        <f>+AX75</f>
        <v>1202207.9166666667</v>
      </c>
      <c r="BD156" s="16">
        <f>+BD75</f>
        <v>713430.41666666663</v>
      </c>
      <c r="BJ156" s="16">
        <f>+BJ75</f>
        <v>900435</v>
      </c>
      <c r="BP156" s="16">
        <f>+BP75</f>
        <v>1521022.5</v>
      </c>
      <c r="BV156" s="16">
        <f>+BV75</f>
        <v>2284822.5</v>
      </c>
    </row>
    <row r="157" spans="2:78" s="16" customFormat="1" x14ac:dyDescent="0.25">
      <c r="B157" s="16" t="s">
        <v>14</v>
      </c>
      <c r="C157" s="16" t="s">
        <v>347</v>
      </c>
      <c r="AX157" s="16">
        <f>+AX131*0.85</f>
        <v>724979.1666666664</v>
      </c>
      <c r="BD157" s="16">
        <f>+BD131*0.85</f>
        <v>426770.83333333337</v>
      </c>
      <c r="BJ157" s="16">
        <f>+BJ131*0.85</f>
        <v>535500</v>
      </c>
      <c r="BP157" s="16">
        <f>+BP131*0.85</f>
        <v>949875</v>
      </c>
      <c r="BV157" s="16">
        <f>+BV131*0.85</f>
        <v>1459875</v>
      </c>
    </row>
    <row r="158" spans="2:78" s="16" customFormat="1" x14ac:dyDescent="0.25">
      <c r="B158" s="16" t="s">
        <v>296</v>
      </c>
      <c r="AX158" s="18">
        <f>+AX156-AX157</f>
        <v>477228.75000000035</v>
      </c>
      <c r="BD158" s="18">
        <f>+BD156-BD157</f>
        <v>286659.58333333326</v>
      </c>
      <c r="BJ158" s="18">
        <f>+BJ156-BJ157</f>
        <v>364935</v>
      </c>
      <c r="BP158" s="18">
        <f>+BP156-BP157</f>
        <v>571147.5</v>
      </c>
      <c r="BV158" s="18">
        <f>+BV156-BV157</f>
        <v>824947.5</v>
      </c>
    </row>
    <row r="159" spans="2:78" s="16" customFormat="1" x14ac:dyDescent="0.25">
      <c r="B159" s="16" t="s">
        <v>292</v>
      </c>
      <c r="AX159" s="36">
        <f>+AX158/AX157</f>
        <v>0.65826546739848923</v>
      </c>
      <c r="BD159" s="36">
        <f>+BD158/BD157</f>
        <v>0.67169441054430046</v>
      </c>
      <c r="BJ159" s="36">
        <f>+BJ158/BJ157</f>
        <v>0.68148459383753501</v>
      </c>
      <c r="BP159" s="36">
        <f>+BP158/BP157</f>
        <v>0.60128701144887486</v>
      </c>
      <c r="BV159" s="36">
        <f>+BV158/BV157</f>
        <v>0.5650809144618546</v>
      </c>
    </row>
    <row r="160" spans="2:78" s="16" customFormat="1" x14ac:dyDescent="0.25"/>
    <row r="161" spans="1:42" s="16" customFormat="1" x14ac:dyDescent="0.25">
      <c r="A161" s="16" t="s">
        <v>27</v>
      </c>
    </row>
    <row r="162" spans="1:42" s="16" customFormat="1" x14ac:dyDescent="0.25">
      <c r="B162" s="16" t="str">
        <f>+B80</f>
        <v>QC 1</v>
      </c>
      <c r="C162" s="16">
        <f t="shared" ref="C162:C167" si="613">C80</f>
        <v>55000</v>
      </c>
      <c r="D162" s="16" t="s">
        <v>375</v>
      </c>
      <c r="S162" s="16">
        <f>+$C162*0.25</f>
        <v>13750</v>
      </c>
    </row>
    <row r="163" spans="1:42" s="16" customFormat="1" x14ac:dyDescent="0.25">
      <c r="B163" s="16" t="str">
        <f t="shared" ref="B163" si="614">+B81</f>
        <v>QC 2</v>
      </c>
      <c r="C163" s="16">
        <f t="shared" si="613"/>
        <v>55000</v>
      </c>
      <c r="D163" s="16" t="s">
        <v>376</v>
      </c>
      <c r="V163" s="16">
        <f>+$C163*0.25</f>
        <v>13750</v>
      </c>
    </row>
    <row r="164" spans="1:42" s="16" customFormat="1" x14ac:dyDescent="0.25">
      <c r="B164" s="16" t="str">
        <f t="shared" ref="B164" si="615">+B82</f>
        <v>MfG Tech 1</v>
      </c>
      <c r="C164" s="16">
        <f t="shared" si="613"/>
        <v>55000</v>
      </c>
      <c r="D164" s="16" t="s">
        <v>376</v>
      </c>
      <c r="V164" s="16">
        <f>+$C164*0.25</f>
        <v>13750</v>
      </c>
    </row>
    <row r="165" spans="1:42" s="16" customFormat="1" x14ac:dyDescent="0.25">
      <c r="B165" s="16" t="str">
        <f t="shared" ref="B165" si="616">+B83</f>
        <v>Mfg Tech 2</v>
      </c>
      <c r="C165" s="16">
        <f t="shared" si="613"/>
        <v>55000</v>
      </c>
      <c r="D165" s="16" t="s">
        <v>377</v>
      </c>
      <c r="Y165" s="16">
        <f>+$C165*0.25</f>
        <v>13750</v>
      </c>
    </row>
    <row r="166" spans="1:42" s="16" customFormat="1" x14ac:dyDescent="0.25">
      <c r="B166" s="16" t="str">
        <f>+B84</f>
        <v>MfG Tech 3</v>
      </c>
      <c r="C166" s="16">
        <f t="shared" si="613"/>
        <v>55000</v>
      </c>
      <c r="D166" s="16" t="s">
        <v>378</v>
      </c>
      <c r="Z166" s="16">
        <f>+$C166*0.25</f>
        <v>13750</v>
      </c>
    </row>
    <row r="167" spans="1:42" s="16" customFormat="1" x14ac:dyDescent="0.25">
      <c r="B167" s="16" t="str">
        <f t="shared" ref="B167" si="617">+B85</f>
        <v>MfG Tech 4</v>
      </c>
      <c r="C167" s="16">
        <f t="shared" si="613"/>
        <v>55000</v>
      </c>
      <c r="D167" s="16" t="s">
        <v>379</v>
      </c>
      <c r="AB167" s="16">
        <f>+$C167*0.25</f>
        <v>13750</v>
      </c>
    </row>
    <row r="168" spans="1:42" s="16" customFormat="1" x14ac:dyDescent="0.25"/>
    <row r="169" spans="1:42" s="16" customFormat="1" x14ac:dyDescent="0.25">
      <c r="B169" s="16" t="s">
        <v>350</v>
      </c>
      <c r="E169" s="17">
        <f>SUM(E162:E168)</f>
        <v>0</v>
      </c>
      <c r="F169" s="17">
        <f t="shared" ref="F169:P169" si="618">SUM(F162:F168)</f>
        <v>0</v>
      </c>
      <c r="G169" s="17">
        <f t="shared" si="618"/>
        <v>0</v>
      </c>
      <c r="H169" s="17">
        <f t="shared" si="618"/>
        <v>0</v>
      </c>
      <c r="I169" s="17">
        <f t="shared" si="618"/>
        <v>0</v>
      </c>
      <c r="J169" s="17">
        <f t="shared" si="618"/>
        <v>0</v>
      </c>
      <c r="K169" s="17">
        <f t="shared" si="618"/>
        <v>0</v>
      </c>
      <c r="L169" s="17">
        <f t="shared" si="618"/>
        <v>0</v>
      </c>
      <c r="M169" s="17">
        <f t="shared" si="618"/>
        <v>0</v>
      </c>
      <c r="N169" s="17">
        <f t="shared" si="618"/>
        <v>0</v>
      </c>
      <c r="O169" s="17">
        <f t="shared" si="618"/>
        <v>0</v>
      </c>
      <c r="P169" s="17">
        <f t="shared" si="618"/>
        <v>0</v>
      </c>
      <c r="R169" s="17">
        <f t="shared" ref="R169:AC169" si="619">SUM(R162:R168)</f>
        <v>0</v>
      </c>
      <c r="S169" s="17">
        <f t="shared" si="619"/>
        <v>13750</v>
      </c>
      <c r="T169" s="17">
        <f t="shared" si="619"/>
        <v>0</v>
      </c>
      <c r="U169" s="17">
        <f t="shared" si="619"/>
        <v>0</v>
      </c>
      <c r="V169" s="17">
        <f t="shared" si="619"/>
        <v>27500</v>
      </c>
      <c r="W169" s="17">
        <f t="shared" si="619"/>
        <v>0</v>
      </c>
      <c r="X169" s="17">
        <f t="shared" si="619"/>
        <v>0</v>
      </c>
      <c r="Y169" s="17">
        <f t="shared" si="619"/>
        <v>13750</v>
      </c>
      <c r="Z169" s="17">
        <f t="shared" si="619"/>
        <v>13750</v>
      </c>
      <c r="AA169" s="17">
        <f t="shared" si="619"/>
        <v>0</v>
      </c>
      <c r="AB169" s="17">
        <f t="shared" si="619"/>
        <v>13750</v>
      </c>
      <c r="AC169" s="17">
        <f t="shared" si="619"/>
        <v>0</v>
      </c>
      <c r="AE169" s="17">
        <f t="shared" ref="AE169:AP169" si="620">SUM(AE162:AE168)</f>
        <v>0</v>
      </c>
      <c r="AF169" s="17">
        <f t="shared" si="620"/>
        <v>0</v>
      </c>
      <c r="AG169" s="17">
        <f t="shared" si="620"/>
        <v>0</v>
      </c>
      <c r="AH169" s="17">
        <f t="shared" si="620"/>
        <v>0</v>
      </c>
      <c r="AI169" s="17">
        <f t="shared" si="620"/>
        <v>0</v>
      </c>
      <c r="AJ169" s="17">
        <f t="shared" si="620"/>
        <v>0</v>
      </c>
      <c r="AK169" s="17">
        <f t="shared" si="620"/>
        <v>0</v>
      </c>
      <c r="AL169" s="17">
        <f t="shared" si="620"/>
        <v>0</v>
      </c>
      <c r="AM169" s="17">
        <f t="shared" si="620"/>
        <v>0</v>
      </c>
      <c r="AN169" s="17">
        <f t="shared" si="620"/>
        <v>0</v>
      </c>
      <c r="AO169" s="17">
        <f t="shared" si="620"/>
        <v>0</v>
      </c>
      <c r="AP169" s="17">
        <f t="shared" si="620"/>
        <v>0</v>
      </c>
    </row>
    <row r="170" spans="1:42" s="16" customFormat="1" x14ac:dyDescent="0.25"/>
    <row r="171" spans="1:42" s="16" customFormat="1" x14ac:dyDescent="0.25"/>
    <row r="172" spans="1:42" s="16" customFormat="1" x14ac:dyDescent="0.25"/>
    <row r="173" spans="1:42" s="16" customFormat="1" x14ac:dyDescent="0.25">
      <c r="A173" s="16" t="s">
        <v>126</v>
      </c>
    </row>
    <row r="174" spans="1:42" s="16" customFormat="1" x14ac:dyDescent="0.25">
      <c r="B174" s="16" t="s">
        <v>149</v>
      </c>
      <c r="J174" s="16">
        <v>500</v>
      </c>
      <c r="P174" s="16">
        <v>500</v>
      </c>
      <c r="W174" s="16">
        <v>500</v>
      </c>
    </row>
    <row r="175" spans="1:42" s="16" customFormat="1" x14ac:dyDescent="0.25">
      <c r="B175" s="9" t="s">
        <v>124</v>
      </c>
      <c r="R175" s="16">
        <v>5000</v>
      </c>
      <c r="AE175" s="16">
        <v>5000</v>
      </c>
    </row>
    <row r="176" spans="1:42" s="16" customFormat="1" x14ac:dyDescent="0.25"/>
    <row r="177" spans="2:42" s="16" customFormat="1" x14ac:dyDescent="0.25">
      <c r="B177" s="16" t="s">
        <v>178</v>
      </c>
      <c r="E177" s="17">
        <f t="shared" ref="E177:P177" si="621">SUM(E174:E176)</f>
        <v>0</v>
      </c>
      <c r="F177" s="17">
        <f t="shared" si="621"/>
        <v>0</v>
      </c>
      <c r="G177" s="17">
        <f t="shared" si="621"/>
        <v>0</v>
      </c>
      <c r="H177" s="17">
        <f t="shared" si="621"/>
        <v>0</v>
      </c>
      <c r="I177" s="17">
        <f t="shared" si="621"/>
        <v>0</v>
      </c>
      <c r="J177" s="17">
        <f t="shared" si="621"/>
        <v>500</v>
      </c>
      <c r="K177" s="17">
        <f t="shared" si="621"/>
        <v>0</v>
      </c>
      <c r="L177" s="17">
        <f t="shared" si="621"/>
        <v>0</v>
      </c>
      <c r="M177" s="17">
        <f t="shared" si="621"/>
        <v>0</v>
      </c>
      <c r="N177" s="17">
        <f t="shared" si="621"/>
        <v>0</v>
      </c>
      <c r="O177" s="17">
        <f t="shared" si="621"/>
        <v>0</v>
      </c>
      <c r="P177" s="17">
        <f t="shared" si="621"/>
        <v>500</v>
      </c>
      <c r="R177" s="17">
        <f t="shared" ref="R177:AC177" si="622">SUM(R174:R176)</f>
        <v>5000</v>
      </c>
      <c r="S177" s="17">
        <f t="shared" si="622"/>
        <v>0</v>
      </c>
      <c r="T177" s="17">
        <f t="shared" si="622"/>
        <v>0</v>
      </c>
      <c r="U177" s="17">
        <f t="shared" si="622"/>
        <v>0</v>
      </c>
      <c r="V177" s="17">
        <f t="shared" si="622"/>
        <v>0</v>
      </c>
      <c r="W177" s="17">
        <f t="shared" si="622"/>
        <v>500</v>
      </c>
      <c r="X177" s="17">
        <f t="shared" si="622"/>
        <v>0</v>
      </c>
      <c r="Y177" s="17">
        <f t="shared" si="622"/>
        <v>0</v>
      </c>
      <c r="Z177" s="17">
        <f t="shared" si="622"/>
        <v>0</v>
      </c>
      <c r="AA177" s="17">
        <f t="shared" si="622"/>
        <v>0</v>
      </c>
      <c r="AB177" s="17">
        <f t="shared" si="622"/>
        <v>0</v>
      </c>
      <c r="AC177" s="17">
        <f t="shared" si="622"/>
        <v>0</v>
      </c>
      <c r="AE177" s="17">
        <f t="shared" ref="AE177:AP177" si="623">SUM(AE174:AE176)</f>
        <v>5000</v>
      </c>
      <c r="AF177" s="17">
        <f t="shared" si="623"/>
        <v>0</v>
      </c>
      <c r="AG177" s="17">
        <f t="shared" si="623"/>
        <v>0</v>
      </c>
      <c r="AH177" s="17">
        <f t="shared" si="623"/>
        <v>0</v>
      </c>
      <c r="AI177" s="17">
        <f t="shared" si="623"/>
        <v>0</v>
      </c>
      <c r="AJ177" s="17">
        <f t="shared" si="623"/>
        <v>0</v>
      </c>
      <c r="AK177" s="17">
        <f t="shared" si="623"/>
        <v>0</v>
      </c>
      <c r="AL177" s="17">
        <f t="shared" si="623"/>
        <v>0</v>
      </c>
      <c r="AM177" s="17">
        <f t="shared" si="623"/>
        <v>0</v>
      </c>
      <c r="AN177" s="17">
        <f t="shared" si="623"/>
        <v>0</v>
      </c>
      <c r="AO177" s="17">
        <f t="shared" si="623"/>
        <v>0</v>
      </c>
      <c r="AP177" s="17">
        <f t="shared" si="623"/>
        <v>0</v>
      </c>
    </row>
    <row r="178" spans="2:42" s="16" customFormat="1" x14ac:dyDescent="0.25"/>
    <row r="179" spans="2:42" s="16" customFormat="1" x14ac:dyDescent="0.25"/>
    <row r="180" spans="2:42" s="16" customFormat="1" x14ac:dyDescent="0.25"/>
    <row r="181" spans="2:42" s="16" customFormat="1" x14ac:dyDescent="0.25"/>
    <row r="182" spans="2:42" s="16" customFormat="1" x14ac:dyDescent="0.25"/>
    <row r="183" spans="2:42" s="16" customFormat="1" x14ac:dyDescent="0.25"/>
    <row r="184" spans="2:42" s="16" customFormat="1" x14ac:dyDescent="0.25"/>
    <row r="185" spans="2:42" s="16" customFormat="1" x14ac:dyDescent="0.25"/>
    <row r="186" spans="2:42" s="16" customFormat="1" x14ac:dyDescent="0.25"/>
    <row r="187" spans="2:42" s="16" customFormat="1" x14ac:dyDescent="0.25"/>
    <row r="188" spans="2:42" s="16" customFormat="1" x14ac:dyDescent="0.25"/>
    <row r="189" spans="2:42" s="16" customFormat="1" x14ac:dyDescent="0.25"/>
    <row r="190" spans="2:42" s="16" customFormat="1" x14ac:dyDescent="0.25"/>
    <row r="191" spans="2:42" s="16" customFormat="1" x14ac:dyDescent="0.25"/>
    <row r="192" spans="2:42" s="16" customFormat="1" x14ac:dyDescent="0.25"/>
    <row r="193" s="16" customFormat="1" x14ac:dyDescent="0.25"/>
    <row r="194" s="16" customFormat="1" x14ac:dyDescent="0.25"/>
    <row r="195" s="16" customFormat="1" x14ac:dyDescent="0.25"/>
    <row r="196" s="16" customFormat="1" x14ac:dyDescent="0.25"/>
    <row r="197" s="16" customFormat="1" x14ac:dyDescent="0.25"/>
    <row r="198" s="16" customFormat="1" x14ac:dyDescent="0.25"/>
    <row r="199" s="16" customFormat="1" x14ac:dyDescent="0.25"/>
    <row r="200" s="16" customFormat="1" x14ac:dyDescent="0.25"/>
    <row r="201" s="16" customFormat="1" x14ac:dyDescent="0.25"/>
    <row r="202" s="16" customFormat="1" x14ac:dyDescent="0.25"/>
    <row r="203" s="16" customFormat="1" x14ac:dyDescent="0.25"/>
    <row r="204" s="16" customFormat="1" x14ac:dyDescent="0.25"/>
    <row r="205" s="16" customFormat="1" x14ac:dyDescent="0.25"/>
    <row r="206" s="16" customFormat="1" x14ac:dyDescent="0.25"/>
    <row r="207" s="16" customFormat="1" x14ac:dyDescent="0.25"/>
    <row r="208" s="16" customFormat="1" x14ac:dyDescent="0.25"/>
    <row r="209" s="16" customFormat="1" x14ac:dyDescent="0.25"/>
    <row r="210" s="16" customFormat="1" x14ac:dyDescent="0.25"/>
    <row r="211" s="16" customFormat="1" x14ac:dyDescent="0.25"/>
    <row r="212" s="16" customFormat="1" x14ac:dyDescent="0.25"/>
    <row r="213" s="16" customFormat="1" x14ac:dyDescent="0.25"/>
    <row r="214" s="16" customFormat="1" x14ac:dyDescent="0.25"/>
    <row r="215" s="16" customFormat="1" x14ac:dyDescent="0.25"/>
    <row r="216" s="16" customFormat="1" x14ac:dyDescent="0.25"/>
    <row r="217" s="16" customFormat="1" x14ac:dyDescent="0.25"/>
    <row r="218" s="16" customFormat="1" x14ac:dyDescent="0.25"/>
    <row r="219" s="16" customFormat="1" x14ac:dyDescent="0.25"/>
    <row r="220" s="16" customFormat="1" x14ac:dyDescent="0.25"/>
    <row r="221" s="16" customFormat="1" x14ac:dyDescent="0.25"/>
    <row r="222" s="16" customFormat="1" x14ac:dyDescent="0.25"/>
    <row r="223" s="16" customFormat="1" x14ac:dyDescent="0.25"/>
    <row r="224" s="16" customFormat="1" x14ac:dyDescent="0.25"/>
    <row r="225" s="16" customFormat="1" x14ac:dyDescent="0.25"/>
    <row r="226" s="16" customFormat="1" x14ac:dyDescent="0.25"/>
    <row r="227" s="16" customFormat="1" x14ac:dyDescent="0.25"/>
    <row r="228" s="16" customFormat="1" x14ac:dyDescent="0.25"/>
    <row r="229" s="16" customFormat="1" x14ac:dyDescent="0.25"/>
    <row r="230" s="16" customFormat="1" x14ac:dyDescent="0.25"/>
    <row r="231" s="16" customFormat="1" x14ac:dyDescent="0.25"/>
    <row r="232" s="16" customFormat="1" x14ac:dyDescent="0.25"/>
    <row r="233" s="16" customFormat="1" x14ac:dyDescent="0.25"/>
    <row r="234" s="16" customFormat="1" x14ac:dyDescent="0.25"/>
    <row r="235" s="16" customFormat="1" x14ac:dyDescent="0.25"/>
    <row r="236" s="16" customFormat="1" x14ac:dyDescent="0.25"/>
    <row r="237" s="16" customFormat="1" x14ac:dyDescent="0.25"/>
    <row r="238" s="16" customFormat="1" x14ac:dyDescent="0.25"/>
    <row r="239" s="16" customFormat="1" x14ac:dyDescent="0.25"/>
    <row r="240" s="16" customFormat="1" x14ac:dyDescent="0.25"/>
    <row r="241" s="16" customFormat="1" x14ac:dyDescent="0.25"/>
    <row r="242" s="16" customFormat="1" x14ac:dyDescent="0.25"/>
    <row r="243" s="16" customFormat="1" x14ac:dyDescent="0.25"/>
    <row r="244" s="16" customFormat="1" x14ac:dyDescent="0.25"/>
    <row r="245" s="16" customFormat="1" x14ac:dyDescent="0.25"/>
    <row r="246" s="16" customFormat="1" x14ac:dyDescent="0.25"/>
    <row r="247" s="16" customFormat="1" x14ac:dyDescent="0.25"/>
    <row r="248" s="16" customFormat="1" x14ac:dyDescent="0.25"/>
    <row r="249" s="16" customFormat="1" x14ac:dyDescent="0.25"/>
    <row r="250" s="16" customFormat="1" x14ac:dyDescent="0.25"/>
    <row r="251" s="16" customFormat="1" x14ac:dyDescent="0.25"/>
    <row r="252" s="16" customFormat="1" x14ac:dyDescent="0.25"/>
    <row r="253" s="16" customFormat="1" x14ac:dyDescent="0.25"/>
    <row r="254" s="16" customFormat="1" x14ac:dyDescent="0.25"/>
    <row r="255" s="16" customFormat="1" x14ac:dyDescent="0.25"/>
    <row r="256" s="16" customFormat="1" x14ac:dyDescent="0.25"/>
    <row r="257" s="16" customFormat="1" x14ac:dyDescent="0.25"/>
    <row r="258" s="16" customFormat="1" x14ac:dyDescent="0.25"/>
    <row r="259" s="16" customFormat="1" x14ac:dyDescent="0.25"/>
    <row r="260" s="16" customFormat="1" x14ac:dyDescent="0.25"/>
    <row r="261" s="16" customFormat="1" x14ac:dyDescent="0.25"/>
    <row r="262" s="16" customFormat="1" x14ac:dyDescent="0.25"/>
    <row r="263" s="16" customFormat="1" x14ac:dyDescent="0.25"/>
    <row r="264" s="16" customFormat="1" x14ac:dyDescent="0.25"/>
    <row r="265" s="16" customFormat="1" x14ac:dyDescent="0.25"/>
    <row r="266" s="16" customFormat="1" x14ac:dyDescent="0.25"/>
    <row r="267" s="16" customFormat="1" x14ac:dyDescent="0.25"/>
    <row r="268" s="16" customFormat="1" x14ac:dyDescent="0.25"/>
    <row r="269" s="16" customFormat="1" x14ac:dyDescent="0.25"/>
    <row r="270" s="16" customFormat="1" x14ac:dyDescent="0.25"/>
    <row r="271" s="16" customFormat="1" x14ac:dyDescent="0.25"/>
    <row r="272" s="16" customFormat="1" x14ac:dyDescent="0.25"/>
    <row r="273" s="16" customFormat="1" x14ac:dyDescent="0.25"/>
    <row r="274" s="16" customFormat="1" x14ac:dyDescent="0.25"/>
    <row r="275" s="16" customFormat="1" x14ac:dyDescent="0.25"/>
    <row r="276" s="16" customFormat="1" x14ac:dyDescent="0.25"/>
    <row r="277" s="16" customFormat="1" x14ac:dyDescent="0.25"/>
    <row r="278" s="16" customFormat="1" x14ac:dyDescent="0.25"/>
    <row r="279" s="16" customFormat="1" x14ac:dyDescent="0.25"/>
    <row r="280" s="16" customFormat="1" x14ac:dyDescent="0.25"/>
    <row r="281" s="16" customFormat="1" x14ac:dyDescent="0.25"/>
    <row r="282" s="16" customFormat="1" x14ac:dyDescent="0.25"/>
    <row r="283" s="16" customFormat="1" x14ac:dyDescent="0.25"/>
    <row r="284" s="16" customFormat="1" x14ac:dyDescent="0.25"/>
    <row r="285" s="16" customFormat="1" x14ac:dyDescent="0.25"/>
    <row r="286" s="16" customFormat="1" x14ac:dyDescent="0.25"/>
    <row r="287" s="16" customFormat="1" x14ac:dyDescent="0.25"/>
    <row r="288" s="16" customFormat="1" x14ac:dyDescent="0.25"/>
    <row r="289" s="16" customFormat="1" x14ac:dyDescent="0.25"/>
    <row r="290" s="16" customFormat="1" x14ac:dyDescent="0.25"/>
    <row r="291" s="16" customFormat="1" x14ac:dyDescent="0.25"/>
    <row r="292" s="16" customFormat="1" x14ac:dyDescent="0.25"/>
    <row r="293" s="16" customFormat="1" x14ac:dyDescent="0.25"/>
    <row r="294" s="16" customFormat="1" x14ac:dyDescent="0.25"/>
    <row r="295" s="16" customFormat="1" x14ac:dyDescent="0.25"/>
    <row r="296" s="16" customFormat="1" x14ac:dyDescent="0.25"/>
    <row r="297" s="16" customFormat="1" x14ac:dyDescent="0.25"/>
    <row r="298" s="16" customFormat="1" x14ac:dyDescent="0.25"/>
    <row r="299" s="16" customFormat="1" x14ac:dyDescent="0.25"/>
    <row r="300" s="16" customFormat="1" x14ac:dyDescent="0.25"/>
    <row r="301" s="16" customFormat="1" x14ac:dyDescent="0.25"/>
    <row r="302" s="16" customFormat="1" x14ac:dyDescent="0.25"/>
    <row r="303" s="16" customFormat="1" x14ac:dyDescent="0.25"/>
    <row r="304" s="16" customFormat="1" x14ac:dyDescent="0.25"/>
    <row r="305" s="16" customFormat="1" x14ac:dyDescent="0.25"/>
    <row r="306" s="16" customFormat="1" x14ac:dyDescent="0.25"/>
    <row r="307" s="16" customFormat="1" x14ac:dyDescent="0.25"/>
    <row r="308" s="16" customFormat="1" x14ac:dyDescent="0.25"/>
    <row r="309" s="16" customFormat="1" x14ac:dyDescent="0.25"/>
    <row r="310" s="16" customFormat="1" x14ac:dyDescent="0.25"/>
    <row r="311" s="16" customFormat="1" x14ac:dyDescent="0.25"/>
    <row r="312" s="16" customFormat="1" x14ac:dyDescent="0.25"/>
    <row r="313" s="16" customFormat="1" x14ac:dyDescent="0.25"/>
    <row r="314" s="16" customFormat="1" x14ac:dyDescent="0.25"/>
    <row r="315" s="16" customFormat="1" x14ac:dyDescent="0.25"/>
    <row r="316" s="16" customFormat="1" x14ac:dyDescent="0.25"/>
    <row r="317" s="16" customFormat="1" x14ac:dyDescent="0.25"/>
    <row r="318" s="16" customFormat="1" x14ac:dyDescent="0.25"/>
    <row r="319" s="16" customFormat="1" x14ac:dyDescent="0.25"/>
    <row r="320" s="16" customFormat="1" x14ac:dyDescent="0.25"/>
    <row r="321" s="16" customFormat="1" x14ac:dyDescent="0.25"/>
    <row r="322" s="16" customFormat="1" x14ac:dyDescent="0.25"/>
    <row r="323" s="16" customFormat="1" x14ac:dyDescent="0.25"/>
    <row r="324" s="16" customFormat="1" x14ac:dyDescent="0.25"/>
    <row r="325" s="16" customFormat="1" x14ac:dyDescent="0.25"/>
    <row r="326" s="16" customFormat="1" x14ac:dyDescent="0.25"/>
    <row r="327" s="16" customFormat="1" x14ac:dyDescent="0.25"/>
    <row r="328" s="16" customFormat="1" x14ac:dyDescent="0.25"/>
    <row r="329" s="16" customFormat="1" x14ac:dyDescent="0.25"/>
    <row r="330" s="16" customFormat="1" x14ac:dyDescent="0.25"/>
    <row r="331" s="16" customFormat="1" x14ac:dyDescent="0.25"/>
    <row r="332" s="16" customFormat="1" x14ac:dyDescent="0.25"/>
    <row r="333" s="16" customFormat="1" x14ac:dyDescent="0.25"/>
    <row r="334" s="16" customFormat="1" x14ac:dyDescent="0.25"/>
    <row r="335" s="16" customFormat="1" x14ac:dyDescent="0.25"/>
    <row r="336" s="16" customFormat="1" x14ac:dyDescent="0.25"/>
    <row r="337" s="16" customFormat="1" x14ac:dyDescent="0.25"/>
    <row r="338" s="16" customFormat="1" x14ac:dyDescent="0.25"/>
    <row r="339" s="16" customFormat="1" x14ac:dyDescent="0.25"/>
    <row r="340" s="16" customFormat="1" x14ac:dyDescent="0.25"/>
    <row r="341" s="16" customFormat="1" x14ac:dyDescent="0.25"/>
    <row r="342" s="16" customFormat="1" x14ac:dyDescent="0.25"/>
    <row r="343" s="16" customFormat="1" x14ac:dyDescent="0.25"/>
    <row r="344" s="16" customFormat="1" x14ac:dyDescent="0.25"/>
    <row r="345" s="16" customFormat="1" x14ac:dyDescent="0.25"/>
    <row r="346" s="16" customFormat="1" x14ac:dyDescent="0.25"/>
    <row r="347" s="16" customFormat="1" x14ac:dyDescent="0.25"/>
    <row r="348" s="16" customFormat="1" x14ac:dyDescent="0.25"/>
    <row r="349" s="16" customFormat="1" x14ac:dyDescent="0.25"/>
    <row r="350" s="16" customFormat="1" x14ac:dyDescent="0.25"/>
    <row r="351" s="16" customFormat="1" x14ac:dyDescent="0.25"/>
    <row r="352" s="16" customFormat="1" x14ac:dyDescent="0.25"/>
    <row r="353" s="16" customFormat="1" x14ac:dyDescent="0.25"/>
    <row r="354" s="16" customFormat="1" x14ac:dyDescent="0.25"/>
    <row r="355" s="16" customFormat="1" x14ac:dyDescent="0.25"/>
    <row r="356" s="16" customFormat="1" x14ac:dyDescent="0.25"/>
    <row r="357" s="16" customFormat="1" x14ac:dyDescent="0.25"/>
    <row r="358" s="16" customFormat="1" x14ac:dyDescent="0.25"/>
    <row r="359" s="16" customFormat="1" x14ac:dyDescent="0.25"/>
    <row r="360" s="16" customFormat="1" x14ac:dyDescent="0.25"/>
    <row r="361" s="16" customFormat="1" x14ac:dyDescent="0.25"/>
    <row r="362" s="16" customFormat="1" x14ac:dyDescent="0.25"/>
    <row r="363" s="16" customFormat="1" x14ac:dyDescent="0.25"/>
    <row r="364" s="16" customFormat="1" x14ac:dyDescent="0.25"/>
    <row r="365" s="16" customFormat="1" x14ac:dyDescent="0.25"/>
    <row r="366" s="16" customFormat="1" x14ac:dyDescent="0.25"/>
    <row r="367" s="16" customFormat="1" x14ac:dyDescent="0.25"/>
    <row r="368" s="16" customFormat="1" x14ac:dyDescent="0.25"/>
    <row r="369" s="16" customFormat="1" x14ac:dyDescent="0.25"/>
    <row r="370" s="16" customFormat="1" x14ac:dyDescent="0.25"/>
    <row r="371" s="16" customFormat="1" x14ac:dyDescent="0.25"/>
    <row r="372" s="16" customFormat="1" x14ac:dyDescent="0.25"/>
    <row r="373" s="16" customFormat="1" x14ac:dyDescent="0.25"/>
    <row r="374" s="16" customFormat="1" x14ac:dyDescent="0.25"/>
    <row r="375" s="16" customFormat="1" x14ac:dyDescent="0.25"/>
    <row r="376" s="16" customFormat="1" x14ac:dyDescent="0.25"/>
    <row r="377" s="16" customFormat="1" x14ac:dyDescent="0.25"/>
    <row r="378" s="16" customFormat="1" x14ac:dyDescent="0.25"/>
    <row r="379" s="16" customFormat="1" x14ac:dyDescent="0.25"/>
    <row r="380" s="16" customFormat="1" x14ac:dyDescent="0.25"/>
    <row r="381" s="16" customFormat="1" x14ac:dyDescent="0.25"/>
    <row r="382" s="16" customFormat="1" x14ac:dyDescent="0.25"/>
    <row r="383" s="16" customFormat="1" x14ac:dyDescent="0.25"/>
    <row r="384" s="16" customFormat="1" x14ac:dyDescent="0.25"/>
    <row r="385" s="16" customFormat="1" x14ac:dyDescent="0.25"/>
    <row r="386" s="16" customFormat="1" x14ac:dyDescent="0.25"/>
    <row r="387" s="16" customFormat="1" x14ac:dyDescent="0.25"/>
    <row r="388" s="16" customFormat="1" x14ac:dyDescent="0.25"/>
    <row r="389" s="16" customFormat="1" x14ac:dyDescent="0.25"/>
    <row r="390" s="16" customFormat="1" x14ac:dyDescent="0.25"/>
    <row r="391" s="16" customFormat="1" x14ac:dyDescent="0.25"/>
    <row r="392" s="16" customFormat="1" x14ac:dyDescent="0.25"/>
    <row r="393" s="16" customFormat="1" x14ac:dyDescent="0.25"/>
    <row r="394" s="16" customFormat="1" x14ac:dyDescent="0.25"/>
    <row r="395" s="16" customFormat="1" x14ac:dyDescent="0.25"/>
    <row r="396" s="16" customFormat="1" x14ac:dyDescent="0.25"/>
    <row r="397" s="16" customFormat="1" x14ac:dyDescent="0.25"/>
    <row r="398" s="16" customFormat="1" x14ac:dyDescent="0.25"/>
    <row r="399" s="16" customFormat="1" x14ac:dyDescent="0.25"/>
    <row r="400" s="16" customFormat="1" x14ac:dyDescent="0.25"/>
    <row r="401" s="16" customFormat="1" x14ac:dyDescent="0.25"/>
    <row r="402" s="16" customFormat="1" x14ac:dyDescent="0.25"/>
    <row r="403" s="16" customFormat="1" x14ac:dyDescent="0.25"/>
    <row r="404" s="16" customFormat="1" x14ac:dyDescent="0.25"/>
    <row r="405" s="16" customFormat="1" x14ac:dyDescent="0.25"/>
    <row r="406" s="16" customFormat="1" x14ac:dyDescent="0.25"/>
    <row r="407" s="16" customFormat="1" x14ac:dyDescent="0.25"/>
    <row r="408" s="16" customFormat="1" x14ac:dyDescent="0.25"/>
    <row r="409" s="16" customFormat="1" x14ac:dyDescent="0.25"/>
    <row r="410" s="16" customFormat="1" x14ac:dyDescent="0.25"/>
    <row r="411" s="16" customFormat="1" x14ac:dyDescent="0.25"/>
    <row r="412" s="16" customFormat="1" x14ac:dyDescent="0.25"/>
    <row r="413" s="16" customFormat="1" x14ac:dyDescent="0.25"/>
    <row r="414" s="16" customFormat="1" x14ac:dyDescent="0.25"/>
    <row r="415" s="16" customFormat="1" x14ac:dyDescent="0.25"/>
    <row r="416" s="16" customFormat="1" x14ac:dyDescent="0.25"/>
    <row r="417" s="16" customFormat="1" x14ac:dyDescent="0.25"/>
  </sheetData>
  <mergeCells count="9">
    <mergeCell ref="BJ3:BN3"/>
    <mergeCell ref="BP3:BT3"/>
    <mergeCell ref="BV3:BZ3"/>
    <mergeCell ref="BD3:BH3"/>
    <mergeCell ref="E3:P3"/>
    <mergeCell ref="R3:AC3"/>
    <mergeCell ref="AE3:AP3"/>
    <mergeCell ref="AR3:AV3"/>
    <mergeCell ref="AX3:BB3"/>
  </mergeCells>
  <printOptions horizontalCentered="1"/>
  <pageMargins left="0.25" right="0.25" top="0.5" bottom="0.5" header="0.25" footer="0"/>
  <pageSetup scale="79" orientation="landscape" r:id="rId1"/>
  <headerFooter alignWithMargins="0">
    <oddHeader>&amp;L&amp;9&amp;F&amp;C&amp;9&amp;A&amp;R&amp;9&amp;D  &amp;T</oddHeader>
    <oddFooter>&amp;C&amp;P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vt:i4>
      </vt:variant>
    </vt:vector>
  </HeadingPairs>
  <TitlesOfParts>
    <vt:vector size="30" baseType="lpstr">
      <vt:lpstr>BS</vt:lpstr>
      <vt:lpstr>Cash Flow</vt:lpstr>
      <vt:lpstr>P&amp;L</vt:lpstr>
      <vt:lpstr>P&amp;L Plots</vt:lpstr>
      <vt:lpstr>All Spend</vt:lpstr>
      <vt:lpstr>G&amp;A</vt:lpstr>
      <vt:lpstr>S&amp;M</vt:lpstr>
      <vt:lpstr>Develop</vt:lpstr>
      <vt:lpstr>Factory</vt:lpstr>
      <vt:lpstr>Rev &amp; COGS</vt:lpstr>
      <vt:lpstr>Production</vt:lpstr>
      <vt:lpstr>CAPEX</vt:lpstr>
      <vt:lpstr>BS Support</vt:lpstr>
      <vt:lpstr>Raw Material Pricing</vt:lpstr>
      <vt:lpstr>Changes</vt:lpstr>
      <vt:lpstr>Sales Projections</vt:lpstr>
      <vt:lpstr>Strip Pricing</vt:lpstr>
      <vt:lpstr>Meter Pricing</vt:lpstr>
      <vt:lpstr>Meter GMP BOM</vt:lpstr>
      <vt:lpstr>Clinic CashFlow Analysis</vt:lpstr>
      <vt:lpstr>Sales &amp; Marketing</vt:lpstr>
      <vt:lpstr>CMO</vt:lpstr>
      <vt:lpstr>Dessicant</vt:lpstr>
      <vt:lpstr>GVP</vt:lpstr>
      <vt:lpstr>PET</vt:lpstr>
      <vt:lpstr>Pouches</vt:lpstr>
      <vt:lpstr>'Clinic CashFlow Analysis'!Print_Area</vt:lpstr>
      <vt:lpstr>Develop!Print_Area</vt:lpstr>
      <vt:lpstr>Develop!Print_Titles</vt:lpstr>
      <vt:lpstr>rTF</vt:lpstr>
    </vt:vector>
  </TitlesOfParts>
  <Company>VVVV</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P Henighan</dc:creator>
  <cp:lastModifiedBy>NY</cp:lastModifiedBy>
  <cp:lastPrinted>2014-05-25T17:49:35Z</cp:lastPrinted>
  <dcterms:created xsi:type="dcterms:W3CDTF">1998-03-12T15:23:08Z</dcterms:created>
  <dcterms:modified xsi:type="dcterms:W3CDTF">2016-11-11T21:00:48Z</dcterms:modified>
</cp:coreProperties>
</file>